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乐华大厦" sheetId="88" r:id="rId19"/>
    <sheet name="悦荣中心" sheetId="89" r:id="rId20"/>
    <sheet name="启华大厦" sheetId="86" r:id="rId21"/>
    <sheet name="新景商务楼" sheetId="87" r:id="rId22"/>
    <sheet name="商业大宗" sheetId="83" r:id="rId23"/>
    <sheet name="租约" sheetId="81" r:id="rId24"/>
    <sheet name="比较法-办公" sheetId="34" r:id="rId25"/>
    <sheet name="成本法 (元)" sheetId="69" state="hidden" r:id="rId26"/>
    <sheet name="假设开发法" sheetId="12" state="hidden" r:id="rId27"/>
    <sheet name="收益法 (元)" sheetId="67" state="hidden" r:id="rId28"/>
    <sheet name="收益法-酒店模型" sheetId="77" state="hidden" r:id="rId29"/>
    <sheet name="收益法（汇总）" sheetId="70"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办公-收益法" sheetId="15" r:id="rId40"/>
    <sheet name="车库-收益法" sheetId="80" r:id="rId41"/>
    <sheet name="商业-收益法" sheetId="82" state="hidden" r:id="rId42"/>
    <sheet name="成本法" sheetId="68" r:id="rId43"/>
    <sheet name="基准地价修正" sheetId="43" r:id="rId44"/>
    <sheet name="Sheet4" sheetId="84" r:id="rId45"/>
    <sheet name="Sheet5" sheetId="85"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 r:id="rId57"/>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22" hidden="1">商业大宗!$A$1:$W$60</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9">'办公-收益法'!$A$1:$F$43,'办公-收益法'!$H$3:$M$29,'办公-收益法'!$A$46:$F$71,'办公-收益法'!$I$46:$N$65</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'车库-收益法'!$A$1:$F$43,'车库-收益法'!$H$3:$M$29,'车库-收益法'!$A$46:$F$71,'车库-收益法'!$I$46:$N$65</definedName>
    <definedName name="_xlnm.Print_Area" localSheetId="42">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3">基准地价修正!$A$1:$J$44,基准地价修正!$A$47:$H$101,基准地价修正!$R$1:$V$16</definedName>
    <definedName name="_xlnm.Print_Area" localSheetId="26">假设开发法!$A$1:$K$32</definedName>
    <definedName name="_xlnm.Print_Area" localSheetId="17">结果表!$A$1:$I$127</definedName>
    <definedName name="_xlnm.Print_Area" localSheetId="41">'商业-收益法'!$A$1:$F$43,'商业-收益法'!$H$3:$M$29,'商业-收益法'!$A$46:$F$71,'商业-收益法'!$I$46:$N$65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修正!$C$19:$C$53</definedName>
    <definedName name="法定最高年限" localSheetId="22">[1]定义!$G$1:$G$6</definedName>
    <definedName name="法定最高年限">定义!$G$1:$G$6</definedName>
    <definedName name="工业">定义!$AB$2:$AB$12</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服务">定义!$Z$2:$Z$14</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定义!$X$2:$X$9</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[1]修正!$C$71:$C$138</definedName>
    <definedName name="商业街名称">修正!$C$73:$C$140</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'[1]土地比较法-住宅、综合'!$A$72:$M$72</definedName>
    <definedName name="套工交易情况">'土地比较法-住宅、综合'!$A$72:$M$72</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'[1]土地比较法-住宅、综合'!$B$105:$M$105</definedName>
    <definedName name="套综道路等级">'土地比较法-住宅、综合'!$B$105:$M$105</definedName>
    <definedName name="套综工程地质条件" localSheetId="22">'[1]土地比较法-住宅、综合'!$B$124:$M$124</definedName>
    <definedName name="套综工程地质条件">'土地比较法-住宅、综合'!$B$124:$M$124</definedName>
    <definedName name="套综交易情况" localSheetId="22">'[1]土地比较法-住宅、综合'!$A$72:$M$72</definedName>
    <definedName name="套综交易情况">'土地比较法-住宅、综合'!$A$72:$M$72</definedName>
    <definedName name="套综临街宽度及深度" localSheetId="22">'[1]土地比较法-住宅、综合'!$B$120:$M$120</definedName>
    <definedName name="套综临街宽度及深度">'土地比较法-住宅、综合'!$B$120:$M$120</definedName>
    <definedName name="套综土地级别" localSheetId="22">'[1]土地比较法-住宅、综合'!$B$107:$M$107</definedName>
    <definedName name="套综土地级别">'土地比较法-住宅、综合'!$B$107:$M$107</definedName>
    <definedName name="套综用途" localSheetId="22">'[1]土地比较法-住宅、综合'!$B$74:$M$74</definedName>
    <definedName name="套综用途">'土地比较法-住宅、综合'!$B$74:$M$74</definedName>
    <definedName name="套综宗地内开发程度" localSheetId="22">'[1]土地比较法-住宅、综合'!$B$122:$M$122</definedName>
    <definedName name="套综宗地内开发程度">'土地比较法-住宅、综合'!$B$122:$M$122</definedName>
    <definedName name="套综宗地形状" localSheetId="22">'[1]土地比较法-住宅、综合'!$B$118:$M$118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2">'[1]数据-汇总表'!$C$17:$C$26</definedName>
    <definedName name="项目类型" localSheetId="28">'[2]数据-汇总表'!$C$17:$C$26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定义!$AA$2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66" i="81" l="1"/>
  <c r="C6" i="68"/>
  <c r="K6" i="68"/>
  <c r="E67" i="34"/>
  <c r="D67" i="34"/>
  <c r="G37" i="6"/>
  <c r="AF6" i="1" l="1"/>
  <c r="AD6" i="1"/>
  <c r="AA6" i="1"/>
  <c r="E128" i="34"/>
  <c r="F128" i="34" s="1"/>
  <c r="G128" i="34" s="1"/>
  <c r="H128" i="34" s="1"/>
  <c r="D128" i="34"/>
  <c r="F105" i="34"/>
  <c r="I7" i="34"/>
  <c r="G7" i="34"/>
  <c r="E7" i="34"/>
  <c r="I34" i="34"/>
  <c r="G34" i="34"/>
  <c r="E34" i="34"/>
  <c r="I5" i="34"/>
  <c r="G5" i="34"/>
  <c r="I37" i="34"/>
  <c r="G37" i="34"/>
  <c r="E37" i="34"/>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C88" i="71"/>
  <c r="D88" i="71" s="1"/>
  <c r="B88" i="71"/>
  <c r="B87" i="71" s="1"/>
  <c r="B86" i="71" s="1"/>
  <c r="F87" i="71"/>
  <c r="F86" i="71" s="1"/>
  <c r="C87" i="71"/>
  <c r="D87" i="71" s="1"/>
  <c r="E86" i="71"/>
  <c r="C86" i="71"/>
  <c r="D86" i="71" s="1"/>
  <c r="D85" i="71"/>
  <c r="F84" i="71"/>
  <c r="E84" i="71"/>
  <c r="E83" i="71" s="1"/>
  <c r="C84" i="71"/>
  <c r="D84" i="71" s="1"/>
  <c r="B84" i="71"/>
  <c r="B83" i="71" s="1"/>
  <c r="B82" i="71" s="1"/>
  <c r="F83" i="71"/>
  <c r="F82" i="71" s="1"/>
  <c r="C83" i="71"/>
  <c r="D83" i="71" s="1"/>
  <c r="E82" i="71"/>
  <c r="C82" i="71"/>
  <c r="D82" i="71" s="1"/>
  <c r="D81" i="71"/>
  <c r="Q80" i="71"/>
  <c r="P80" i="71"/>
  <c r="O80" i="71"/>
  <c r="N80" i="71"/>
  <c r="F80" i="71"/>
  <c r="V80" i="71" s="1"/>
  <c r="E80" i="71"/>
  <c r="C80" i="71"/>
  <c r="B80" i="71"/>
  <c r="S80" i="71" s="1"/>
  <c r="Q79" i="71"/>
  <c r="P79" i="71"/>
  <c r="O79" i="71"/>
  <c r="N79" i="71"/>
  <c r="F79" i="71"/>
  <c r="F78" i="71" s="1"/>
  <c r="D79" i="71"/>
  <c r="C79" i="71"/>
  <c r="B79" i="71"/>
  <c r="B78" i="71" s="1"/>
  <c r="Q78" i="71"/>
  <c r="P78" i="71"/>
  <c r="O78" i="71"/>
  <c r="N78" i="71"/>
  <c r="D78" i="71"/>
  <c r="C78" i="71"/>
  <c r="Q77" i="71"/>
  <c r="P77" i="71"/>
  <c r="O77" i="71"/>
  <c r="N77" i="71"/>
  <c r="D77" i="71"/>
  <c r="V76" i="71"/>
  <c r="U76" i="71"/>
  <c r="Q76" i="71"/>
  <c r="P76" i="71"/>
  <c r="O76" i="71"/>
  <c r="N76" i="71"/>
  <c r="F76" i="71"/>
  <c r="E76" i="71"/>
  <c r="E75" i="71" s="1"/>
  <c r="E74" i="71" s="1"/>
  <c r="C76" i="71"/>
  <c r="B76" i="71"/>
  <c r="S76" i="71" s="1"/>
  <c r="Q75" i="71"/>
  <c r="P75" i="71"/>
  <c r="O75" i="71"/>
  <c r="N75" i="71"/>
  <c r="F75" i="71"/>
  <c r="F74" i="71" s="1"/>
  <c r="C75" i="71"/>
  <c r="D75" i="71" s="1"/>
  <c r="B75" i="71"/>
  <c r="B74" i="71" s="1"/>
  <c r="Q74" i="71"/>
  <c r="P74" i="71"/>
  <c r="O74" i="71"/>
  <c r="N74" i="71"/>
  <c r="Q73" i="71"/>
  <c r="P73" i="71"/>
  <c r="O73" i="71"/>
  <c r="N73" i="71"/>
  <c r="D73" i="71"/>
  <c r="U72" i="71"/>
  <c r="Q72" i="71"/>
  <c r="P72" i="71"/>
  <c r="O72" i="71"/>
  <c r="N72" i="71"/>
  <c r="F72" i="71"/>
  <c r="V72" i="71" s="1"/>
  <c r="E72" i="71"/>
  <c r="E71" i="71" s="1"/>
  <c r="C72" i="71"/>
  <c r="B72" i="71"/>
  <c r="B71" i="71" s="1"/>
  <c r="B70" i="71" s="1"/>
  <c r="Q71" i="71"/>
  <c r="P71" i="71"/>
  <c r="O71" i="71"/>
  <c r="N71" i="71"/>
  <c r="F71" i="71"/>
  <c r="F70" i="71" s="1"/>
  <c r="Q70" i="71"/>
  <c r="P70" i="71"/>
  <c r="O70" i="71"/>
  <c r="N70" i="71"/>
  <c r="E70" i="71"/>
  <c r="Q69" i="71"/>
  <c r="P69" i="71"/>
  <c r="O69" i="71"/>
  <c r="N69" i="71"/>
  <c r="D69" i="71"/>
  <c r="S68" i="71"/>
  <c r="Q68" i="71"/>
  <c r="F68" i="71"/>
  <c r="E68" i="71"/>
  <c r="C68" i="71"/>
  <c r="B68" i="71"/>
  <c r="B67" i="71" s="1"/>
  <c r="C67" i="71"/>
  <c r="O67" i="71" s="1"/>
  <c r="D65" i="71"/>
  <c r="Q64" i="71"/>
  <c r="P64" i="71"/>
  <c r="O64" i="71"/>
  <c r="N64" i="71"/>
  <c r="F64" i="71"/>
  <c r="V64" i="71" s="1"/>
  <c r="Q63" i="71"/>
  <c r="P63" i="71"/>
  <c r="O63" i="71"/>
  <c r="N63" i="71"/>
  <c r="F63" i="71"/>
  <c r="Q62" i="71"/>
  <c r="P62" i="71"/>
  <c r="O62" i="71"/>
  <c r="N62" i="71"/>
  <c r="E62" i="71"/>
  <c r="D62" i="71"/>
  <c r="Q61" i="71"/>
  <c r="F62" i="71" s="1"/>
  <c r="P61" i="71"/>
  <c r="O61" i="71"/>
  <c r="C62" i="71" s="1"/>
  <c r="C63" i="71" s="1"/>
  <c r="C64" i="71" s="1"/>
  <c r="N61" i="71"/>
  <c r="B62" i="71" s="1"/>
  <c r="B63" i="71" s="1"/>
  <c r="B64" i="71" s="1"/>
  <c r="S64" i="71" s="1"/>
  <c r="D61" i="71"/>
  <c r="Q60" i="71"/>
  <c r="P60" i="71"/>
  <c r="O60" i="71"/>
  <c r="N60" i="71"/>
  <c r="E60" i="71"/>
  <c r="U60" i="71" s="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C55" i="71" s="1"/>
  <c r="N54" i="71"/>
  <c r="B55" i="71" s="1"/>
  <c r="B56" i="71" s="1"/>
  <c r="S56" i="71" s="1"/>
  <c r="C54" i="71"/>
  <c r="D54" i="71" s="1"/>
  <c r="Q53" i="71"/>
  <c r="F54" i="71" s="1"/>
  <c r="F55" i="71" s="1"/>
  <c r="F56" i="71" s="1"/>
  <c r="V56" i="71" s="1"/>
  <c r="P53" i="71"/>
  <c r="E54" i="71" s="1"/>
  <c r="E55" i="71" s="1"/>
  <c r="E56" i="71" s="1"/>
  <c r="U56" i="71" s="1"/>
  <c r="O53" i="71"/>
  <c r="N53" i="71"/>
  <c r="B54" i="71" s="1"/>
  <c r="D53" i="71"/>
  <c r="Q52" i="71"/>
  <c r="P52" i="71"/>
  <c r="O52" i="71"/>
  <c r="N52" i="71"/>
  <c r="F52" i="71"/>
  <c r="V52" i="71" s="1"/>
  <c r="Q51" i="71"/>
  <c r="P51" i="71"/>
  <c r="O51" i="71"/>
  <c r="N51" i="71"/>
  <c r="F51" i="71"/>
  <c r="Q50" i="71"/>
  <c r="P50" i="71"/>
  <c r="O50" i="71"/>
  <c r="N50" i="71"/>
  <c r="B51" i="71" s="1"/>
  <c r="B52" i="71" s="1"/>
  <c r="S52" i="71" s="1"/>
  <c r="E50" i="71"/>
  <c r="E51" i="71" s="1"/>
  <c r="E52" i="71" s="1"/>
  <c r="U52" i="71" s="1"/>
  <c r="Q49" i="71"/>
  <c r="F50" i="71" s="1"/>
  <c r="P49" i="71"/>
  <c r="O49" i="71"/>
  <c r="C50" i="71" s="1"/>
  <c r="N49" i="71"/>
  <c r="B50" i="71" s="1"/>
  <c r="D49" i="71"/>
  <c r="T48" i="71"/>
  <c r="Q48" i="71"/>
  <c r="P48" i="71"/>
  <c r="O48" i="71"/>
  <c r="N48" i="71"/>
  <c r="D48" i="71"/>
  <c r="Q47" i="71"/>
  <c r="P47" i="71"/>
  <c r="O47" i="71"/>
  <c r="N47" i="71"/>
  <c r="F47" i="71"/>
  <c r="F48" i="71" s="1"/>
  <c r="V48" i="71" s="1"/>
  <c r="Q46" i="71"/>
  <c r="P46" i="71"/>
  <c r="O46" i="71"/>
  <c r="N46" i="71"/>
  <c r="F46" i="71"/>
  <c r="Q45" i="71"/>
  <c r="P45" i="71"/>
  <c r="E46" i="71" s="1"/>
  <c r="E47" i="71" s="1"/>
  <c r="E48" i="71" s="1"/>
  <c r="U48" i="71" s="1"/>
  <c r="O45" i="71"/>
  <c r="C46" i="71" s="1"/>
  <c r="N45" i="71"/>
  <c r="B46" i="71" s="1"/>
  <c r="B47" i="71" s="1"/>
  <c r="B48" i="71" s="1"/>
  <c r="S48" i="71" s="1"/>
  <c r="D45" i="71"/>
  <c r="Q44" i="71"/>
  <c r="P44" i="71"/>
  <c r="O44" i="71"/>
  <c r="N44" i="71"/>
  <c r="Q43" i="71"/>
  <c r="P43" i="71"/>
  <c r="O43" i="71"/>
  <c r="N43" i="71"/>
  <c r="F43" i="71"/>
  <c r="F44" i="71" s="1"/>
  <c r="V44" i="71" s="1"/>
  <c r="Q42" i="71"/>
  <c r="P42" i="71"/>
  <c r="O42" i="71"/>
  <c r="N42" i="71"/>
  <c r="F42" i="7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Y39" i="71"/>
  <c r="Z39" i="71" s="1"/>
  <c r="Q39" i="71"/>
  <c r="AB39" i="71" s="1"/>
  <c r="P39" i="71"/>
  <c r="AA39" i="71" s="1"/>
  <c r="O39" i="71"/>
  <c r="N39" i="71"/>
  <c r="X39" i="71" s="1"/>
  <c r="AH38" i="71"/>
  <c r="AG38" i="71"/>
  <c r="AE38" i="71"/>
  <c r="AF38" i="71" s="1"/>
  <c r="AD38" i="71"/>
  <c r="AB38" i="71"/>
  <c r="Q38" i="71"/>
  <c r="P38" i="71"/>
  <c r="AA38" i="71" s="1"/>
  <c r="O38" i="71"/>
  <c r="Y34" i="71" s="1"/>
  <c r="Z34" i="71" s="1"/>
  <c r="N38" i="71"/>
  <c r="X38" i="71" s="1"/>
  <c r="E38" i="71"/>
  <c r="E39" i="71" s="1"/>
  <c r="E40" i="71" s="1"/>
  <c r="U40" i="71" s="1"/>
  <c r="C38" i="71"/>
  <c r="AH37" i="71"/>
  <c r="AG37" i="71"/>
  <c r="AF37" i="71"/>
  <c r="AE37" i="71"/>
  <c r="AD37" i="71"/>
  <c r="AA37" i="71"/>
  <c r="Q37" i="71"/>
  <c r="F38" i="71" s="1"/>
  <c r="F39" i="71" s="1"/>
  <c r="F40" i="71" s="1"/>
  <c r="V40" i="71" s="1"/>
  <c r="P37" i="71"/>
  <c r="O37" i="71"/>
  <c r="Y37" i="71" s="1"/>
  <c r="Z37" i="71" s="1"/>
  <c r="N37" i="71"/>
  <c r="B38" i="71" s="1"/>
  <c r="B39" i="71" s="1"/>
  <c r="B40" i="71" s="1"/>
  <c r="S40" i="71" s="1"/>
  <c r="D37" i="71"/>
  <c r="AH36" i="71"/>
  <c r="AG36" i="71"/>
  <c r="AF36" i="71"/>
  <c r="AE36" i="71"/>
  <c r="AD36" i="71"/>
  <c r="AB36" i="71"/>
  <c r="V36" i="71"/>
  <c r="Q36" i="71"/>
  <c r="P36" i="71"/>
  <c r="AA36" i="71" s="1"/>
  <c r="O36" i="71"/>
  <c r="Y36" i="71" s="1"/>
  <c r="Z36" i="71" s="1"/>
  <c r="N36" i="71"/>
  <c r="AH35" i="71"/>
  <c r="AG35" i="71"/>
  <c r="AF35" i="71"/>
  <c r="AE35" i="71"/>
  <c r="AD35" i="71"/>
  <c r="Q35" i="71"/>
  <c r="AB35" i="71" s="1"/>
  <c r="P35" i="71"/>
  <c r="O35" i="71"/>
  <c r="N35" i="71"/>
  <c r="E35" i="71"/>
  <c r="AH34" i="71"/>
  <c r="AG34" i="71"/>
  <c r="AE34" i="71"/>
  <c r="AF34" i="71" s="1"/>
  <c r="AD34" i="71"/>
  <c r="AB34" i="71"/>
  <c r="Q34" i="71"/>
  <c r="P34" i="71"/>
  <c r="O34" i="71"/>
  <c r="N34" i="71"/>
  <c r="X34" i="71" s="1"/>
  <c r="E34" i="71"/>
  <c r="AH33" i="71"/>
  <c r="AG33" i="71"/>
  <c r="AF33" i="71"/>
  <c r="AE33" i="71"/>
  <c r="AD33" i="71"/>
  <c r="AA33" i="71"/>
  <c r="Q33" i="71"/>
  <c r="F34" i="71" s="1"/>
  <c r="F35" i="71" s="1"/>
  <c r="F36" i="71" s="1"/>
  <c r="P33" i="71"/>
  <c r="O33" i="71"/>
  <c r="N33" i="71"/>
  <c r="B34" i="71" s="1"/>
  <c r="B35" i="71" s="1"/>
  <c r="B36" i="71" s="1"/>
  <c r="S36" i="71" s="1"/>
  <c r="D33" i="71"/>
  <c r="AH32" i="71"/>
  <c r="AG32" i="71"/>
  <c r="AE32" i="71"/>
  <c r="AF32" i="71" s="1"/>
  <c r="AD32" i="71"/>
  <c r="AB32" i="71"/>
  <c r="X32" i="71"/>
  <c r="Q32" i="71"/>
  <c r="P32" i="71"/>
  <c r="O32" i="71"/>
  <c r="N32" i="71"/>
  <c r="E32" i="71"/>
  <c r="U32" i="71" s="1"/>
  <c r="AH31" i="71"/>
  <c r="AG31" i="71"/>
  <c r="AF31" i="71"/>
  <c r="AE31" i="71"/>
  <c r="AD31" i="71"/>
  <c r="AB31" i="71"/>
  <c r="Q31" i="71"/>
  <c r="P31" i="71"/>
  <c r="O31" i="71"/>
  <c r="Y31" i="71" s="1"/>
  <c r="Z31" i="71" s="1"/>
  <c r="N31" i="71"/>
  <c r="X31" i="71" s="1"/>
  <c r="AH30" i="71"/>
  <c r="AG30" i="71"/>
  <c r="AF30" i="71"/>
  <c r="AE30" i="71"/>
  <c r="AD30" i="71"/>
  <c r="AB30" i="71"/>
  <c r="AA30" i="71"/>
  <c r="Q30" i="71"/>
  <c r="P30" i="71"/>
  <c r="O30" i="71"/>
  <c r="Y30" i="71" s="1"/>
  <c r="Z30" i="71" s="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D27" i="71" s="1"/>
  <c r="N28" i="71"/>
  <c r="X28" i="71" s="1"/>
  <c r="F28" i="71"/>
  <c r="E28" i="71"/>
  <c r="D28" i="71"/>
  <c r="U28" i="71" s="1"/>
  <c r="AH27" i="71"/>
  <c r="AG27" i="71"/>
  <c r="AF27" i="71"/>
  <c r="AE27" i="71"/>
  <c r="AD27" i="71"/>
  <c r="Q27" i="71"/>
  <c r="P27" i="71"/>
  <c r="O27" i="71"/>
  <c r="Y27" i="71" s="1"/>
  <c r="Z27" i="71" s="1"/>
  <c r="N27" i="71"/>
  <c r="X27" i="71" s="1"/>
  <c r="F27" i="71"/>
  <c r="AH26" i="71"/>
  <c r="AG26" i="71"/>
  <c r="AF26" i="71"/>
  <c r="AE26" i="71"/>
  <c r="AD26" i="71"/>
  <c r="AB26" i="71"/>
  <c r="Q26" i="71"/>
  <c r="P26" i="71"/>
  <c r="O26" i="71"/>
  <c r="N26" i="71"/>
  <c r="X26" i="71" s="1"/>
  <c r="F26" i="71"/>
  <c r="AH25" i="71"/>
  <c r="AG25" i="71"/>
  <c r="AF25" i="71"/>
  <c r="AE25" i="71"/>
  <c r="AD25" i="71"/>
  <c r="Q25" i="71"/>
  <c r="AB23" i="71" s="1"/>
  <c r="P25" i="71"/>
  <c r="O25" i="71"/>
  <c r="N25" i="71"/>
  <c r="X25" i="71" s="1"/>
  <c r="D25" i="71"/>
  <c r="AH24" i="71"/>
  <c r="AG24" i="71"/>
  <c r="AE24" i="71"/>
  <c r="AF24" i="71" s="1"/>
  <c r="AD24" i="71"/>
  <c r="Q24" i="71"/>
  <c r="P24" i="71"/>
  <c r="O24" i="71"/>
  <c r="N24" i="71"/>
  <c r="F24" i="71"/>
  <c r="E24" i="71"/>
  <c r="AH23" i="71"/>
  <c r="AG23" i="71"/>
  <c r="AF23" i="71"/>
  <c r="AE23" i="71"/>
  <c r="AD23" i="71"/>
  <c r="Q23" i="71"/>
  <c r="P23" i="71"/>
  <c r="O23" i="71"/>
  <c r="N23" i="71"/>
  <c r="X23" i="71" s="1"/>
  <c r="F23" i="71"/>
  <c r="AH22" i="71"/>
  <c r="AG22" i="71"/>
  <c r="AF22" i="71"/>
  <c r="AE22" i="71"/>
  <c r="AD22" i="71"/>
  <c r="Q22" i="71"/>
  <c r="P22" i="71"/>
  <c r="O22" i="71"/>
  <c r="N22" i="71"/>
  <c r="X22" i="71" s="1"/>
  <c r="F22" i="71"/>
  <c r="F21" i="71" s="1"/>
  <c r="F20" i="71" s="1"/>
  <c r="F19" i="71" s="1"/>
  <c r="F18" i="71" s="1"/>
  <c r="F17" i="71" s="1"/>
  <c r="F16" i="71" s="1"/>
  <c r="F15" i="71" s="1"/>
  <c r="F14" i="71" s="1"/>
  <c r="AH21" i="71"/>
  <c r="AG21" i="71"/>
  <c r="AF21" i="71"/>
  <c r="AE21" i="71"/>
  <c r="AD21" i="71"/>
  <c r="AA21" i="71"/>
  <c r="Q21" i="71"/>
  <c r="P21" i="71"/>
  <c r="O21" i="71"/>
  <c r="N21" i="71"/>
  <c r="AH20" i="71"/>
  <c r="AG20" i="71"/>
  <c r="AE20" i="71"/>
  <c r="AF20" i="71" s="1"/>
  <c r="AD20" i="71"/>
  <c r="Q20" i="71"/>
  <c r="P20" i="71"/>
  <c r="O20" i="71"/>
  <c r="Y20" i="71" s="1"/>
  <c r="Z20" i="71" s="1"/>
  <c r="N20" i="71"/>
  <c r="X20" i="71" s="1"/>
  <c r="AH19" i="71"/>
  <c r="AG19" i="71"/>
  <c r="AF19" i="71"/>
  <c r="AE19" i="71"/>
  <c r="AD19" i="71"/>
  <c r="AB19" i="71"/>
  <c r="Q19" i="71"/>
  <c r="P19" i="71"/>
  <c r="O19" i="71"/>
  <c r="N19" i="71"/>
  <c r="X19" i="71" s="1"/>
  <c r="AH18" i="71"/>
  <c r="AG18" i="71"/>
  <c r="AF18" i="71"/>
  <c r="AE18" i="71"/>
  <c r="AD18" i="71"/>
  <c r="Q18" i="71"/>
  <c r="AB18" i="71" s="1"/>
  <c r="P18" i="71"/>
  <c r="O18" i="71"/>
  <c r="N18" i="71"/>
  <c r="X18" i="71" s="1"/>
  <c r="AH17" i="71"/>
  <c r="AG17" i="71"/>
  <c r="AE17" i="71"/>
  <c r="AF17" i="71" s="1"/>
  <c r="AD17" i="71"/>
  <c r="Q17" i="71"/>
  <c r="P17" i="71"/>
  <c r="O17" i="71"/>
  <c r="N17" i="71"/>
  <c r="AH16" i="71"/>
  <c r="AG16" i="71"/>
  <c r="AE16" i="71"/>
  <c r="AF16" i="71" s="1"/>
  <c r="AD16" i="71"/>
  <c r="Q16" i="71"/>
  <c r="AB15" i="71" s="1"/>
  <c r="P16" i="71"/>
  <c r="O16" i="71"/>
  <c r="Y16" i="71" s="1"/>
  <c r="Z16" i="71" s="1"/>
  <c r="N16" i="71"/>
  <c r="AH15" i="71"/>
  <c r="AG15" i="71"/>
  <c r="AE15" i="71"/>
  <c r="AF15" i="71" s="1"/>
  <c r="AD15" i="71"/>
  <c r="Q15" i="71"/>
  <c r="P15" i="71"/>
  <c r="O15" i="71"/>
  <c r="N15" i="71"/>
  <c r="X15" i="71" s="1"/>
  <c r="AH14" i="71"/>
  <c r="AG14" i="71"/>
  <c r="AF14" i="71"/>
  <c r="AE14" i="71"/>
  <c r="AD14" i="71"/>
  <c r="AB14" i="71"/>
  <c r="Q14" i="71"/>
  <c r="P14" i="71"/>
  <c r="O14" i="71"/>
  <c r="N14" i="71"/>
  <c r="X14" i="71" s="1"/>
  <c r="AH13" i="71"/>
  <c r="AG13" i="71"/>
  <c r="AF13" i="71"/>
  <c r="AE13" i="71"/>
  <c r="AD13" i="71"/>
  <c r="Q13" i="71"/>
  <c r="AB13" i="71" s="1"/>
  <c r="P13" i="71"/>
  <c r="O13" i="71"/>
  <c r="N13" i="71"/>
  <c r="X13" i="71" s="1"/>
  <c r="F13" i="71"/>
  <c r="F12" i="71" s="1"/>
  <c r="F11" i="71" s="1"/>
  <c r="F10" i="71" s="1"/>
  <c r="F9" i="71" s="1"/>
  <c r="F8" i="71" s="1"/>
  <c r="F7" i="71" s="1"/>
  <c r="F6" i="71" s="1"/>
  <c r="F5" i="71" s="1"/>
  <c r="AH12" i="71"/>
  <c r="AG12" i="71"/>
  <c r="AE12" i="71"/>
  <c r="AF12" i="71" s="1"/>
  <c r="AD12" i="71"/>
  <c r="Q12" i="71"/>
  <c r="P12" i="71"/>
  <c r="O12" i="71"/>
  <c r="N12" i="71"/>
  <c r="X12" i="71" s="1"/>
  <c r="AH11" i="71"/>
  <c r="AG11" i="71"/>
  <c r="AE11" i="71"/>
  <c r="AF11" i="71" s="1"/>
  <c r="AD11" i="71"/>
  <c r="Y11" i="71"/>
  <c r="Z11" i="71" s="1"/>
  <c r="Q11" i="71"/>
  <c r="P11" i="71"/>
  <c r="O11" i="71"/>
  <c r="N11" i="71"/>
  <c r="X11" i="71" s="1"/>
  <c r="AH10" i="71"/>
  <c r="AG10" i="71"/>
  <c r="AF10" i="71"/>
  <c r="AE10" i="71"/>
  <c r="AD10" i="71"/>
  <c r="AB10" i="71"/>
  <c r="Q10" i="71"/>
  <c r="P10" i="71"/>
  <c r="O10" i="71"/>
  <c r="Y10" i="71" s="1"/>
  <c r="Z10" i="71" s="1"/>
  <c r="N10" i="71"/>
  <c r="X10" i="71" s="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Y3" i="71" s="1"/>
  <c r="Z3" i="71" s="1"/>
  <c r="N6" i="71"/>
  <c r="AH5" i="71"/>
  <c r="AG5" i="71"/>
  <c r="AF5" i="71"/>
  <c r="AE5" i="71"/>
  <c r="AD5" i="71"/>
  <c r="AB5" i="71"/>
  <c r="AA5" i="71"/>
  <c r="Z5" i="71"/>
  <c r="Y5" i="71"/>
  <c r="X5" i="71"/>
  <c r="Q5" i="71"/>
  <c r="P5" i="71"/>
  <c r="O5" i="71"/>
  <c r="N5" i="71"/>
  <c r="AE3" i="71"/>
  <c r="AF3" i="71" s="1"/>
  <c r="L3" i="71"/>
  <c r="AH3" i="71" s="1"/>
  <c r="K3" i="71"/>
  <c r="AG3" i="71" s="1"/>
  <c r="J3" i="71"/>
  <c r="I3" i="71"/>
  <c r="AD3" i="71" s="1"/>
  <c r="AB52" i="79"/>
  <c r="AA52" i="79"/>
  <c r="Z52" i="79"/>
  <c r="W52" i="79"/>
  <c r="P52" i="79"/>
  <c r="N52" i="79"/>
  <c r="M52" i="79"/>
  <c r="L52" i="79"/>
  <c r="I52" i="79"/>
  <c r="AG51" i="79"/>
  <c r="AB51" i="79"/>
  <c r="AA51" i="79"/>
  <c r="Z51" i="79"/>
  <c r="T51" i="79"/>
  <c r="N51" i="79"/>
  <c r="U51" i="79" s="1"/>
  <c r="AI51" i="79" s="1"/>
  <c r="M51" i="79"/>
  <c r="P51" i="79" s="1"/>
  <c r="L51" i="79"/>
  <c r="S51" i="79" s="1"/>
  <c r="I51" i="79"/>
  <c r="AB50" i="79"/>
  <c r="AA50" i="79"/>
  <c r="Z50" i="79"/>
  <c r="N50" i="79"/>
  <c r="U50" i="79" s="1"/>
  <c r="AI50" i="79" s="1"/>
  <c r="M50" i="79"/>
  <c r="L50" i="79"/>
  <c r="I50" i="79"/>
  <c r="AB49" i="79"/>
  <c r="AA49" i="79"/>
  <c r="Z49" i="79"/>
  <c r="U49" i="79"/>
  <c r="AI49" i="79" s="1"/>
  <c r="P49" i="79"/>
  <c r="N49" i="79"/>
  <c r="M49" i="79"/>
  <c r="L49" i="79"/>
  <c r="S49" i="79" s="1"/>
  <c r="AG49" i="79" s="1"/>
  <c r="I49" i="79"/>
  <c r="AB48" i="79"/>
  <c r="AA48" i="79"/>
  <c r="Z48" i="79"/>
  <c r="P48" i="79"/>
  <c r="N48" i="79"/>
  <c r="M48" i="79"/>
  <c r="L48" i="79"/>
  <c r="S48" i="79" s="1"/>
  <c r="AG48" i="79" s="1"/>
  <c r="I48" i="79"/>
  <c r="AB47" i="79"/>
  <c r="AA47" i="79"/>
  <c r="Z47" i="79"/>
  <c r="T47" i="79"/>
  <c r="N47" i="79"/>
  <c r="U47" i="79" s="1"/>
  <c r="AI47" i="79" s="1"/>
  <c r="M47" i="79"/>
  <c r="P47" i="79" s="1"/>
  <c r="L47" i="79"/>
  <c r="I47" i="79"/>
  <c r="AB46" i="79"/>
  <c r="AA46" i="79"/>
  <c r="Z46" i="79"/>
  <c r="N46" i="79"/>
  <c r="U46" i="79" s="1"/>
  <c r="AI46" i="79" s="1"/>
  <c r="M46" i="79"/>
  <c r="T42" i="79" s="1"/>
  <c r="L46" i="79"/>
  <c r="I46" i="79"/>
  <c r="AB45" i="79"/>
  <c r="AA45" i="79"/>
  <c r="Z45" i="79"/>
  <c r="U45" i="79"/>
  <c r="AI45" i="79" s="1"/>
  <c r="P45" i="79"/>
  <c r="N45" i="79"/>
  <c r="U42" i="79" s="1"/>
  <c r="AI42" i="79" s="1"/>
  <c r="M45" i="79"/>
  <c r="L45" i="79"/>
  <c r="S45" i="79" s="1"/>
  <c r="AG45" i="79" s="1"/>
  <c r="I45" i="79"/>
  <c r="P44" i="79"/>
  <c r="N44" i="79"/>
  <c r="M44" i="79"/>
  <c r="L44" i="79"/>
  <c r="S44" i="79" s="1"/>
  <c r="AG44" i="79" s="1"/>
  <c r="I44" i="79"/>
  <c r="AD36" i="79" s="1"/>
  <c r="N43" i="79"/>
  <c r="M43" i="79"/>
  <c r="L43" i="79"/>
  <c r="I43" i="79"/>
  <c r="N42" i="79"/>
  <c r="M42" i="79"/>
  <c r="P42" i="79" s="1"/>
  <c r="L42" i="79"/>
  <c r="I42" i="79"/>
  <c r="P41" i="79"/>
  <c r="N41" i="79"/>
  <c r="M41" i="79"/>
  <c r="L41" i="79"/>
  <c r="I41" i="79"/>
  <c r="AR40" i="79"/>
  <c r="AR41" i="79" s="1"/>
  <c r="AR42" i="79" s="1"/>
  <c r="AR43" i="79" s="1"/>
  <c r="AR44" i="79" s="1"/>
  <c r="P40" i="79"/>
  <c r="N40" i="79"/>
  <c r="M40" i="79"/>
  <c r="T40" i="79" s="1"/>
  <c r="AH40" i="79" s="1"/>
  <c r="L40" i="79"/>
  <c r="S40" i="79" s="1"/>
  <c r="AG40" i="79" s="1"/>
  <c r="I40" i="79"/>
  <c r="AN39" i="79"/>
  <c r="AN40" i="79" s="1"/>
  <c r="AN41" i="79" s="1"/>
  <c r="AN42" i="79" s="1"/>
  <c r="AN43" i="79" s="1"/>
  <c r="AN44" i="79" s="1"/>
  <c r="AN45" i="79" s="1"/>
  <c r="AN46" i="79" s="1"/>
  <c r="AN47" i="79" s="1"/>
  <c r="AN48" i="79" s="1"/>
  <c r="AN49" i="79" s="1"/>
  <c r="AN50" i="79" s="1"/>
  <c r="AN51" i="79" s="1"/>
  <c r="AN52" i="79" s="1"/>
  <c r="AB39" i="79"/>
  <c r="AA39" i="79"/>
  <c r="Z39" i="79"/>
  <c r="N39" i="79"/>
  <c r="M39" i="79"/>
  <c r="P39" i="79" s="1"/>
  <c r="L39" i="79"/>
  <c r="S39" i="79" s="1"/>
  <c r="AG39" i="79" s="1"/>
  <c r="I39" i="79"/>
  <c r="AP38" i="79"/>
  <c r="AP39" i="79" s="1"/>
  <c r="AP40" i="79" s="1"/>
  <c r="AP41" i="79" s="1"/>
  <c r="AP42" i="79" s="1"/>
  <c r="AP43" i="79" s="1"/>
  <c r="AP44" i="79" s="1"/>
  <c r="AP45" i="79" s="1"/>
  <c r="AP46" i="79" s="1"/>
  <c r="AP47" i="79" s="1"/>
  <c r="AP48" i="79" s="1"/>
  <c r="AP49" i="79" s="1"/>
  <c r="AP50" i="79" s="1"/>
  <c r="AP51" i="79" s="1"/>
  <c r="AP52" i="79" s="1"/>
  <c r="AB38" i="79"/>
  <c r="AA38" i="79"/>
  <c r="Z38" i="79"/>
  <c r="N38" i="79"/>
  <c r="M38" i="79"/>
  <c r="P38" i="79" s="1"/>
  <c r="L38" i="79"/>
  <c r="I38" i="79"/>
  <c r="AB37" i="79"/>
  <c r="AA37" i="79"/>
  <c r="Z37" i="79"/>
  <c r="P37" i="79"/>
  <c r="N37" i="79"/>
  <c r="M37" i="79"/>
  <c r="L37" i="79"/>
  <c r="I37" i="79"/>
  <c r="AR36" i="79"/>
  <c r="AR37" i="79" s="1"/>
  <c r="AR38" i="79" s="1"/>
  <c r="AR39" i="79" s="1"/>
  <c r="AB36" i="79"/>
  <c r="AA36" i="79"/>
  <c r="Z36" i="79"/>
  <c r="P36" i="79"/>
  <c r="N36" i="79"/>
  <c r="M36" i="79"/>
  <c r="L36" i="79"/>
  <c r="S36" i="79" s="1"/>
  <c r="AG36" i="79" s="1"/>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B35" i="79"/>
  <c r="AA35" i="79"/>
  <c r="Z35" i="79"/>
  <c r="N35" i="79"/>
  <c r="M35" i="79"/>
  <c r="P35" i="79" s="1"/>
  <c r="L35" i="79"/>
  <c r="S35" i="79" s="1"/>
  <c r="AG35" i="79" s="1"/>
  <c r="I35" i="79"/>
  <c r="AP34" i="79"/>
  <c r="AP35" i="79" s="1"/>
  <c r="AP36" i="79" s="1"/>
  <c r="AP37" i="79" s="1"/>
  <c r="AO34" i="79"/>
  <c r="AN34" i="79"/>
  <c r="AB34" i="79"/>
  <c r="AA34" i="79"/>
  <c r="Z34" i="79"/>
  <c r="U34" i="79"/>
  <c r="AI34" i="79" s="1"/>
  <c r="N34" i="79"/>
  <c r="M34" i="79"/>
  <c r="L34" i="79"/>
  <c r="S34" i="79" s="1"/>
  <c r="AG34" i="79" s="1"/>
  <c r="I34" i="79"/>
  <c r="AD34" i="79" s="1"/>
  <c r="AD33" i="79"/>
  <c r="AB33" i="79"/>
  <c r="AA33" i="79"/>
  <c r="Z33" i="79"/>
  <c r="P33" i="79"/>
  <c r="N33" i="79"/>
  <c r="M33" i="79"/>
  <c r="T33" i="79" s="1"/>
  <c r="AH33" i="79" s="1"/>
  <c r="L33" i="79"/>
  <c r="I33" i="79"/>
  <c r="AR34" i="79" s="1"/>
  <c r="AR35" i="79" s="1"/>
  <c r="Z31" i="79"/>
  <c r="I31" i="79"/>
  <c r="G31" i="79"/>
  <c r="F31" i="79"/>
  <c r="E31" i="79"/>
  <c r="AC24" i="79"/>
  <c r="AB24" i="79"/>
  <c r="AA24" i="79"/>
  <c r="AD24" i="79" s="1"/>
  <c r="Z24" i="79"/>
  <c r="Y24" i="79"/>
  <c r="W24" i="79"/>
  <c r="P24" i="79"/>
  <c r="O24" i="79"/>
  <c r="N24" i="79"/>
  <c r="M24" i="79"/>
  <c r="L24" i="79"/>
  <c r="K24" i="79"/>
  <c r="I24" i="79"/>
  <c r="AI23" i="79"/>
  <c r="AH23" i="79"/>
  <c r="AD23" i="79"/>
  <c r="AC23" i="79"/>
  <c r="AB23" i="79"/>
  <c r="AA23" i="79"/>
  <c r="Z23" i="79"/>
  <c r="Y23" i="79"/>
  <c r="V23" i="79"/>
  <c r="AJ23" i="79" s="1"/>
  <c r="U23" i="79"/>
  <c r="T23" i="79"/>
  <c r="W23" i="79" s="1"/>
  <c r="AK23" i="79" s="1"/>
  <c r="R23" i="79"/>
  <c r="AF23" i="79" s="1"/>
  <c r="P23" i="79"/>
  <c r="O23" i="79"/>
  <c r="N23" i="79"/>
  <c r="M23" i="79"/>
  <c r="L23" i="79"/>
  <c r="S23" i="79" s="1"/>
  <c r="AG23" i="79" s="1"/>
  <c r="K23" i="79"/>
  <c r="I23" i="79"/>
  <c r="AD22" i="79"/>
  <c r="AC22" i="79"/>
  <c r="AB22" i="79"/>
  <c r="AA22" i="79"/>
  <c r="Z22" i="79"/>
  <c r="Y22" i="79"/>
  <c r="T22" i="79"/>
  <c r="P22" i="79"/>
  <c r="O22" i="79"/>
  <c r="V22" i="79" s="1"/>
  <c r="AJ22" i="79" s="1"/>
  <c r="N22" i="79"/>
  <c r="M22" i="79"/>
  <c r="L22" i="79"/>
  <c r="S22" i="79" s="1"/>
  <c r="AG22" i="79" s="1"/>
  <c r="K22" i="79"/>
  <c r="R22" i="79" s="1"/>
  <c r="AF22" i="79" s="1"/>
  <c r="I22" i="79"/>
  <c r="AC21" i="79"/>
  <c r="AB21" i="79"/>
  <c r="AA21" i="79"/>
  <c r="AD21" i="79" s="1"/>
  <c r="Z21" i="79"/>
  <c r="Y21" i="79"/>
  <c r="V21" i="79"/>
  <c r="AJ21" i="79" s="1"/>
  <c r="O21" i="79"/>
  <c r="N21" i="79"/>
  <c r="M21" i="79"/>
  <c r="L21" i="79"/>
  <c r="K21" i="79"/>
  <c r="R21" i="79" s="1"/>
  <c r="AF21" i="79" s="1"/>
  <c r="I21" i="79"/>
  <c r="AH20" i="79"/>
  <c r="AC20" i="79"/>
  <c r="AB20" i="79"/>
  <c r="AA20" i="79"/>
  <c r="AD20" i="79" s="1"/>
  <c r="Z20" i="79"/>
  <c r="Y20" i="79"/>
  <c r="T20" i="79"/>
  <c r="W20" i="79" s="1"/>
  <c r="AK20" i="79" s="1"/>
  <c r="O20" i="79"/>
  <c r="V19" i="79" s="1"/>
  <c r="AJ19" i="79" s="1"/>
  <c r="N20" i="79"/>
  <c r="M20" i="79"/>
  <c r="P20" i="79" s="1"/>
  <c r="L20" i="79"/>
  <c r="K20" i="79"/>
  <c r="R19" i="79" s="1"/>
  <c r="AF19" i="79" s="1"/>
  <c r="I20" i="79"/>
  <c r="AD19" i="79"/>
  <c r="AC19" i="79"/>
  <c r="AB19" i="79"/>
  <c r="AA19" i="79"/>
  <c r="Z19" i="79"/>
  <c r="Y19" i="79"/>
  <c r="S19" i="79"/>
  <c r="AG19" i="79" s="1"/>
  <c r="P19" i="79"/>
  <c r="O19" i="79"/>
  <c r="N19" i="79"/>
  <c r="M19" i="79"/>
  <c r="L19" i="79"/>
  <c r="K19" i="79"/>
  <c r="I19" i="79"/>
  <c r="AC18" i="79"/>
  <c r="AB18" i="79"/>
  <c r="AA18" i="79"/>
  <c r="AD18" i="79" s="1"/>
  <c r="Z18" i="79"/>
  <c r="Y18" i="79"/>
  <c r="O18" i="79"/>
  <c r="N18" i="79"/>
  <c r="M18" i="79"/>
  <c r="P18" i="79" s="1"/>
  <c r="L18" i="79"/>
  <c r="K18" i="79"/>
  <c r="I18" i="79"/>
  <c r="AD17" i="79"/>
  <c r="AC17" i="79"/>
  <c r="AC3" i="79" s="1"/>
  <c r="AB17" i="79"/>
  <c r="AA17" i="79"/>
  <c r="Z17" i="79"/>
  <c r="Y17" i="79"/>
  <c r="Y3" i="79" s="1"/>
  <c r="S17" i="79"/>
  <c r="AG17" i="79" s="1"/>
  <c r="P17" i="79"/>
  <c r="O17" i="79"/>
  <c r="N17" i="79"/>
  <c r="M17" i="79"/>
  <c r="L17" i="79"/>
  <c r="K17" i="79"/>
  <c r="I17" i="79"/>
  <c r="O16" i="79"/>
  <c r="N16" i="79"/>
  <c r="M16" i="79"/>
  <c r="L16" i="79"/>
  <c r="K16" i="79"/>
  <c r="I16" i="79"/>
  <c r="AG15" i="79"/>
  <c r="S15" i="79"/>
  <c r="P15" i="79"/>
  <c r="O15" i="79"/>
  <c r="N15" i="79"/>
  <c r="U15" i="79" s="1"/>
  <c r="AI15" i="79" s="1"/>
  <c r="M15" i="79"/>
  <c r="L15" i="79"/>
  <c r="S14" i="79" s="1"/>
  <c r="AG14" i="79" s="1"/>
  <c r="K15" i="79"/>
  <c r="I15" i="79"/>
  <c r="O14" i="79"/>
  <c r="N14" i="79"/>
  <c r="M14" i="79"/>
  <c r="P14" i="79" s="1"/>
  <c r="L14" i="79"/>
  <c r="K14" i="79"/>
  <c r="I14" i="79"/>
  <c r="AG13" i="79"/>
  <c r="P13" i="79"/>
  <c r="O13" i="79"/>
  <c r="N13" i="79"/>
  <c r="M13" i="79"/>
  <c r="L13" i="79"/>
  <c r="S13" i="79" s="1"/>
  <c r="K13" i="79"/>
  <c r="I13" i="79"/>
  <c r="O12" i="79"/>
  <c r="N12" i="79"/>
  <c r="M12" i="79"/>
  <c r="P12" i="79" s="1"/>
  <c r="L12" i="79"/>
  <c r="S12" i="79" s="1"/>
  <c r="AG12" i="79" s="1"/>
  <c r="K12" i="79"/>
  <c r="R10" i="79" s="1"/>
  <c r="AF10" i="79" s="1"/>
  <c r="I12" i="79"/>
  <c r="AP11" i="79"/>
  <c r="AP12" i="79" s="1"/>
  <c r="AP13" i="79" s="1"/>
  <c r="AP14" i="79" s="1"/>
  <c r="AP15" i="79" s="1"/>
  <c r="AP16" i="79" s="1"/>
  <c r="AP17" i="79" s="1"/>
  <c r="AP18" i="79" s="1"/>
  <c r="AP19" i="79" s="1"/>
  <c r="AP20" i="79" s="1"/>
  <c r="AP21" i="79" s="1"/>
  <c r="AP22" i="79" s="1"/>
  <c r="AP23" i="79" s="1"/>
  <c r="AP24" i="79" s="1"/>
  <c r="AD11" i="79"/>
  <c r="AC11" i="79"/>
  <c r="AB11" i="79"/>
  <c r="AB3" i="79" s="1"/>
  <c r="AA11" i="79"/>
  <c r="Z11" i="79"/>
  <c r="Z3" i="79" s="1"/>
  <c r="Y11" i="79"/>
  <c r="S11" i="79"/>
  <c r="AG11" i="79" s="1"/>
  <c r="P11" i="79"/>
  <c r="O11" i="79"/>
  <c r="V11" i="79" s="1"/>
  <c r="AJ11" i="79" s="1"/>
  <c r="N11" i="79"/>
  <c r="U9" i="79" s="1"/>
  <c r="AI9" i="79" s="1"/>
  <c r="M11" i="79"/>
  <c r="L11" i="79"/>
  <c r="S10" i="79" s="1"/>
  <c r="AG10" i="79" s="1"/>
  <c r="K11" i="79"/>
  <c r="R11" i="79" s="1"/>
  <c r="AF11" i="79" s="1"/>
  <c r="I11" i="79"/>
  <c r="AO10" i="79"/>
  <c r="AO11" i="79" s="1"/>
  <c r="AO12" i="79" s="1"/>
  <c r="AO13" i="79" s="1"/>
  <c r="AO14" i="79" s="1"/>
  <c r="AO15" i="79" s="1"/>
  <c r="AO16" i="79" s="1"/>
  <c r="AO17" i="79" s="1"/>
  <c r="AO18" i="79" s="1"/>
  <c r="AO19" i="79" s="1"/>
  <c r="AO20" i="79" s="1"/>
  <c r="AO21" i="79" s="1"/>
  <c r="AO22" i="79" s="1"/>
  <c r="AO23" i="79" s="1"/>
  <c r="AO24" i="79" s="1"/>
  <c r="AC10" i="79"/>
  <c r="AB10" i="79"/>
  <c r="AA10" i="79"/>
  <c r="AD10" i="79" s="1"/>
  <c r="Z10" i="79"/>
  <c r="Y10" i="79"/>
  <c r="O10" i="79"/>
  <c r="V9" i="79" s="1"/>
  <c r="AJ9" i="79" s="1"/>
  <c r="N10" i="79"/>
  <c r="M10" i="79"/>
  <c r="T8" i="79" s="1"/>
  <c r="L10" i="79"/>
  <c r="K10" i="79"/>
  <c r="R9" i="79" s="1"/>
  <c r="AF9" i="79" s="1"/>
  <c r="I10" i="79"/>
  <c r="AD9" i="79"/>
  <c r="AC9" i="79"/>
  <c r="AB9" i="79"/>
  <c r="AA9" i="79"/>
  <c r="Z9" i="79"/>
  <c r="Y9" i="79"/>
  <c r="P9" i="79"/>
  <c r="O9" i="79"/>
  <c r="N9" i="79"/>
  <c r="U8" i="79" s="1"/>
  <c r="AI8" i="79" s="1"/>
  <c r="M9" i="79"/>
  <c r="L9" i="79"/>
  <c r="S9" i="79" s="1"/>
  <c r="AG9" i="79" s="1"/>
  <c r="K9" i="79"/>
  <c r="I9" i="79"/>
  <c r="AM8" i="79"/>
  <c r="AM9" i="79" s="1"/>
  <c r="AM10" i="79" s="1"/>
  <c r="AM11" i="79" s="1"/>
  <c r="AM12" i="79" s="1"/>
  <c r="AM13" i="79" s="1"/>
  <c r="AM14" i="79" s="1"/>
  <c r="AM15" i="79" s="1"/>
  <c r="AM16" i="79" s="1"/>
  <c r="AM17" i="79" s="1"/>
  <c r="AM18" i="79" s="1"/>
  <c r="AM19" i="79" s="1"/>
  <c r="AM20" i="79" s="1"/>
  <c r="AM21" i="79" s="1"/>
  <c r="AM22" i="79" s="1"/>
  <c r="AM23" i="79" s="1"/>
  <c r="AM24" i="79" s="1"/>
  <c r="AC8" i="79"/>
  <c r="AB8" i="79"/>
  <c r="AA8" i="79"/>
  <c r="AD8" i="79" s="1"/>
  <c r="Z8" i="79"/>
  <c r="Y8" i="79"/>
  <c r="O8" i="79"/>
  <c r="N8" i="79"/>
  <c r="M8" i="79"/>
  <c r="P8" i="79" s="1"/>
  <c r="L8" i="79"/>
  <c r="K8" i="79"/>
  <c r="I8" i="79"/>
  <c r="AP7" i="79"/>
  <c r="AP8" i="79" s="1"/>
  <c r="AP9" i="79" s="1"/>
  <c r="AP10" i="79" s="1"/>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P7" i="79"/>
  <c r="O7" i="79"/>
  <c r="N7" i="79"/>
  <c r="U7" i="79" s="1"/>
  <c r="AI7" i="79" s="1"/>
  <c r="M7" i="79"/>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N6" i="79"/>
  <c r="AM6" i="79"/>
  <c r="AM7" i="79" s="1"/>
  <c r="AC6" i="79"/>
  <c r="AB6" i="79"/>
  <c r="AA6" i="79"/>
  <c r="AD6" i="79" s="1"/>
  <c r="Z6" i="79"/>
  <c r="Y6" i="79"/>
  <c r="O6" i="79"/>
  <c r="N6" i="79"/>
  <c r="U6" i="79" s="1"/>
  <c r="AI6" i="79" s="1"/>
  <c r="M6" i="79"/>
  <c r="L6" i="79"/>
  <c r="K6" i="79"/>
  <c r="I6" i="79"/>
  <c r="AD5" i="79"/>
  <c r="AC5" i="79"/>
  <c r="AB5" i="79"/>
  <c r="AA5" i="79"/>
  <c r="Z5" i="79"/>
  <c r="Y5" i="79"/>
  <c r="P5" i="79"/>
  <c r="O5" i="79"/>
  <c r="V5" i="79" s="1"/>
  <c r="AJ5" i="79" s="1"/>
  <c r="N5" i="79"/>
  <c r="M5" i="79"/>
  <c r="L5" i="79"/>
  <c r="K5" i="79"/>
  <c r="R5" i="79" s="1"/>
  <c r="AF5" i="79" s="1"/>
  <c r="I5" i="79"/>
  <c r="AR6" i="79" s="1"/>
  <c r="AR7" i="79" s="1"/>
  <c r="AA3" i="79"/>
  <c r="AD3" i="79" s="1"/>
  <c r="R3" i="79"/>
  <c r="H3" i="79"/>
  <c r="G3" i="79"/>
  <c r="F3" i="79"/>
  <c r="I3" i="79" s="1"/>
  <c r="E3" i="79"/>
  <c r="D3" i="79"/>
  <c r="F38" i="11"/>
  <c r="E37" i="11"/>
  <c r="F36" i="11"/>
  <c r="F35" i="11"/>
  <c r="F21" i="11"/>
  <c r="C40" i="11" s="1"/>
  <c r="C21" i="1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c r="H98" i="43"/>
  <c r="D98" i="43"/>
  <c r="M97" i="43"/>
  <c r="N97" i="43" s="1"/>
  <c r="K97" i="43"/>
  <c r="J97" i="43" s="1"/>
  <c r="D97" i="43"/>
  <c r="M96" i="43"/>
  <c r="N96" i="43" s="1"/>
  <c r="K96" i="43"/>
  <c r="J96" i="43" s="1"/>
  <c r="D96" i="43"/>
  <c r="M95" i="43"/>
  <c r="N95" i="43" s="1"/>
  <c r="K95" i="43"/>
  <c r="J95" i="43"/>
  <c r="H95" i="43"/>
  <c r="D95" i="43"/>
  <c r="B95" i="43"/>
  <c r="M94" i="43"/>
  <c r="N94" i="43" s="1"/>
  <c r="K94" i="43"/>
  <c r="J94" i="43" s="1"/>
  <c r="D94" i="43"/>
  <c r="E93" i="43" s="1"/>
  <c r="B91" i="43" s="1"/>
  <c r="M93" i="43"/>
  <c r="N93" i="43" s="1"/>
  <c r="K93" i="43"/>
  <c r="J93" i="43"/>
  <c r="F93" i="43"/>
  <c r="H99" i="43" s="1"/>
  <c r="D93" i="43"/>
  <c r="M90" i="43"/>
  <c r="N90" i="43" s="1"/>
  <c r="K90" i="43"/>
  <c r="J90" i="43" s="1"/>
  <c r="D90" i="43"/>
  <c r="M89" i="43"/>
  <c r="N89" i="43" s="1"/>
  <c r="K89" i="43"/>
  <c r="J89" i="43"/>
  <c r="D89" i="43"/>
  <c r="N88" i="43"/>
  <c r="M88" i="43"/>
  <c r="K88" i="43"/>
  <c r="J88" i="43"/>
  <c r="H88" i="43"/>
  <c r="D88" i="43"/>
  <c r="M87" i="43"/>
  <c r="N87" i="43" s="1"/>
  <c r="K87" i="43"/>
  <c r="J87" i="43" s="1"/>
  <c r="D87" i="43"/>
  <c r="E83" i="43" s="1"/>
  <c r="B81" i="43" s="1"/>
  <c r="M86" i="43"/>
  <c r="N86" i="43" s="1"/>
  <c r="K86" i="43"/>
  <c r="J86" i="43"/>
  <c r="D86" i="43"/>
  <c r="B86" i="43"/>
  <c r="N85" i="43"/>
  <c r="M85" i="43"/>
  <c r="K85" i="43"/>
  <c r="J85" i="43"/>
  <c r="D85" i="43"/>
  <c r="B85" i="43"/>
  <c r="N84" i="43"/>
  <c r="M84" i="43"/>
  <c r="K84" i="43"/>
  <c r="J84" i="43"/>
  <c r="D84" i="43"/>
  <c r="M83" i="43"/>
  <c r="N83" i="43" s="1"/>
  <c r="K83" i="43"/>
  <c r="J83" i="43" s="1"/>
  <c r="F83" i="43"/>
  <c r="H85" i="43" s="1"/>
  <c r="D83" i="43"/>
  <c r="N80" i="43"/>
  <c r="M80" i="43"/>
  <c r="K80" i="43"/>
  <c r="J80" i="43"/>
  <c r="D80" i="43"/>
  <c r="M79" i="43"/>
  <c r="N79" i="43" s="1"/>
  <c r="K79" i="43"/>
  <c r="J79" i="43" s="1"/>
  <c r="D79" i="43"/>
  <c r="M78" i="43"/>
  <c r="N78" i="43" s="1"/>
  <c r="K78" i="43"/>
  <c r="J78" i="43"/>
  <c r="D78" i="43"/>
  <c r="N77" i="43"/>
  <c r="M77" i="43"/>
  <c r="K77" i="43"/>
  <c r="J77" i="43"/>
  <c r="H77" i="43"/>
  <c r="D77" i="43"/>
  <c r="M76" i="43"/>
  <c r="N76" i="43" s="1"/>
  <c r="K76" i="43"/>
  <c r="J76" i="43" s="1"/>
  <c r="D76" i="43"/>
  <c r="E72" i="43" s="1"/>
  <c r="B70" i="43" s="1"/>
  <c r="M75" i="43"/>
  <c r="N75" i="43" s="1"/>
  <c r="K75" i="43"/>
  <c r="J75" i="43"/>
  <c r="D75" i="43"/>
  <c r="N74" i="43"/>
  <c r="M74" i="43"/>
  <c r="K74" i="43"/>
  <c r="J74" i="43"/>
  <c r="D74" i="43"/>
  <c r="B74" i="43"/>
  <c r="N73" i="43"/>
  <c r="M73" i="43"/>
  <c r="K73" i="43"/>
  <c r="J73" i="43"/>
  <c r="D73" i="43"/>
  <c r="M72" i="43"/>
  <c r="N72" i="43" s="1"/>
  <c r="K72" i="43"/>
  <c r="J72" i="43" s="1"/>
  <c r="F72" i="43"/>
  <c r="H74" i="43" s="1"/>
  <c r="D72" i="43"/>
  <c r="B63" i="43"/>
  <c r="M58" i="43"/>
  <c r="N58" i="43" s="1"/>
  <c r="K58" i="43"/>
  <c r="J58" i="43" s="1"/>
  <c r="D58" i="43"/>
  <c r="N57" i="43"/>
  <c r="M57" i="43"/>
  <c r="K57" i="43"/>
  <c r="J57" i="43"/>
  <c r="D57" i="43"/>
  <c r="M56" i="43"/>
  <c r="N56" i="43" s="1"/>
  <c r="K56" i="43"/>
  <c r="J56" i="43"/>
  <c r="D56" i="43"/>
  <c r="M55" i="43"/>
  <c r="N55" i="43" s="1"/>
  <c r="K55" i="43"/>
  <c r="J55" i="43" s="1"/>
  <c r="D55" i="43"/>
  <c r="N54" i="43"/>
  <c r="M54" i="43"/>
  <c r="K54" i="43"/>
  <c r="J54" i="43" s="1"/>
  <c r="D54" i="43"/>
  <c r="N53" i="43"/>
  <c r="M53" i="43"/>
  <c r="K53" i="43"/>
  <c r="J53" i="43"/>
  <c r="D53" i="43"/>
  <c r="M52" i="43"/>
  <c r="N52" i="43" s="1"/>
  <c r="K52" i="43"/>
  <c r="J52" i="43" s="1"/>
  <c r="D52" i="43"/>
  <c r="B52" i="43"/>
  <c r="N51" i="43"/>
  <c r="M51" i="43"/>
  <c r="K51" i="43"/>
  <c r="J51" i="43"/>
  <c r="D51" i="43"/>
  <c r="M50" i="43"/>
  <c r="N50" i="43" s="1"/>
  <c r="K50" i="43"/>
  <c r="J50" i="43"/>
  <c r="F50" i="43"/>
  <c r="D50" i="43"/>
  <c r="E50" i="43" s="1"/>
  <c r="B48" i="43" s="1"/>
  <c r="B50" i="43"/>
  <c r="D42" i="43"/>
  <c r="H42" i="43" s="1"/>
  <c r="H41" i="43"/>
  <c r="H40" i="43"/>
  <c r="H39" i="43"/>
  <c r="H38" i="43"/>
  <c r="H37" i="43"/>
  <c r="O32" i="43"/>
  <c r="J24" i="43"/>
  <c r="G24" i="43"/>
  <c r="G18" i="43" s="1"/>
  <c r="E24" i="43"/>
  <c r="N32" i="43" s="1"/>
  <c r="I23" i="43"/>
  <c r="C22" i="43"/>
  <c r="E21" i="43"/>
  <c r="C20" i="43"/>
  <c r="I18" i="43"/>
  <c r="G17" i="43"/>
  <c r="C17" i="43"/>
  <c r="C13" i="43"/>
  <c r="N12" i="43"/>
  <c r="E11" i="43"/>
  <c r="AJ10" i="43"/>
  <c r="AD10" i="43"/>
  <c r="AB10" i="43"/>
  <c r="Y10" i="43"/>
  <c r="N10" i="43"/>
  <c r="C10" i="43"/>
  <c r="C11" i="43" s="1"/>
  <c r="E8" i="43" s="1"/>
  <c r="AJ9" i="43"/>
  <c r="AI9" i="43"/>
  <c r="AI10" i="43" s="1"/>
  <c r="AH9" i="43"/>
  <c r="AH10" i="43" s="1"/>
  <c r="AG9" i="43"/>
  <c r="AG10" i="43" s="1"/>
  <c r="AF9" i="43"/>
  <c r="AF10" i="43" s="1"/>
  <c r="AE9" i="43"/>
  <c r="AE10" i="43" s="1"/>
  <c r="AD9" i="43"/>
  <c r="AC9" i="43"/>
  <c r="AC10" i="43" s="1"/>
  <c r="AB9" i="43"/>
  <c r="AA9" i="43"/>
  <c r="AA10" i="43" s="1"/>
  <c r="Z9" i="43"/>
  <c r="Z10" i="43" s="1"/>
  <c r="M9" i="43"/>
  <c r="C9" i="43"/>
  <c r="N8" i="43"/>
  <c r="M5" i="43"/>
  <c r="M4" i="43"/>
  <c r="N3" i="43"/>
  <c r="M3" i="43"/>
  <c r="S2" i="43"/>
  <c r="I2" i="43"/>
  <c r="G2" i="43"/>
  <c r="F40" i="43" s="1"/>
  <c r="N1" i="43"/>
  <c r="F39" i="68"/>
  <c r="F38" i="68"/>
  <c r="E37" i="68"/>
  <c r="F36" i="68"/>
  <c r="F35" i="68"/>
  <c r="F21" i="68"/>
  <c r="F40" i="68" s="1"/>
  <c r="F20" i="68"/>
  <c r="C19" i="68"/>
  <c r="E10" i="68"/>
  <c r="E9" i="68"/>
  <c r="F7" i="68"/>
  <c r="Q72" i="82"/>
  <c r="Q59" i="82"/>
  <c r="K59" i="82"/>
  <c r="P74" i="82" s="1"/>
  <c r="F59" i="82"/>
  <c r="Q58" i="82"/>
  <c r="Q51" i="82"/>
  <c r="J50" i="82"/>
  <c r="M47" i="82"/>
  <c r="D46" i="82"/>
  <c r="F33" i="82"/>
  <c r="F61" i="82" s="1"/>
  <c r="F31" i="82"/>
  <c r="F23" i="82"/>
  <c r="D22" i="82" s="1"/>
  <c r="D23" i="82"/>
  <c r="F21" i="82"/>
  <c r="F20" i="82"/>
  <c r="M19" i="82"/>
  <c r="F18" i="82"/>
  <c r="M17" i="82"/>
  <c r="F17" i="82"/>
  <c r="F15" i="82"/>
  <c r="P74" i="80"/>
  <c r="Q72" i="80"/>
  <c r="Q59" i="80"/>
  <c r="K59" i="80"/>
  <c r="P61" i="80" s="1"/>
  <c r="F59" i="80"/>
  <c r="Q58" i="80"/>
  <c r="Q51" i="80"/>
  <c r="J50" i="80"/>
  <c r="M47" i="80"/>
  <c r="D46" i="80"/>
  <c r="F33" i="80"/>
  <c r="F61" i="80" s="1"/>
  <c r="F31" i="80"/>
  <c r="F23" i="80"/>
  <c r="D24" i="80" s="1"/>
  <c r="D23" i="80"/>
  <c r="D22" i="80"/>
  <c r="F21" i="80"/>
  <c r="F20" i="80"/>
  <c r="M19" i="80"/>
  <c r="F18" i="80"/>
  <c r="M17" i="80"/>
  <c r="F17" i="80"/>
  <c r="F15" i="80"/>
  <c r="P74" i="15"/>
  <c r="Q72" i="15"/>
  <c r="Q59" i="15"/>
  <c r="K59" i="15"/>
  <c r="P61" i="15" s="1"/>
  <c r="F59" i="15"/>
  <c r="Q58" i="15"/>
  <c r="Q51" i="15"/>
  <c r="J50" i="15"/>
  <c r="M47" i="15"/>
  <c r="D46" i="15"/>
  <c r="F33" i="15"/>
  <c r="F61" i="15" s="1"/>
  <c r="F31" i="15"/>
  <c r="D24" i="15"/>
  <c r="F23" i="15"/>
  <c r="D23" i="15"/>
  <c r="D22" i="15"/>
  <c r="F21" i="15"/>
  <c r="F20" i="15"/>
  <c r="M19" i="15"/>
  <c r="F18" i="15"/>
  <c r="M17" i="15"/>
  <c r="F17" i="15"/>
  <c r="F15" i="1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H12" i="31"/>
  <c r="I12" i="31" s="1"/>
  <c r="J12" i="31" s="1"/>
  <c r="K12" i="31" s="1"/>
  <c r="L12" i="31" s="1"/>
  <c r="M12" i="31" s="1"/>
  <c r="N12" i="31" s="1"/>
  <c r="O12" i="31" s="1"/>
  <c r="P12" i="31" s="1"/>
  <c r="Q12" i="31" s="1"/>
  <c r="R12" i="31" s="1"/>
  <c r="S12" i="31" s="1"/>
  <c r="D12" i="31"/>
  <c r="E12" i="31" s="1"/>
  <c r="F12" i="31" s="1"/>
  <c r="G12" i="31" s="1"/>
  <c r="F10" i="31"/>
  <c r="G10" i="31" s="1"/>
  <c r="H10" i="31" s="1"/>
  <c r="I10" i="31" s="1"/>
  <c r="J10" i="31" s="1"/>
  <c r="K10" i="31" s="1"/>
  <c r="L10" i="31" s="1"/>
  <c r="M10" i="31" s="1"/>
  <c r="N10" i="31" s="1"/>
  <c r="O10" i="31" s="1"/>
  <c r="P10" i="31" s="1"/>
  <c r="Q10" i="31" s="1"/>
  <c r="R10" i="31" s="1"/>
  <c r="S10" i="31" s="1"/>
  <c r="D10" i="31"/>
  <c r="E10" i="31" s="1"/>
  <c r="J8" i="31"/>
  <c r="K8" i="31" s="1"/>
  <c r="L8" i="31" s="1"/>
  <c r="M8" i="31" s="1"/>
  <c r="N8" i="31" s="1"/>
  <c r="O8" i="31" s="1"/>
  <c r="P8" i="31" s="1"/>
  <c r="Q8" i="31" s="1"/>
  <c r="R8" i="31" s="1"/>
  <c r="S8" i="31" s="1"/>
  <c r="D8" i="31"/>
  <c r="E8" i="31" s="1"/>
  <c r="F8" i="31" s="1"/>
  <c r="G8" i="31" s="1"/>
  <c r="H8" i="31" s="1"/>
  <c r="I8" i="31" s="1"/>
  <c r="P6" i="31"/>
  <c r="Q6" i="31" s="1"/>
  <c r="R6" i="31" s="1"/>
  <c r="S6" i="31" s="1"/>
  <c r="F6" i="31"/>
  <c r="G6" i="31" s="1"/>
  <c r="H6" i="31" s="1"/>
  <c r="I6" i="31" s="1"/>
  <c r="J6" i="31" s="1"/>
  <c r="K6" i="31" s="1"/>
  <c r="L6" i="31" s="1"/>
  <c r="M6" i="31" s="1"/>
  <c r="N6" i="31" s="1"/>
  <c r="O6" i="31" s="1"/>
  <c r="D6" i="31"/>
  <c r="E6" i="31" s="1"/>
  <c r="S2" i="31"/>
  <c r="R2" i="31"/>
  <c r="Q2" i="31"/>
  <c r="P2" i="31"/>
  <c r="O2" i="31"/>
  <c r="N2" i="31"/>
  <c r="M2" i="31"/>
  <c r="L2" i="31"/>
  <c r="K2" i="31"/>
  <c r="J2" i="31"/>
  <c r="I2" i="31"/>
  <c r="H2" i="31"/>
  <c r="G2" i="31"/>
  <c r="F2" i="31"/>
  <c r="E2" i="31"/>
  <c r="D2" i="31"/>
  <c r="C2" i="31"/>
  <c r="B120" i="40"/>
  <c r="B118" i="40"/>
  <c r="B116" i="40"/>
  <c r="M115" i="40"/>
  <c r="H115" i="40"/>
  <c r="I115" i="40" s="1"/>
  <c r="J115" i="40" s="1"/>
  <c r="K115" i="40" s="1"/>
  <c r="L115" i="40" s="1"/>
  <c r="E115" i="40"/>
  <c r="F115" i="40" s="1"/>
  <c r="G115" i="40" s="1"/>
  <c r="D115" i="40"/>
  <c r="J113" i="40"/>
  <c r="K113" i="40" s="1"/>
  <c r="L113" i="40" s="1"/>
  <c r="M113" i="40" s="1"/>
  <c r="D113" i="40"/>
  <c r="E113" i="40" s="1"/>
  <c r="F113" i="40" s="1"/>
  <c r="G113" i="40" s="1"/>
  <c r="H113" i="40" s="1"/>
  <c r="I113" i="40" s="1"/>
  <c r="L111" i="40"/>
  <c r="M111" i="40" s="1"/>
  <c r="F111" i="40"/>
  <c r="G111" i="40" s="1"/>
  <c r="H111" i="40" s="1"/>
  <c r="I111" i="40" s="1"/>
  <c r="J111" i="40" s="1"/>
  <c r="K111" i="40" s="1"/>
  <c r="D111" i="40"/>
  <c r="E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H98" i="40"/>
  <c r="I98" i="40" s="1"/>
  <c r="J98" i="40" s="1"/>
  <c r="K98" i="40" s="1"/>
  <c r="L98" i="40" s="1"/>
  <c r="M98" i="40" s="1"/>
  <c r="F98" i="40"/>
  <c r="G98" i="40" s="1"/>
  <c r="D98" i="40"/>
  <c r="E98" i="40" s="1"/>
  <c r="E96" i="40"/>
  <c r="F96" i="40" s="1"/>
  <c r="G96" i="40" s="1"/>
  <c r="H96" i="40" s="1"/>
  <c r="I96" i="40" s="1"/>
  <c r="J96" i="40" s="1"/>
  <c r="K96" i="40" s="1"/>
  <c r="L96" i="40" s="1"/>
  <c r="M96" i="40" s="1"/>
  <c r="D96" i="40"/>
  <c r="B95" i="40"/>
  <c r="E94" i="40"/>
  <c r="F94" i="40" s="1"/>
  <c r="G94" i="40" s="1"/>
  <c r="D94" i="40"/>
  <c r="F92" i="40"/>
  <c r="G92" i="40" s="1"/>
  <c r="E92" i="40"/>
  <c r="D92" i="40"/>
  <c r="F90" i="40"/>
  <c r="G90" i="40" s="1"/>
  <c r="E90" i="40"/>
  <c r="D90" i="40"/>
  <c r="E88" i="40"/>
  <c r="F88" i="40" s="1"/>
  <c r="G88" i="40" s="1"/>
  <c r="D88" i="40"/>
  <c r="E86" i="40"/>
  <c r="F86" i="40" s="1"/>
  <c r="G86" i="40" s="1"/>
  <c r="D86" i="40"/>
  <c r="F84" i="40"/>
  <c r="G84" i="40" s="1"/>
  <c r="E84" i="40"/>
  <c r="D84" i="40"/>
  <c r="B81" i="40"/>
  <c r="F14" i="40" s="1"/>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I60" i="40"/>
  <c r="C60" i="40" s="1"/>
  <c r="H60" i="40"/>
  <c r="H59" i="40"/>
  <c r="I59" i="40" s="1"/>
  <c r="C59" i="40" s="1"/>
  <c r="H58" i="40"/>
  <c r="I58" i="40" s="1"/>
  <c r="C58" i="40"/>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Q40" i="40"/>
  <c r="Z40" i="40" s="1"/>
  <c r="J40" i="40"/>
  <c r="W40" i="40" s="1"/>
  <c r="H40" i="40"/>
  <c r="F40" i="40"/>
  <c r="AA40" i="40" s="1"/>
  <c r="AB39" i="40"/>
  <c r="Z39" i="40"/>
  <c r="U39" i="40"/>
  <c r="Q39" i="40"/>
  <c r="J39" i="40"/>
  <c r="AC39" i="40" s="1"/>
  <c r="H39" i="40"/>
  <c r="F39" i="40"/>
  <c r="AA39" i="40" s="1"/>
  <c r="Q38" i="40"/>
  <c r="Z38" i="40" s="1"/>
  <c r="J38" i="40"/>
  <c r="AC38" i="40" s="1"/>
  <c r="AB37" i="40"/>
  <c r="Z37" i="40"/>
  <c r="Q37" i="40"/>
  <c r="J37" i="40"/>
  <c r="H37" i="40"/>
  <c r="U37" i="40" s="1"/>
  <c r="F37" i="40"/>
  <c r="AA37" i="40" s="1"/>
  <c r="AC36" i="40"/>
  <c r="AB36" i="40"/>
  <c r="AA36" i="40"/>
  <c r="U36" i="40"/>
  <c r="Q36" i="40"/>
  <c r="Z36" i="40" s="1"/>
  <c r="J36" i="40"/>
  <c r="W36" i="40" s="1"/>
  <c r="H36" i="40"/>
  <c r="F36" i="40"/>
  <c r="S36" i="40" s="1"/>
  <c r="Z35" i="40"/>
  <c r="Q35" i="40"/>
  <c r="J35" i="40"/>
  <c r="AC35" i="40" s="1"/>
  <c r="H35" i="40"/>
  <c r="F35" i="40"/>
  <c r="AA35" i="40" s="1"/>
  <c r="AA34" i="40"/>
  <c r="Z34" i="40"/>
  <c r="Q34" i="40"/>
  <c r="J34" i="40"/>
  <c r="H34" i="40"/>
  <c r="AB34" i="40" s="1"/>
  <c r="F34" i="40"/>
  <c r="S34" i="40" s="1"/>
  <c r="Z33" i="40"/>
  <c r="Q33" i="40"/>
  <c r="J33" i="40"/>
  <c r="AC32" i="40"/>
  <c r="Q32" i="40"/>
  <c r="Z32" i="40" s="1"/>
  <c r="J32" i="40"/>
  <c r="W32" i="40" s="1"/>
  <c r="H32" i="40"/>
  <c r="AB32" i="40" s="1"/>
  <c r="F32" i="40"/>
  <c r="AA32" i="40" s="1"/>
  <c r="Z31" i="40"/>
  <c r="Q31" i="40"/>
  <c r="F31" i="40"/>
  <c r="AA31" i="40" s="1"/>
  <c r="Z30" i="40"/>
  <c r="Q30" i="40"/>
  <c r="J30" i="40"/>
  <c r="W30" i="40" s="1"/>
  <c r="C30" i="40"/>
  <c r="AA28" i="40"/>
  <c r="Q28" i="40"/>
  <c r="Z28" i="40" s="1"/>
  <c r="J28" i="40"/>
  <c r="H28" i="40"/>
  <c r="AB28" i="40" s="1"/>
  <c r="F28" i="40"/>
  <c r="S28" i="40" s="1"/>
  <c r="C28" i="40"/>
  <c r="AC27" i="40"/>
  <c r="W27" i="40"/>
  <c r="Q27" i="40"/>
  <c r="Z27" i="40" s="1"/>
  <c r="J27" i="40"/>
  <c r="H27" i="40"/>
  <c r="AB27" i="40" s="1"/>
  <c r="F27" i="40"/>
  <c r="AA27" i="40" s="1"/>
  <c r="Z25" i="40"/>
  <c r="U25" i="40"/>
  <c r="Q25" i="40"/>
  <c r="J25" i="40"/>
  <c r="W25" i="40" s="1"/>
  <c r="H25" i="40"/>
  <c r="AB25" i="40" s="1"/>
  <c r="F25" i="40"/>
  <c r="AA25" i="40" s="1"/>
  <c r="AB23" i="40"/>
  <c r="U23" i="40"/>
  <c r="Q23" i="40"/>
  <c r="Z23" i="40" s="1"/>
  <c r="J23" i="40"/>
  <c r="W23" i="40" s="1"/>
  <c r="H23" i="40"/>
  <c r="F23" i="40"/>
  <c r="AA23" i="40" s="1"/>
  <c r="AC21" i="40"/>
  <c r="Z21" i="40"/>
  <c r="W21" i="40"/>
  <c r="Q21" i="40"/>
  <c r="J21" i="40"/>
  <c r="H21" i="40"/>
  <c r="F21" i="40"/>
  <c r="AA21" i="40" s="1"/>
  <c r="AC19" i="40"/>
  <c r="AB19" i="40"/>
  <c r="Z19" i="40"/>
  <c r="U19" i="40"/>
  <c r="Q19" i="40"/>
  <c r="J19" i="40"/>
  <c r="W19" i="40" s="1"/>
  <c r="H19" i="40"/>
  <c r="F19" i="40"/>
  <c r="AA19" i="40" s="1"/>
  <c r="C19" i="40"/>
  <c r="Z17" i="40"/>
  <c r="W17" i="40"/>
  <c r="Q17" i="40"/>
  <c r="J17" i="40"/>
  <c r="AC17" i="40" s="1"/>
  <c r="H17" i="40"/>
  <c r="F17" i="40"/>
  <c r="AA17" i="40" s="1"/>
  <c r="AB15" i="40"/>
  <c r="Z15" i="40"/>
  <c r="U15" i="40"/>
  <c r="Q15" i="40"/>
  <c r="J15" i="40"/>
  <c r="H15" i="40"/>
  <c r="F15" i="40"/>
  <c r="AA15" i="40" s="1"/>
  <c r="Z14" i="40"/>
  <c r="W14" i="40"/>
  <c r="Q14" i="40"/>
  <c r="J14" i="40"/>
  <c r="AC14" i="40" s="1"/>
  <c r="H14" i="40"/>
  <c r="Q13" i="40"/>
  <c r="Z13" i="40" s="1"/>
  <c r="H13" i="40"/>
  <c r="AB12" i="40"/>
  <c r="Z12" i="40"/>
  <c r="Q12" i="40"/>
  <c r="H12" i="40"/>
  <c r="U12" i="40" s="1"/>
  <c r="AA11" i="40"/>
  <c r="Z11" i="40"/>
  <c r="Q11" i="40"/>
  <c r="J11" i="40"/>
  <c r="W11" i="40" s="1"/>
  <c r="H11" i="40"/>
  <c r="AB11" i="40" s="1"/>
  <c r="F11" i="40"/>
  <c r="S11" i="40" s="1"/>
  <c r="Q10" i="40"/>
  <c r="Z10" i="40" s="1"/>
  <c r="AC9" i="40"/>
  <c r="Q9" i="40"/>
  <c r="Z9" i="40" s="1"/>
  <c r="J9" i="40"/>
  <c r="W9" i="40" s="1"/>
  <c r="H9" i="40"/>
  <c r="F9" i="40"/>
  <c r="AA9" i="40" s="1"/>
  <c r="AA8" i="40"/>
  <c r="W8" i="40"/>
  <c r="S8" i="40"/>
  <c r="J8" i="40"/>
  <c r="AC8" i="40" s="1"/>
  <c r="H8" i="40"/>
  <c r="F8" i="40"/>
  <c r="B130" i="39"/>
  <c r="B128" i="39"/>
  <c r="B126" i="39"/>
  <c r="H43" i="39" s="1"/>
  <c r="J125" i="39"/>
  <c r="K125" i="39" s="1"/>
  <c r="L125" i="39" s="1"/>
  <c r="M125" i="39" s="1"/>
  <c r="G125" i="39"/>
  <c r="H125" i="39" s="1"/>
  <c r="I125" i="39" s="1"/>
  <c r="D125" i="39"/>
  <c r="E125" i="39" s="1"/>
  <c r="F125" i="39" s="1"/>
  <c r="I123" i="39"/>
  <c r="J123" i="39" s="1"/>
  <c r="K123" i="39" s="1"/>
  <c r="L123" i="39" s="1"/>
  <c r="M123" i="39" s="1"/>
  <c r="D123" i="39"/>
  <c r="E123" i="39" s="1"/>
  <c r="F123" i="39" s="1"/>
  <c r="G123" i="39" s="1"/>
  <c r="H123" i="39" s="1"/>
  <c r="H121" i="39"/>
  <c r="I121" i="39" s="1"/>
  <c r="J121" i="39" s="1"/>
  <c r="K121" i="39" s="1"/>
  <c r="L121" i="39" s="1"/>
  <c r="M121" i="39" s="1"/>
  <c r="F121" i="39"/>
  <c r="G121" i="39" s="1"/>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B111" i="39"/>
  <c r="B109" i="39"/>
  <c r="H108" i="39"/>
  <c r="I108" i="39" s="1"/>
  <c r="J108" i="39" s="1"/>
  <c r="K108" i="39" s="1"/>
  <c r="L108" i="39" s="1"/>
  <c r="M108" i="39" s="1"/>
  <c r="D108" i="39"/>
  <c r="E108" i="39" s="1"/>
  <c r="F108" i="39" s="1"/>
  <c r="G108" i="39" s="1"/>
  <c r="H106" i="39"/>
  <c r="I106" i="39" s="1"/>
  <c r="J106" i="39" s="1"/>
  <c r="K106" i="39" s="1"/>
  <c r="L106" i="39" s="1"/>
  <c r="M106" i="39" s="1"/>
  <c r="G106" i="39"/>
  <c r="D106" i="39"/>
  <c r="E106" i="39" s="1"/>
  <c r="F106" i="39" s="1"/>
  <c r="F104" i="39"/>
  <c r="G104" i="39" s="1"/>
  <c r="H104" i="39" s="1"/>
  <c r="I104" i="39" s="1"/>
  <c r="J104" i="39" s="1"/>
  <c r="K104" i="39" s="1"/>
  <c r="L104" i="39" s="1"/>
  <c r="M104" i="39" s="1"/>
  <c r="D104" i="39"/>
  <c r="E104" i="39" s="1"/>
  <c r="B103" i="39"/>
  <c r="E102" i="39"/>
  <c r="F102" i="39" s="1"/>
  <c r="G102" i="39" s="1"/>
  <c r="D102" i="39"/>
  <c r="G100" i="39"/>
  <c r="E100" i="39"/>
  <c r="F100" i="39" s="1"/>
  <c r="D100" i="39"/>
  <c r="G98" i="39"/>
  <c r="E98" i="39"/>
  <c r="F98" i="39" s="1"/>
  <c r="D98" i="39"/>
  <c r="E96" i="39"/>
  <c r="F96" i="39" s="1"/>
  <c r="G96" i="39" s="1"/>
  <c r="D96" i="39"/>
  <c r="E94" i="39"/>
  <c r="F94" i="39" s="1"/>
  <c r="G94" i="39" s="1"/>
  <c r="D94" i="39"/>
  <c r="G92" i="39"/>
  <c r="E92" i="39"/>
  <c r="F92" i="39" s="1"/>
  <c r="D92" i="39"/>
  <c r="E90" i="39"/>
  <c r="F90" i="39" s="1"/>
  <c r="G90" i="39" s="1"/>
  <c r="D90" i="39"/>
  <c r="G88" i="39"/>
  <c r="E88" i="39"/>
  <c r="F88" i="39" s="1"/>
  <c r="D88" i="39"/>
  <c r="B85" i="39"/>
  <c r="H14" i="39" s="1"/>
  <c r="B83" i="39"/>
  <c r="B81" i="39"/>
  <c r="L80" i="39"/>
  <c r="M80" i="39" s="1"/>
  <c r="G80" i="39"/>
  <c r="H80" i="39" s="1"/>
  <c r="I80" i="39" s="1"/>
  <c r="J80" i="39" s="1"/>
  <c r="K80" i="39" s="1"/>
  <c r="F80" i="39"/>
  <c r="D80" i="39"/>
  <c r="E80" i="39" s="1"/>
  <c r="M78" i="39"/>
  <c r="L78" i="39"/>
  <c r="K78" i="39"/>
  <c r="J78" i="39"/>
  <c r="I78" i="39"/>
  <c r="H78" i="39"/>
  <c r="G78" i="39"/>
  <c r="F78" i="39"/>
  <c r="E78" i="39"/>
  <c r="D78" i="39"/>
  <c r="C78" i="39"/>
  <c r="H64" i="39"/>
  <c r="I64" i="39" s="1"/>
  <c r="C64" i="39"/>
  <c r="H63" i="39"/>
  <c r="I63" i="39" s="1"/>
  <c r="C63" i="39" s="1"/>
  <c r="I62" i="39"/>
  <c r="C62" i="39" s="1"/>
  <c r="H62" i="39"/>
  <c r="H61" i="39"/>
  <c r="I61" i="39" s="1"/>
  <c r="C61" i="39" s="1"/>
  <c r="H60" i="39"/>
  <c r="I60" i="39" s="1"/>
  <c r="C60" i="39" s="1"/>
  <c r="H59" i="39"/>
  <c r="I59" i="39" s="1"/>
  <c r="C59" i="39"/>
  <c r="H58" i="39"/>
  <c r="I58" i="39" s="1"/>
  <c r="C58" i="39" s="1"/>
  <c r="I57" i="39"/>
  <c r="C57" i="39" s="1"/>
  <c r="H57" i="39"/>
  <c r="J53" i="39"/>
  <c r="I53" i="39"/>
  <c r="H53" i="39"/>
  <c r="G53" i="39"/>
  <c r="F53" i="39"/>
  <c r="E53" i="39"/>
  <c r="P48" i="39"/>
  <c r="P47" i="39"/>
  <c r="K47" i="39"/>
  <c r="V46" i="39"/>
  <c r="T46" i="39"/>
  <c r="R46" i="39"/>
  <c r="P46" i="39"/>
  <c r="U45" i="39"/>
  <c r="Q45" i="39"/>
  <c r="Z45" i="39" s="1"/>
  <c r="J45" i="39"/>
  <c r="W45" i="39" s="1"/>
  <c r="H45" i="39"/>
  <c r="AB45" i="39" s="1"/>
  <c r="F45" i="39"/>
  <c r="AA45" i="39" s="1"/>
  <c r="Z44" i="39"/>
  <c r="Q44" i="39"/>
  <c r="W43" i="39"/>
  <c r="Q43" i="39"/>
  <c r="Z43" i="39" s="1"/>
  <c r="J43" i="39"/>
  <c r="AC43" i="39" s="1"/>
  <c r="AB42" i="39"/>
  <c r="Z42" i="39"/>
  <c r="W42" i="39"/>
  <c r="Q42" i="39"/>
  <c r="J42" i="39"/>
  <c r="AC42" i="39" s="1"/>
  <c r="H42" i="39"/>
  <c r="U42" i="39" s="1"/>
  <c r="F42" i="39"/>
  <c r="AA42" i="39" s="1"/>
  <c r="AC41" i="39"/>
  <c r="AB41" i="39"/>
  <c r="AA41" i="39"/>
  <c r="U41" i="39"/>
  <c r="Q41" i="39"/>
  <c r="Z41" i="39" s="1"/>
  <c r="J41" i="39"/>
  <c r="W41" i="39" s="1"/>
  <c r="H41" i="39"/>
  <c r="F41" i="39"/>
  <c r="S41" i="39" s="1"/>
  <c r="Z40" i="39"/>
  <c r="Q40" i="39"/>
  <c r="J40" i="39"/>
  <c r="AC40" i="39" s="1"/>
  <c r="H40" i="39"/>
  <c r="AB40" i="39" s="1"/>
  <c r="F40" i="39"/>
  <c r="AA40" i="39" s="1"/>
  <c r="AA39" i="39"/>
  <c r="Z39" i="39"/>
  <c r="Q39" i="39"/>
  <c r="J39" i="39"/>
  <c r="H39" i="39"/>
  <c r="AB39" i="39" s="1"/>
  <c r="F39" i="39"/>
  <c r="S39" i="39" s="1"/>
  <c r="AB38" i="39"/>
  <c r="Z38" i="39"/>
  <c r="U38" i="39"/>
  <c r="Q38" i="39"/>
  <c r="J38" i="39"/>
  <c r="H38" i="39"/>
  <c r="F38" i="39"/>
  <c r="AA38" i="39" s="1"/>
  <c r="Q37" i="39"/>
  <c r="Z37" i="39" s="1"/>
  <c r="J37" i="39"/>
  <c r="W37" i="39" s="1"/>
  <c r="H37" i="39"/>
  <c r="AB37" i="39" s="1"/>
  <c r="F37" i="39"/>
  <c r="AA37" i="39" s="1"/>
  <c r="AA36" i="39"/>
  <c r="Z36" i="39"/>
  <c r="U36" i="39"/>
  <c r="Q36" i="39"/>
  <c r="J36" i="39"/>
  <c r="AC36" i="39" s="1"/>
  <c r="H36" i="39"/>
  <c r="AB36" i="39" s="1"/>
  <c r="F36" i="39"/>
  <c r="S36" i="39" s="1"/>
  <c r="Z35" i="39"/>
  <c r="Q35" i="39"/>
  <c r="J35" i="39"/>
  <c r="AB34" i="39"/>
  <c r="U34" i="39"/>
  <c r="Q34" i="39"/>
  <c r="Z34" i="39" s="1"/>
  <c r="J34" i="39"/>
  <c r="H34" i="39"/>
  <c r="F34" i="39"/>
  <c r="AA34" i="39" s="1"/>
  <c r="AC32" i="39"/>
  <c r="U32" i="39"/>
  <c r="Q32" i="39"/>
  <c r="Z32" i="39" s="1"/>
  <c r="J32" i="39"/>
  <c r="W32" i="39" s="1"/>
  <c r="H32" i="39"/>
  <c r="AB32" i="39" s="1"/>
  <c r="F32" i="39"/>
  <c r="AA32" i="39" s="1"/>
  <c r="AA31" i="39"/>
  <c r="U31" i="39"/>
  <c r="Q31" i="39"/>
  <c r="Z31" i="39" s="1"/>
  <c r="J31" i="39"/>
  <c r="AC31" i="39" s="1"/>
  <c r="H31" i="39"/>
  <c r="AB31" i="39" s="1"/>
  <c r="F31" i="39"/>
  <c r="S31" i="39" s="1"/>
  <c r="AA29" i="39"/>
  <c r="Z29" i="39"/>
  <c r="Q29" i="39"/>
  <c r="J29" i="39"/>
  <c r="H29" i="39"/>
  <c r="AB29" i="39" s="1"/>
  <c r="F29" i="39"/>
  <c r="S29" i="39" s="1"/>
  <c r="AC27" i="39"/>
  <c r="Z27" i="39"/>
  <c r="W27" i="39"/>
  <c r="Q27" i="39"/>
  <c r="J27" i="39"/>
  <c r="H27" i="39"/>
  <c r="AB27" i="39" s="1"/>
  <c r="F27" i="39"/>
  <c r="AA27" i="39" s="1"/>
  <c r="AC25" i="39"/>
  <c r="Z25" i="39"/>
  <c r="Q25" i="39"/>
  <c r="J25" i="39"/>
  <c r="W25" i="39" s="1"/>
  <c r="H25" i="39"/>
  <c r="AB25" i="39" s="1"/>
  <c r="F25" i="39"/>
  <c r="S25" i="39" s="1"/>
  <c r="Z23" i="39"/>
  <c r="Q23" i="39"/>
  <c r="J23" i="39"/>
  <c r="H23" i="39"/>
  <c r="AB23" i="39" s="1"/>
  <c r="F23" i="39"/>
  <c r="AA23" i="39" s="1"/>
  <c r="C23" i="39"/>
  <c r="AC21" i="39"/>
  <c r="Z21" i="39"/>
  <c r="Q21" i="39"/>
  <c r="J21" i="39"/>
  <c r="W21" i="39" s="1"/>
  <c r="H21" i="39"/>
  <c r="AB21" i="39" s="1"/>
  <c r="F21" i="39"/>
  <c r="AA21" i="39" s="1"/>
  <c r="Z19" i="39"/>
  <c r="Q19" i="39"/>
  <c r="J19" i="39"/>
  <c r="H19" i="39"/>
  <c r="AB19" i="39" s="1"/>
  <c r="F19" i="39"/>
  <c r="AA19" i="39" s="1"/>
  <c r="AA17" i="39"/>
  <c r="Z17" i="39"/>
  <c r="Q17" i="39"/>
  <c r="J17" i="39"/>
  <c r="H17" i="39"/>
  <c r="AB17" i="39" s="1"/>
  <c r="F17" i="39"/>
  <c r="S17" i="39" s="1"/>
  <c r="AC15" i="39"/>
  <c r="Z15" i="39"/>
  <c r="W15" i="39"/>
  <c r="Q15" i="39"/>
  <c r="J15" i="39"/>
  <c r="H15" i="39"/>
  <c r="AB15" i="39" s="1"/>
  <c r="F15" i="39"/>
  <c r="AA15" i="39" s="1"/>
  <c r="AC14" i="39"/>
  <c r="AA14" i="39"/>
  <c r="Z14" i="39"/>
  <c r="S14" i="39"/>
  <c r="Q14" i="39"/>
  <c r="J14" i="39"/>
  <c r="W14" i="39" s="1"/>
  <c r="F14" i="39"/>
  <c r="AB13" i="39"/>
  <c r="Z13" i="39"/>
  <c r="U13" i="39"/>
  <c r="Q13" i="39"/>
  <c r="J13" i="39"/>
  <c r="H13" i="39"/>
  <c r="F13" i="39"/>
  <c r="AA13" i="39" s="1"/>
  <c r="AB12" i="39"/>
  <c r="Q12" i="39"/>
  <c r="Z12" i="39" s="1"/>
  <c r="J12" i="39"/>
  <c r="AC12" i="39" s="1"/>
  <c r="H12" i="39"/>
  <c r="U12" i="39" s="1"/>
  <c r="F12" i="39"/>
  <c r="AA12" i="39" s="1"/>
  <c r="AA11" i="39"/>
  <c r="Z11" i="39"/>
  <c r="U11" i="39"/>
  <c r="Q11" i="39"/>
  <c r="J11" i="39"/>
  <c r="AC11" i="39" s="1"/>
  <c r="H11" i="39"/>
  <c r="AB11" i="39" s="1"/>
  <c r="F11" i="39"/>
  <c r="S11" i="39" s="1"/>
  <c r="Z10" i="39"/>
  <c r="Q10" i="39"/>
  <c r="AB9" i="39"/>
  <c r="U9" i="39"/>
  <c r="Q9" i="39"/>
  <c r="Z9" i="39" s="1"/>
  <c r="J9" i="39"/>
  <c r="H9" i="39"/>
  <c r="F9" i="39"/>
  <c r="AA9" i="39" s="1"/>
  <c r="AB8" i="39"/>
  <c r="U8" i="39"/>
  <c r="S8" i="39"/>
  <c r="J8" i="39"/>
  <c r="W8" i="39" s="1"/>
  <c r="H8" i="39"/>
  <c r="F8" i="39"/>
  <c r="AA8" i="39" s="1"/>
  <c r="B95" i="36"/>
  <c r="B93" i="36"/>
  <c r="H33" i="36" s="1"/>
  <c r="B91" i="36"/>
  <c r="M86" i="36"/>
  <c r="L86" i="36"/>
  <c r="K86" i="36"/>
  <c r="J86" i="36"/>
  <c r="I86" i="36"/>
  <c r="H86" i="36"/>
  <c r="G86" i="36"/>
  <c r="F86" i="36"/>
  <c r="E86" i="36"/>
  <c r="D86" i="36"/>
  <c r="C86" i="36"/>
  <c r="K85" i="36"/>
  <c r="L85" i="36" s="1"/>
  <c r="M85" i="36" s="1"/>
  <c r="D85" i="36"/>
  <c r="E85" i="36" s="1"/>
  <c r="F85" i="36" s="1"/>
  <c r="G85" i="36" s="1"/>
  <c r="H85" i="36" s="1"/>
  <c r="I85" i="36" s="1"/>
  <c r="J85" i="36" s="1"/>
  <c r="F83" i="36"/>
  <c r="G83" i="36" s="1"/>
  <c r="H83" i="36" s="1"/>
  <c r="I83" i="36" s="1"/>
  <c r="J83" i="36" s="1"/>
  <c r="K83" i="36" s="1"/>
  <c r="L83" i="36" s="1"/>
  <c r="M83" i="36" s="1"/>
  <c r="D83" i="36"/>
  <c r="E83" i="36" s="1"/>
  <c r="J81" i="36"/>
  <c r="K81" i="36" s="1"/>
  <c r="L81" i="36" s="1"/>
  <c r="M81" i="36" s="1"/>
  <c r="F81" i="36"/>
  <c r="G81" i="36" s="1"/>
  <c r="H81" i="36" s="1"/>
  <c r="I81" i="36" s="1"/>
  <c r="D81" i="36"/>
  <c r="E81" i="36" s="1"/>
  <c r="G79" i="36"/>
  <c r="F79" i="36"/>
  <c r="E79" i="36"/>
  <c r="D79" i="36"/>
  <c r="C79" i="36"/>
  <c r="J78" i="36"/>
  <c r="K78" i="36" s="1"/>
  <c r="L78" i="36" s="1"/>
  <c r="M78" i="36" s="1"/>
  <c r="F78" i="36"/>
  <c r="G78" i="36" s="1"/>
  <c r="H78" i="36" s="1"/>
  <c r="I78" i="36" s="1"/>
  <c r="E78" i="36"/>
  <c r="D78" i="36"/>
  <c r="B75" i="36"/>
  <c r="H25" i="36" s="1"/>
  <c r="B73" i="36"/>
  <c r="B71" i="36"/>
  <c r="D70" i="36"/>
  <c r="E68" i="36"/>
  <c r="F68" i="36" s="1"/>
  <c r="G68" i="36" s="1"/>
  <c r="D68" i="36"/>
  <c r="F66" i="36"/>
  <c r="G66" i="36" s="1"/>
  <c r="E66" i="36"/>
  <c r="D66" i="36"/>
  <c r="E64" i="36"/>
  <c r="F64" i="36" s="1"/>
  <c r="G64" i="36" s="1"/>
  <c r="D64" i="36"/>
  <c r="F62" i="36"/>
  <c r="G62" i="36" s="1"/>
  <c r="E62" i="36"/>
  <c r="D62" i="36"/>
  <c r="B59" i="36"/>
  <c r="H13" i="36" s="1"/>
  <c r="B57" i="36"/>
  <c r="B55" i="36"/>
  <c r="J11" i="36" s="1"/>
  <c r="W11" i="36" s="1"/>
  <c r="C51" i="36"/>
  <c r="J42" i="36"/>
  <c r="I42" i="36"/>
  <c r="G42" i="36"/>
  <c r="H42" i="36" s="1"/>
  <c r="E42" i="36"/>
  <c r="F42" i="36" s="1"/>
  <c r="P37" i="36"/>
  <c r="P36" i="36"/>
  <c r="K36" i="36"/>
  <c r="V35" i="36"/>
  <c r="T35" i="36"/>
  <c r="R35" i="36"/>
  <c r="P35" i="36"/>
  <c r="AB34" i="36"/>
  <c r="Z34" i="36"/>
  <c r="Q34" i="36"/>
  <c r="H34" i="36"/>
  <c r="U34" i="36" s="1"/>
  <c r="AC33" i="36"/>
  <c r="AA33" i="36"/>
  <c r="S33" i="36"/>
  <c r="Q33" i="36"/>
  <c r="Z33" i="36" s="1"/>
  <c r="J33" i="36"/>
  <c r="W33" i="36" s="1"/>
  <c r="F33" i="36"/>
  <c r="AB32" i="36"/>
  <c r="U32" i="36"/>
  <c r="Q32" i="36"/>
  <c r="Z32" i="36" s="1"/>
  <c r="J32" i="36"/>
  <c r="H32" i="36"/>
  <c r="F32" i="36"/>
  <c r="AA32" i="36" s="1"/>
  <c r="AC31" i="36"/>
  <c r="U31" i="36"/>
  <c r="Q31" i="36"/>
  <c r="Z31" i="36" s="1"/>
  <c r="J31" i="36"/>
  <c r="W31" i="36" s="1"/>
  <c r="H31" i="36"/>
  <c r="AB31" i="36" s="1"/>
  <c r="F31" i="36"/>
  <c r="AA31" i="36" s="1"/>
  <c r="AA30" i="36"/>
  <c r="U30" i="36"/>
  <c r="Q30" i="36"/>
  <c r="Z30" i="36" s="1"/>
  <c r="J30" i="36"/>
  <c r="AC30" i="36" s="1"/>
  <c r="H30" i="36"/>
  <c r="AB30" i="36" s="1"/>
  <c r="F30" i="36"/>
  <c r="S30" i="36" s="1"/>
  <c r="Q29" i="36"/>
  <c r="Z29" i="36" s="1"/>
  <c r="J29" i="36"/>
  <c r="H29" i="36"/>
  <c r="AB29" i="36" s="1"/>
  <c r="F29" i="36"/>
  <c r="AA29" i="36" s="1"/>
  <c r="AC28" i="36"/>
  <c r="AB28" i="36"/>
  <c r="W28" i="36"/>
  <c r="U28" i="36"/>
  <c r="Q28" i="36"/>
  <c r="Z28" i="36" s="1"/>
  <c r="J28" i="36"/>
  <c r="H28" i="36"/>
  <c r="F28" i="36"/>
  <c r="AA28" i="36" s="1"/>
  <c r="AA27" i="36"/>
  <c r="U27" i="36"/>
  <c r="Q27" i="36"/>
  <c r="Z27" i="36" s="1"/>
  <c r="J27" i="36"/>
  <c r="H27" i="36"/>
  <c r="AB27" i="36" s="1"/>
  <c r="F27" i="36"/>
  <c r="S27" i="36" s="1"/>
  <c r="AB26" i="36"/>
  <c r="AA26" i="36"/>
  <c r="Q26" i="36"/>
  <c r="Z26" i="36" s="1"/>
  <c r="J26" i="36"/>
  <c r="AC26" i="36" s="1"/>
  <c r="H26" i="36"/>
  <c r="U26" i="36" s="1"/>
  <c r="F26" i="36"/>
  <c r="S26" i="36" s="1"/>
  <c r="AC25" i="36"/>
  <c r="AA25" i="36"/>
  <c r="W25" i="36"/>
  <c r="S25" i="36"/>
  <c r="Q25" i="36"/>
  <c r="Z25" i="36" s="1"/>
  <c r="J25" i="36"/>
  <c r="F25" i="36"/>
  <c r="Q24" i="36"/>
  <c r="Z24" i="36" s="1"/>
  <c r="Q23" i="36"/>
  <c r="Z23" i="36" s="1"/>
  <c r="J23" i="36"/>
  <c r="AC23" i="36" s="1"/>
  <c r="H23" i="36"/>
  <c r="AB23" i="36" s="1"/>
  <c r="F23" i="36"/>
  <c r="AA23" i="36" s="1"/>
  <c r="AA22" i="36"/>
  <c r="Z22" i="36"/>
  <c r="Q22" i="36"/>
  <c r="J22" i="36"/>
  <c r="AC22" i="36" s="1"/>
  <c r="H22" i="36"/>
  <c r="F22" i="36"/>
  <c r="S22" i="36" s="1"/>
  <c r="AC20" i="36"/>
  <c r="Z20" i="36"/>
  <c r="Q20" i="36"/>
  <c r="J20" i="36"/>
  <c r="W20" i="36" s="1"/>
  <c r="H20" i="36"/>
  <c r="AB20" i="36" s="1"/>
  <c r="F20" i="36"/>
  <c r="AA20" i="36" s="1"/>
  <c r="C20" i="36"/>
  <c r="Z18" i="36"/>
  <c r="Q18" i="36"/>
  <c r="J18" i="36"/>
  <c r="H18" i="36"/>
  <c r="AB18" i="36" s="1"/>
  <c r="F18" i="36"/>
  <c r="AA18" i="36" s="1"/>
  <c r="C18" i="36"/>
  <c r="AC16" i="36"/>
  <c r="AA16" i="36"/>
  <c r="Q16" i="36"/>
  <c r="Z16" i="36" s="1"/>
  <c r="J16" i="36"/>
  <c r="W16" i="36" s="1"/>
  <c r="H16" i="36"/>
  <c r="AB16" i="36" s="1"/>
  <c r="F16" i="36"/>
  <c r="S16" i="36" s="1"/>
  <c r="C16" i="36"/>
  <c r="Z14" i="36"/>
  <c r="Q14" i="36"/>
  <c r="J14" i="36"/>
  <c r="H14" i="36"/>
  <c r="AB14" i="36" s="1"/>
  <c r="F14" i="36"/>
  <c r="AA14" i="36" s="1"/>
  <c r="C14" i="36"/>
  <c r="AC13" i="36"/>
  <c r="AA13" i="36"/>
  <c r="S13" i="36"/>
  <c r="Q13" i="36"/>
  <c r="Z13" i="36" s="1"/>
  <c r="J13" i="36"/>
  <c r="W13" i="36" s="1"/>
  <c r="F13" i="36"/>
  <c r="Q12" i="36"/>
  <c r="Z12" i="36" s="1"/>
  <c r="J12" i="36"/>
  <c r="AC11" i="36"/>
  <c r="AB11" i="36"/>
  <c r="U11" i="36"/>
  <c r="Q11" i="36"/>
  <c r="Z11" i="36" s="1"/>
  <c r="H11" i="36"/>
  <c r="F11" i="36"/>
  <c r="Z10" i="36"/>
  <c r="Q10" i="36"/>
  <c r="J10" i="36"/>
  <c r="AC10" i="36" s="1"/>
  <c r="H10" i="36"/>
  <c r="AB10" i="36" s="1"/>
  <c r="F10" i="36"/>
  <c r="AA10" i="36" s="1"/>
  <c r="AA9" i="36"/>
  <c r="Z9" i="36"/>
  <c r="W9" i="36"/>
  <c r="Q9" i="36"/>
  <c r="J9" i="36"/>
  <c r="AC9" i="36" s="1"/>
  <c r="H9" i="36"/>
  <c r="AB9" i="36" s="1"/>
  <c r="F9" i="36"/>
  <c r="S9" i="36" s="1"/>
  <c r="AC8" i="36"/>
  <c r="W8" i="36"/>
  <c r="S8" i="36"/>
  <c r="J8" i="36"/>
  <c r="H8" i="36"/>
  <c r="U8" i="36" s="1"/>
  <c r="F8" i="36"/>
  <c r="AA8" i="36" s="1"/>
  <c r="D3" i="36"/>
  <c r="B2" i="36"/>
  <c r="B101" i="35"/>
  <c r="J36" i="35" s="1"/>
  <c r="B99" i="35"/>
  <c r="B97" i="35"/>
  <c r="F34" i="35" s="1"/>
  <c r="G96" i="35"/>
  <c r="D96" i="35"/>
  <c r="E96" i="35" s="1"/>
  <c r="F96" i="35" s="1"/>
  <c r="J94" i="35"/>
  <c r="K94" i="35" s="1"/>
  <c r="L94" i="35" s="1"/>
  <c r="M94" i="35" s="1"/>
  <c r="D94" i="35"/>
  <c r="E94" i="35" s="1"/>
  <c r="F94" i="35" s="1"/>
  <c r="G94" i="35" s="1"/>
  <c r="H94" i="35" s="1"/>
  <c r="I94" i="35" s="1"/>
  <c r="M90" i="35"/>
  <c r="L90" i="35"/>
  <c r="K90" i="35"/>
  <c r="J90" i="35"/>
  <c r="I90" i="35"/>
  <c r="H90" i="35"/>
  <c r="G90" i="35"/>
  <c r="F90" i="35"/>
  <c r="E90" i="35"/>
  <c r="D90" i="35"/>
  <c r="C90" i="35"/>
  <c r="M89" i="35"/>
  <c r="E89" i="35"/>
  <c r="F89" i="35" s="1"/>
  <c r="G89" i="35" s="1"/>
  <c r="H89" i="35" s="1"/>
  <c r="I89" i="35" s="1"/>
  <c r="J89" i="35" s="1"/>
  <c r="K89" i="35" s="1"/>
  <c r="L89" i="35" s="1"/>
  <c r="D89" i="35"/>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E80" i="35"/>
  <c r="F80" i="35" s="1"/>
  <c r="G80" i="35" s="1"/>
  <c r="H80" i="35" s="1"/>
  <c r="I80" i="35" s="1"/>
  <c r="J80" i="35" s="1"/>
  <c r="K80" i="35" s="1"/>
  <c r="L80" i="35" s="1"/>
  <c r="M80" i="35" s="1"/>
  <c r="D80" i="35"/>
  <c r="B77" i="35"/>
  <c r="J25" i="35" s="1"/>
  <c r="B75" i="35"/>
  <c r="B73" i="35"/>
  <c r="E72" i="35"/>
  <c r="F72" i="35" s="1"/>
  <c r="G72" i="35" s="1"/>
  <c r="D72" i="35"/>
  <c r="D70" i="35"/>
  <c r="E70" i="35" s="1"/>
  <c r="F70" i="35" s="1"/>
  <c r="G70" i="35" s="1"/>
  <c r="D68" i="35"/>
  <c r="E68" i="35" s="1"/>
  <c r="F68" i="35" s="1"/>
  <c r="G68" i="35" s="1"/>
  <c r="D66" i="35"/>
  <c r="E66" i="35" s="1"/>
  <c r="F66" i="35" s="1"/>
  <c r="G66" i="35" s="1"/>
  <c r="E64" i="35"/>
  <c r="F64" i="35" s="1"/>
  <c r="G64" i="35" s="1"/>
  <c r="D64" i="35"/>
  <c r="B61" i="35"/>
  <c r="B59" i="35"/>
  <c r="F12" i="35" s="1"/>
  <c r="S12" i="35" s="1"/>
  <c r="B57" i="35"/>
  <c r="C53" i="35"/>
  <c r="F9" i="35" s="1"/>
  <c r="I44" i="35"/>
  <c r="J44" i="35" s="1"/>
  <c r="H44" i="35"/>
  <c r="G44" i="35"/>
  <c r="E44" i="35"/>
  <c r="F44" i="35" s="1"/>
  <c r="P39" i="35"/>
  <c r="P38" i="35"/>
  <c r="K38" i="35"/>
  <c r="B38" i="35"/>
  <c r="V37" i="35"/>
  <c r="T37" i="35"/>
  <c r="R37" i="35"/>
  <c r="P37" i="35"/>
  <c r="AA36" i="35"/>
  <c r="Z36" i="35"/>
  <c r="Q36" i="35"/>
  <c r="H36" i="35"/>
  <c r="F36" i="35"/>
  <c r="S36" i="35" s="1"/>
  <c r="AA35" i="35"/>
  <c r="W35" i="35"/>
  <c r="Q35" i="35"/>
  <c r="Z35" i="35" s="1"/>
  <c r="J35" i="35"/>
  <c r="AC35" i="35" s="1"/>
  <c r="H35" i="35"/>
  <c r="AB35" i="35" s="1"/>
  <c r="F35" i="35"/>
  <c r="S35" i="35" s="1"/>
  <c r="AB34" i="35"/>
  <c r="U34" i="35"/>
  <c r="Q34" i="35"/>
  <c r="Z34" i="35" s="1"/>
  <c r="J34" i="35"/>
  <c r="H34" i="35"/>
  <c r="AC33" i="35"/>
  <c r="AA33" i="35"/>
  <c r="Q33" i="35"/>
  <c r="Z33" i="35" s="1"/>
  <c r="J33" i="35"/>
  <c r="W33" i="35" s="1"/>
  <c r="H33" i="35"/>
  <c r="U33" i="35" s="1"/>
  <c r="F33" i="35"/>
  <c r="S33" i="35" s="1"/>
  <c r="Z32" i="35"/>
  <c r="Q32" i="35"/>
  <c r="J32" i="35"/>
  <c r="AC32" i="35" s="1"/>
  <c r="H32" i="35"/>
  <c r="U32" i="35" s="1"/>
  <c r="F32" i="35"/>
  <c r="AA32" i="35" s="1"/>
  <c r="AA31" i="35"/>
  <c r="Z31" i="35"/>
  <c r="W31" i="35"/>
  <c r="Q31" i="35"/>
  <c r="J31" i="35"/>
  <c r="AC31" i="35" s="1"/>
  <c r="H31" i="35"/>
  <c r="AB31" i="35" s="1"/>
  <c r="F31" i="35"/>
  <c r="S31" i="35" s="1"/>
  <c r="AC30" i="35"/>
  <c r="AB30" i="35"/>
  <c r="Z30" i="35"/>
  <c r="U30" i="35"/>
  <c r="Q30" i="35"/>
  <c r="J30" i="35"/>
  <c r="W30" i="35" s="1"/>
  <c r="H30" i="35"/>
  <c r="F30" i="35"/>
  <c r="AA30" i="35" s="1"/>
  <c r="AB29" i="35"/>
  <c r="Q29" i="35"/>
  <c r="Z29" i="35" s="1"/>
  <c r="J29" i="35"/>
  <c r="H29" i="35"/>
  <c r="U29" i="35" s="1"/>
  <c r="F29" i="35"/>
  <c r="AA29" i="35" s="1"/>
  <c r="AA28" i="35"/>
  <c r="Z28" i="35"/>
  <c r="Q28" i="35"/>
  <c r="J28" i="35"/>
  <c r="AC28" i="35" s="1"/>
  <c r="H28" i="35"/>
  <c r="F28" i="35"/>
  <c r="S28" i="35" s="1"/>
  <c r="AC27" i="35"/>
  <c r="Z27" i="35"/>
  <c r="Q27" i="35"/>
  <c r="J27" i="35"/>
  <c r="W27" i="35" s="1"/>
  <c r="H27" i="35"/>
  <c r="AB27" i="35" s="1"/>
  <c r="F27" i="35"/>
  <c r="S27" i="35" s="1"/>
  <c r="Q26" i="35"/>
  <c r="Z26" i="35" s="1"/>
  <c r="C26" i="35"/>
  <c r="Z25" i="35"/>
  <c r="Q25" i="35"/>
  <c r="AC24" i="35"/>
  <c r="AA24" i="35"/>
  <c r="W24" i="35"/>
  <c r="Q24" i="35"/>
  <c r="Z24" i="35" s="1"/>
  <c r="J24" i="35"/>
  <c r="H24" i="35"/>
  <c r="F24" i="35"/>
  <c r="S24" i="35" s="1"/>
  <c r="Q23" i="35"/>
  <c r="Z23" i="35" s="1"/>
  <c r="AC22" i="35"/>
  <c r="Z22" i="35"/>
  <c r="Q22" i="35"/>
  <c r="J22" i="35"/>
  <c r="W22" i="35" s="1"/>
  <c r="H22" i="35"/>
  <c r="AB22" i="35" s="1"/>
  <c r="F22" i="35"/>
  <c r="S22" i="35" s="1"/>
  <c r="AC20" i="35"/>
  <c r="W20" i="35"/>
  <c r="Q20" i="35"/>
  <c r="Z20" i="35" s="1"/>
  <c r="J20" i="35"/>
  <c r="H20" i="35"/>
  <c r="F20" i="35"/>
  <c r="AA20" i="35" s="1"/>
  <c r="C20" i="35"/>
  <c r="Z18" i="35"/>
  <c r="Q18" i="35"/>
  <c r="J18" i="35"/>
  <c r="AC18" i="35" s="1"/>
  <c r="H18" i="35"/>
  <c r="F18" i="35"/>
  <c r="AA18" i="35" s="1"/>
  <c r="C18" i="35"/>
  <c r="AC16" i="35"/>
  <c r="AB16" i="35"/>
  <c r="W16" i="35"/>
  <c r="U16" i="35"/>
  <c r="Q16" i="35"/>
  <c r="Z16" i="35" s="1"/>
  <c r="J16" i="35"/>
  <c r="H16" i="35"/>
  <c r="F16" i="35"/>
  <c r="AA16" i="35" s="1"/>
  <c r="C16" i="35"/>
  <c r="AB14" i="35"/>
  <c r="Q14" i="35"/>
  <c r="Z14" i="35" s="1"/>
  <c r="J14" i="35"/>
  <c r="H14" i="35"/>
  <c r="U14" i="35" s="1"/>
  <c r="F14" i="35"/>
  <c r="AA14" i="35" s="1"/>
  <c r="C14" i="35"/>
  <c r="AC13" i="35"/>
  <c r="W13" i="35"/>
  <c r="Q13" i="35"/>
  <c r="Z13" i="35" s="1"/>
  <c r="J13" i="35"/>
  <c r="H13" i="35"/>
  <c r="F13" i="35"/>
  <c r="AA13" i="35" s="1"/>
  <c r="AC12" i="35"/>
  <c r="AA12" i="35"/>
  <c r="W12" i="35"/>
  <c r="Q12" i="35"/>
  <c r="Z12" i="35" s="1"/>
  <c r="J12" i="35"/>
  <c r="H12" i="35"/>
  <c r="Z11" i="35"/>
  <c r="Q11" i="35"/>
  <c r="H11" i="35"/>
  <c r="Q10" i="35"/>
  <c r="Z10" i="35" s="1"/>
  <c r="J10" i="35"/>
  <c r="H10" i="35"/>
  <c r="AB10" i="35" s="1"/>
  <c r="F10" i="35"/>
  <c r="AA10" i="35" s="1"/>
  <c r="AC9" i="35"/>
  <c r="AB9" i="35"/>
  <c r="W9" i="35"/>
  <c r="U9" i="35"/>
  <c r="Q9" i="35"/>
  <c r="Z9" i="35" s="1"/>
  <c r="J9" i="35"/>
  <c r="H9" i="35"/>
  <c r="AC8" i="35"/>
  <c r="AB8" i="35"/>
  <c r="U8" i="35"/>
  <c r="J8" i="35"/>
  <c r="W8" i="35" s="1"/>
  <c r="H8" i="35"/>
  <c r="F8" i="35"/>
  <c r="D3" i="35"/>
  <c r="B2" i="35"/>
  <c r="B112" i="37"/>
  <c r="B110" i="37"/>
  <c r="J39" i="37" s="1"/>
  <c r="B108" i="37"/>
  <c r="F107" i="37"/>
  <c r="G107" i="37" s="1"/>
  <c r="H107" i="37" s="1"/>
  <c r="I107" i="37" s="1"/>
  <c r="J107" i="37" s="1"/>
  <c r="K107" i="37" s="1"/>
  <c r="L107" i="37" s="1"/>
  <c r="M107" i="37" s="1"/>
  <c r="E107" i="37"/>
  <c r="D107" i="37"/>
  <c r="F105" i="37"/>
  <c r="G105" i="37" s="1"/>
  <c r="E105" i="37"/>
  <c r="D105" i="37"/>
  <c r="L103" i="37"/>
  <c r="M103" i="37" s="1"/>
  <c r="G103" i="37"/>
  <c r="H103" i="37" s="1"/>
  <c r="I103" i="37" s="1"/>
  <c r="J103" i="37" s="1"/>
  <c r="K103" i="37" s="1"/>
  <c r="D103" i="37"/>
  <c r="E103" i="37" s="1"/>
  <c r="F103" i="37" s="1"/>
  <c r="K101" i="37"/>
  <c r="L101" i="37" s="1"/>
  <c r="M101" i="37" s="1"/>
  <c r="F101" i="37"/>
  <c r="G101" i="37" s="1"/>
  <c r="H101" i="37" s="1"/>
  <c r="I101" i="37" s="1"/>
  <c r="J101" i="37" s="1"/>
  <c r="E101" i="37"/>
  <c r="D101" i="37"/>
  <c r="I99" i="37"/>
  <c r="J99" i="37" s="1"/>
  <c r="K99" i="37" s="1"/>
  <c r="L99" i="37" s="1"/>
  <c r="M99" i="37" s="1"/>
  <c r="D99" i="37"/>
  <c r="E99" i="37" s="1"/>
  <c r="F99" i="37" s="1"/>
  <c r="G99" i="37" s="1"/>
  <c r="H99" i="37" s="1"/>
  <c r="G97" i="37"/>
  <c r="F97" i="37"/>
  <c r="E97" i="37"/>
  <c r="D97" i="37"/>
  <c r="C97" i="37"/>
  <c r="L96" i="37"/>
  <c r="M96" i="37" s="1"/>
  <c r="G96" i="37"/>
  <c r="H96" i="37" s="1"/>
  <c r="I96" i="37" s="1"/>
  <c r="J96" i="37" s="1"/>
  <c r="K96" i="37" s="1"/>
  <c r="D96" i="37"/>
  <c r="E96" i="37" s="1"/>
  <c r="F96" i="37" s="1"/>
  <c r="F94" i="37"/>
  <c r="G94" i="37" s="1"/>
  <c r="H94" i="37" s="1"/>
  <c r="I94" i="37" s="1"/>
  <c r="J94" i="37" s="1"/>
  <c r="K94" i="37" s="1"/>
  <c r="L94" i="37" s="1"/>
  <c r="M94" i="37" s="1"/>
  <c r="D94" i="37"/>
  <c r="E94" i="37" s="1"/>
  <c r="M90" i="37"/>
  <c r="L90" i="37"/>
  <c r="K90" i="37"/>
  <c r="J90" i="37"/>
  <c r="I90" i="37"/>
  <c r="H90" i="37"/>
  <c r="G90" i="37"/>
  <c r="F90" i="37"/>
  <c r="E90" i="37"/>
  <c r="D90" i="37"/>
  <c r="C90" i="37"/>
  <c r="J89" i="37"/>
  <c r="K89" i="37" s="1"/>
  <c r="L89" i="37" s="1"/>
  <c r="M89" i="37" s="1"/>
  <c r="E89" i="37"/>
  <c r="F89" i="37" s="1"/>
  <c r="G89" i="37" s="1"/>
  <c r="H89" i="37" s="1"/>
  <c r="I89" i="37" s="1"/>
  <c r="D89" i="37"/>
  <c r="B86" i="37"/>
  <c r="B84" i="37"/>
  <c r="J27" i="37" s="1"/>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J13" i="37" s="1"/>
  <c r="B64" i="37"/>
  <c r="K63" i="37"/>
  <c r="L63" i="37" s="1"/>
  <c r="M63" i="37" s="1"/>
  <c r="F63" i="37"/>
  <c r="G63" i="37" s="1"/>
  <c r="H63" i="37" s="1"/>
  <c r="I63" i="37" s="1"/>
  <c r="J63" i="37" s="1"/>
  <c r="D63" i="37"/>
  <c r="E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AB40" i="37"/>
  <c r="Q40" i="37"/>
  <c r="Z40" i="37" s="1"/>
  <c r="J40" i="37"/>
  <c r="H40" i="37"/>
  <c r="U40" i="37" s="1"/>
  <c r="F40" i="37"/>
  <c r="AA40" i="37" s="1"/>
  <c r="U39" i="37"/>
  <c r="Q39" i="37"/>
  <c r="Z39" i="37" s="1"/>
  <c r="H39" i="37"/>
  <c r="AB39" i="37" s="1"/>
  <c r="F39" i="37"/>
  <c r="S39" i="37" s="1"/>
  <c r="Q38" i="37"/>
  <c r="Z38" i="37" s="1"/>
  <c r="W37" i="37"/>
  <c r="Q37" i="37"/>
  <c r="Z37" i="37" s="1"/>
  <c r="J37" i="37"/>
  <c r="AC37" i="37" s="1"/>
  <c r="H37" i="37"/>
  <c r="U37" i="37" s="1"/>
  <c r="F37" i="37"/>
  <c r="AA37" i="37" s="1"/>
  <c r="AC36" i="37"/>
  <c r="AA36" i="37"/>
  <c r="U36" i="37"/>
  <c r="Q36" i="37"/>
  <c r="Z36" i="37" s="1"/>
  <c r="J36" i="37"/>
  <c r="W36" i="37" s="1"/>
  <c r="H36" i="37"/>
  <c r="AB36" i="37" s="1"/>
  <c r="F36" i="37"/>
  <c r="S36" i="37" s="1"/>
  <c r="AB35" i="37"/>
  <c r="Z35" i="37"/>
  <c r="Q35" i="37"/>
  <c r="J35" i="37"/>
  <c r="AC35" i="37" s="1"/>
  <c r="H35" i="37"/>
  <c r="U35" i="37" s="1"/>
  <c r="F35" i="37"/>
  <c r="AA35" i="37" s="1"/>
  <c r="AA34" i="37"/>
  <c r="W34" i="37"/>
  <c r="Q34" i="37"/>
  <c r="Z34" i="37" s="1"/>
  <c r="J34" i="37"/>
  <c r="AC34" i="37" s="1"/>
  <c r="H34" i="37"/>
  <c r="AB34" i="37" s="1"/>
  <c r="F34" i="37"/>
  <c r="S34" i="37" s="1"/>
  <c r="AC33" i="37"/>
  <c r="AB33" i="37"/>
  <c r="Z33" i="37"/>
  <c r="U33" i="37"/>
  <c r="Q33" i="37"/>
  <c r="J33" i="37"/>
  <c r="W33" i="37" s="1"/>
  <c r="H33" i="37"/>
  <c r="F33" i="37"/>
  <c r="AA33" i="37" s="1"/>
  <c r="AB32" i="37"/>
  <c r="Q32" i="37"/>
  <c r="Z32" i="37" s="1"/>
  <c r="J32" i="37"/>
  <c r="H32" i="37"/>
  <c r="U32" i="37" s="1"/>
  <c r="F32" i="37"/>
  <c r="AA32" i="37" s="1"/>
  <c r="AA31" i="37"/>
  <c r="U31" i="37"/>
  <c r="Q31" i="37"/>
  <c r="Z31" i="37" s="1"/>
  <c r="J31" i="37"/>
  <c r="AC31" i="37" s="1"/>
  <c r="H31" i="37"/>
  <c r="AB31" i="37" s="1"/>
  <c r="F31" i="37"/>
  <c r="S31" i="37" s="1"/>
  <c r="Z30" i="37"/>
  <c r="Q30" i="37"/>
  <c r="J30" i="37"/>
  <c r="W30" i="37" s="1"/>
  <c r="H30" i="37"/>
  <c r="AB30" i="37" s="1"/>
  <c r="F30" i="37"/>
  <c r="AA30" i="37" s="1"/>
  <c r="AC29" i="37"/>
  <c r="W29" i="37"/>
  <c r="Q29" i="37"/>
  <c r="Z29" i="37" s="1"/>
  <c r="J29" i="37"/>
  <c r="H29" i="37"/>
  <c r="U29" i="37" s="1"/>
  <c r="F29" i="37"/>
  <c r="AA29" i="37" s="1"/>
  <c r="Q28" i="37"/>
  <c r="Z28" i="37" s="1"/>
  <c r="AB27" i="37"/>
  <c r="AA27" i="37"/>
  <c r="Z27" i="37"/>
  <c r="S27" i="37"/>
  <c r="Q27" i="37"/>
  <c r="H27" i="37"/>
  <c r="U27" i="37" s="1"/>
  <c r="F27" i="37"/>
  <c r="Z26" i="37"/>
  <c r="Q26" i="37"/>
  <c r="AC25" i="37"/>
  <c r="AB25" i="37"/>
  <c r="Z25" i="37"/>
  <c r="U25" i="37"/>
  <c r="Q25" i="37"/>
  <c r="J25" i="37"/>
  <c r="W25" i="37" s="1"/>
  <c r="H25" i="37"/>
  <c r="F25" i="37"/>
  <c r="AA25" i="37" s="1"/>
  <c r="AB23" i="37"/>
  <c r="Q23" i="37"/>
  <c r="Z23" i="37" s="1"/>
  <c r="J23" i="37"/>
  <c r="H23" i="37"/>
  <c r="U23" i="37" s="1"/>
  <c r="F23" i="37"/>
  <c r="AA23" i="37" s="1"/>
  <c r="C23" i="37"/>
  <c r="AC21" i="37"/>
  <c r="AA21" i="37"/>
  <c r="U21" i="37"/>
  <c r="Q21" i="37"/>
  <c r="Z21" i="37" s="1"/>
  <c r="J21" i="37"/>
  <c r="W21" i="37" s="1"/>
  <c r="H21" i="37"/>
  <c r="AB21" i="37" s="1"/>
  <c r="F21" i="37"/>
  <c r="S21" i="37" s="1"/>
  <c r="C21" i="37"/>
  <c r="AB19" i="37"/>
  <c r="Q19" i="37"/>
  <c r="Z19" i="37" s="1"/>
  <c r="J19" i="37"/>
  <c r="H19" i="37"/>
  <c r="U19" i="37" s="1"/>
  <c r="F19" i="37"/>
  <c r="AA19" i="37" s="1"/>
  <c r="C19" i="37"/>
  <c r="AC17" i="37"/>
  <c r="AA17" i="37"/>
  <c r="U17" i="37"/>
  <c r="Q17" i="37"/>
  <c r="Z17" i="37" s="1"/>
  <c r="J17" i="37"/>
  <c r="W17" i="37" s="1"/>
  <c r="H17" i="37"/>
  <c r="AB17" i="37" s="1"/>
  <c r="F17" i="37"/>
  <c r="S17" i="37" s="1"/>
  <c r="C17" i="37"/>
  <c r="AB15" i="37"/>
  <c r="Q15" i="37"/>
  <c r="Z15" i="37" s="1"/>
  <c r="J15" i="37"/>
  <c r="H15" i="37"/>
  <c r="U15" i="37" s="1"/>
  <c r="F15" i="37"/>
  <c r="AA15" i="37" s="1"/>
  <c r="C15" i="37"/>
  <c r="Q14" i="37"/>
  <c r="Z14" i="37" s="1"/>
  <c r="H14" i="37"/>
  <c r="AB14" i="37" s="1"/>
  <c r="AA13" i="37"/>
  <c r="Z13" i="37"/>
  <c r="S13" i="37"/>
  <c r="Q13" i="37"/>
  <c r="H13" i="37"/>
  <c r="F13" i="37"/>
  <c r="AC12" i="37"/>
  <c r="Z12" i="37"/>
  <c r="Q12" i="37"/>
  <c r="J12" i="37"/>
  <c r="W12" i="37" s="1"/>
  <c r="AB11" i="37"/>
  <c r="Z11" i="37"/>
  <c r="U11" i="37"/>
  <c r="Q11" i="37"/>
  <c r="J11" i="37"/>
  <c r="H11" i="37"/>
  <c r="F11" i="37"/>
  <c r="AA11" i="37" s="1"/>
  <c r="AB10" i="37"/>
  <c r="W10" i="37"/>
  <c r="Q10" i="37"/>
  <c r="Z10" i="37" s="1"/>
  <c r="J10" i="37"/>
  <c r="AC10" i="37" s="1"/>
  <c r="H10" i="37"/>
  <c r="U10" i="37" s="1"/>
  <c r="F10" i="37"/>
  <c r="AA10" i="37" s="1"/>
  <c r="U9" i="37"/>
  <c r="Q9" i="37"/>
  <c r="Z9" i="37" s="1"/>
  <c r="H9" i="37"/>
  <c r="AB9" i="37" s="1"/>
  <c r="F9" i="37"/>
  <c r="S9" i="37" s="1"/>
  <c r="AA8" i="37"/>
  <c r="W8" i="37"/>
  <c r="U8" i="37"/>
  <c r="J8" i="37"/>
  <c r="AC8" i="37" s="1"/>
  <c r="H8" i="37"/>
  <c r="AB8" i="37" s="1"/>
  <c r="F8" i="37"/>
  <c r="S8" i="37" s="1"/>
  <c r="B2" i="37"/>
  <c r="B130" i="33"/>
  <c r="B128" i="33"/>
  <c r="B126" i="33"/>
  <c r="H44" i="33" s="1"/>
  <c r="D125" i="33"/>
  <c r="E125" i="33" s="1"/>
  <c r="F125" i="33" s="1"/>
  <c r="G125" i="33" s="1"/>
  <c r="I123" i="33"/>
  <c r="J123" i="33" s="1"/>
  <c r="K123" i="33" s="1"/>
  <c r="L123" i="33" s="1"/>
  <c r="M123" i="33" s="1"/>
  <c r="F123" i="33"/>
  <c r="G123" i="33" s="1"/>
  <c r="H123" i="33" s="1"/>
  <c r="E123" i="33"/>
  <c r="D123" i="33"/>
  <c r="L121" i="33"/>
  <c r="M121" i="33" s="1"/>
  <c r="G121" i="33"/>
  <c r="H121" i="33" s="1"/>
  <c r="I121" i="33" s="1"/>
  <c r="J121" i="33" s="1"/>
  <c r="K121" i="33" s="1"/>
  <c r="D121" i="33"/>
  <c r="E121" i="33" s="1"/>
  <c r="F121" i="33" s="1"/>
  <c r="E117" i="33"/>
  <c r="F117" i="33" s="1"/>
  <c r="G117" i="33" s="1"/>
  <c r="D117" i="33"/>
  <c r="G115" i="33"/>
  <c r="H115" i="33" s="1"/>
  <c r="I115" i="33" s="1"/>
  <c r="J115" i="33" s="1"/>
  <c r="K115" i="33" s="1"/>
  <c r="L115" i="33" s="1"/>
  <c r="M115" i="33" s="1"/>
  <c r="E115" i="33"/>
  <c r="F115" i="33" s="1"/>
  <c r="D115" i="33"/>
  <c r="E113" i="33"/>
  <c r="F113" i="33" s="1"/>
  <c r="G113" i="33" s="1"/>
  <c r="H113" i="33" s="1"/>
  <c r="I113" i="33" s="1"/>
  <c r="J113" i="33" s="1"/>
  <c r="K113" i="33" s="1"/>
  <c r="L113" i="33" s="1"/>
  <c r="M113" i="33" s="1"/>
  <c r="D113" i="33"/>
  <c r="M111" i="33"/>
  <c r="G111" i="33"/>
  <c r="H111" i="33" s="1"/>
  <c r="I111" i="33" s="1"/>
  <c r="J111" i="33" s="1"/>
  <c r="K111" i="33" s="1"/>
  <c r="L111" i="33" s="1"/>
  <c r="E111" i="33"/>
  <c r="F111" i="33" s="1"/>
  <c r="D111" i="33"/>
  <c r="G109" i="33"/>
  <c r="F109" i="33"/>
  <c r="E109" i="33"/>
  <c r="D109" i="33"/>
  <c r="C109" i="33"/>
  <c r="F108" i="33"/>
  <c r="G108" i="33" s="1"/>
  <c r="H108" i="33" s="1"/>
  <c r="I108" i="33" s="1"/>
  <c r="J108" i="33" s="1"/>
  <c r="K108" i="33" s="1"/>
  <c r="L108" i="33" s="1"/>
  <c r="M108" i="33" s="1"/>
  <c r="D108" i="33"/>
  <c r="E108" i="33" s="1"/>
  <c r="K106" i="33"/>
  <c r="L106" i="33" s="1"/>
  <c r="M106" i="33" s="1"/>
  <c r="F106" i="33"/>
  <c r="G106" i="33" s="1"/>
  <c r="H106" i="33" s="1"/>
  <c r="I106" i="33" s="1"/>
  <c r="J106" i="33" s="1"/>
  <c r="D106" i="33"/>
  <c r="E106"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B96" i="33"/>
  <c r="B94" i="33"/>
  <c r="J29" i="33" s="1"/>
  <c r="B92" i="33"/>
  <c r="I91" i="33"/>
  <c r="J91" i="33" s="1"/>
  <c r="K91" i="33" s="1"/>
  <c r="L91" i="33" s="1"/>
  <c r="M91" i="33" s="1"/>
  <c r="F91" i="33"/>
  <c r="G91" i="33" s="1"/>
  <c r="H91" i="33" s="1"/>
  <c r="E91" i="33"/>
  <c r="D91" i="33"/>
  <c r="B90" i="33"/>
  <c r="F27" i="33" s="1"/>
  <c r="B88" i="33"/>
  <c r="H26" i="33" s="1"/>
  <c r="U26" i="33" s="1"/>
  <c r="K87" i="33"/>
  <c r="L87" i="33" s="1"/>
  <c r="M87" i="33" s="1"/>
  <c r="F87" i="33"/>
  <c r="G87" i="33" s="1"/>
  <c r="H87" i="33" s="1"/>
  <c r="I87" i="33" s="1"/>
  <c r="J87" i="33" s="1"/>
  <c r="E87" i="33"/>
  <c r="D87" i="33"/>
  <c r="F85" i="33"/>
  <c r="G85" i="33" s="1"/>
  <c r="E85" i="33"/>
  <c r="D85" i="33"/>
  <c r="F83" i="33"/>
  <c r="G83" i="33" s="1"/>
  <c r="E83" i="33"/>
  <c r="D83" i="33"/>
  <c r="F81" i="33"/>
  <c r="G81" i="33" s="1"/>
  <c r="E81" i="33"/>
  <c r="D81" i="33"/>
  <c r="F79" i="33"/>
  <c r="G79" i="33" s="1"/>
  <c r="E79" i="33"/>
  <c r="D79" i="33"/>
  <c r="F77" i="33"/>
  <c r="G77" i="33" s="1"/>
  <c r="E77" i="33"/>
  <c r="D77" i="33"/>
  <c r="B74" i="33"/>
  <c r="H14" i="33" s="1"/>
  <c r="B72" i="33"/>
  <c r="B70" i="33"/>
  <c r="J69" i="33"/>
  <c r="K69" i="33" s="1"/>
  <c r="L69" i="33" s="1"/>
  <c r="M69" i="33" s="1"/>
  <c r="D69" i="33"/>
  <c r="E69" i="33" s="1"/>
  <c r="F69" i="33" s="1"/>
  <c r="G69" i="33" s="1"/>
  <c r="H69" i="33" s="1"/>
  <c r="I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AC46" i="33"/>
  <c r="AA46" i="33"/>
  <c r="U46" i="33"/>
  <c r="Q46" i="33"/>
  <c r="Z46" i="33" s="1"/>
  <c r="J46" i="33"/>
  <c r="W46" i="33" s="1"/>
  <c r="H46" i="33"/>
  <c r="AB46" i="33" s="1"/>
  <c r="F46" i="33"/>
  <c r="S46" i="33" s="1"/>
  <c r="Z45" i="33"/>
  <c r="Q45" i="33"/>
  <c r="H45" i="33"/>
  <c r="U45" i="33" s="1"/>
  <c r="AC44" i="33"/>
  <c r="AA44" i="33"/>
  <c r="Z44" i="33"/>
  <c r="S44" i="33"/>
  <c r="Q44" i="33"/>
  <c r="J44" i="33"/>
  <c r="W44" i="33" s="1"/>
  <c r="F44" i="33"/>
  <c r="Z43" i="33"/>
  <c r="U43" i="33"/>
  <c r="Q43" i="33"/>
  <c r="J43" i="33"/>
  <c r="W43" i="33" s="1"/>
  <c r="H43" i="33"/>
  <c r="AB43" i="33" s="1"/>
  <c r="F43" i="33"/>
  <c r="AA43" i="33" s="1"/>
  <c r="AB42" i="33"/>
  <c r="Q42" i="33"/>
  <c r="Z42" i="33" s="1"/>
  <c r="J42" i="33"/>
  <c r="H42" i="33"/>
  <c r="U42" i="33" s="1"/>
  <c r="F42" i="33"/>
  <c r="AA42" i="33" s="1"/>
  <c r="AA41" i="33"/>
  <c r="U41" i="33"/>
  <c r="Q41" i="33"/>
  <c r="Z41" i="33" s="1"/>
  <c r="J41" i="33"/>
  <c r="AC41" i="33" s="1"/>
  <c r="H41" i="33"/>
  <c r="AB41" i="33" s="1"/>
  <c r="F41" i="33"/>
  <c r="S41" i="33" s="1"/>
  <c r="Z40" i="33"/>
  <c r="Q40" i="33"/>
  <c r="J40" i="33"/>
  <c r="W40" i="33" s="1"/>
  <c r="H40" i="33"/>
  <c r="AB40" i="33" s="1"/>
  <c r="F40" i="33"/>
  <c r="AA40" i="33" s="1"/>
  <c r="W39" i="33"/>
  <c r="Q39" i="33"/>
  <c r="Z39" i="33" s="1"/>
  <c r="J39" i="33"/>
  <c r="AC39" i="33" s="1"/>
  <c r="H39" i="33"/>
  <c r="U39" i="33" s="1"/>
  <c r="F39" i="33"/>
  <c r="AA39" i="33" s="1"/>
  <c r="AC38" i="33"/>
  <c r="AA38" i="33"/>
  <c r="U38" i="33"/>
  <c r="Q38" i="33"/>
  <c r="Z38" i="33" s="1"/>
  <c r="J38" i="33"/>
  <c r="W38" i="33" s="1"/>
  <c r="H38" i="33"/>
  <c r="AB38" i="33" s="1"/>
  <c r="F38" i="33"/>
  <c r="S38" i="33" s="1"/>
  <c r="AB37" i="33"/>
  <c r="Z37" i="33"/>
  <c r="Q37" i="33"/>
  <c r="J37" i="33"/>
  <c r="AC37" i="33" s="1"/>
  <c r="H37" i="33"/>
  <c r="U37" i="33" s="1"/>
  <c r="F37" i="33"/>
  <c r="AA37" i="33" s="1"/>
  <c r="AA36" i="33"/>
  <c r="W36" i="33"/>
  <c r="Q36" i="33"/>
  <c r="Z36" i="33" s="1"/>
  <c r="J36" i="33"/>
  <c r="AC36" i="33" s="1"/>
  <c r="H36" i="33"/>
  <c r="AB36" i="33" s="1"/>
  <c r="F36" i="33"/>
  <c r="S36" i="33" s="1"/>
  <c r="AC35" i="33"/>
  <c r="AB35" i="33"/>
  <c r="Z35" i="33"/>
  <c r="U35" i="33"/>
  <c r="Q35" i="33"/>
  <c r="J35" i="33"/>
  <c r="W35" i="33" s="1"/>
  <c r="H35" i="33"/>
  <c r="F35" i="33"/>
  <c r="AA35" i="33" s="1"/>
  <c r="AB34" i="33"/>
  <c r="Q34" i="33"/>
  <c r="Z34" i="33" s="1"/>
  <c r="J34" i="33"/>
  <c r="H34" i="33"/>
  <c r="U34" i="33" s="1"/>
  <c r="F34" i="33"/>
  <c r="AA34" i="33" s="1"/>
  <c r="AA33" i="33"/>
  <c r="U33" i="33"/>
  <c r="Q33" i="33"/>
  <c r="Z33" i="33" s="1"/>
  <c r="J33" i="33"/>
  <c r="AC33" i="33" s="1"/>
  <c r="H33" i="33"/>
  <c r="AB33" i="33" s="1"/>
  <c r="F33" i="33"/>
  <c r="S33" i="33" s="1"/>
  <c r="Z32" i="33"/>
  <c r="Q32" i="33"/>
  <c r="J32" i="33"/>
  <c r="W32" i="33" s="1"/>
  <c r="H32" i="33"/>
  <c r="AB32" i="33" s="1"/>
  <c r="F32" i="33"/>
  <c r="AA32" i="33" s="1"/>
  <c r="AC31" i="33"/>
  <c r="W31" i="33"/>
  <c r="Q31" i="33"/>
  <c r="Z31" i="33" s="1"/>
  <c r="J31" i="33"/>
  <c r="H31" i="33"/>
  <c r="U31" i="33" s="1"/>
  <c r="AB30" i="33"/>
  <c r="Q30" i="33"/>
  <c r="Z30" i="33" s="1"/>
  <c r="J30" i="33"/>
  <c r="H30" i="33"/>
  <c r="U30" i="33" s="1"/>
  <c r="F30" i="33"/>
  <c r="AA30" i="33" s="1"/>
  <c r="U29" i="33"/>
  <c r="Q29" i="33"/>
  <c r="Z29" i="33" s="1"/>
  <c r="H29" i="33"/>
  <c r="AB29" i="33" s="1"/>
  <c r="F29" i="33"/>
  <c r="S29" i="33" s="1"/>
  <c r="Q28" i="33"/>
  <c r="Z28" i="33" s="1"/>
  <c r="W27" i="33"/>
  <c r="Q27" i="33"/>
  <c r="Z27" i="33" s="1"/>
  <c r="J27" i="33"/>
  <c r="AC27" i="33" s="1"/>
  <c r="H27" i="33"/>
  <c r="U27" i="33" s="1"/>
  <c r="AB26" i="33"/>
  <c r="W26" i="33"/>
  <c r="Q26" i="33"/>
  <c r="Z26" i="33" s="1"/>
  <c r="J26" i="33"/>
  <c r="AC26" i="33" s="1"/>
  <c r="F26" i="33"/>
  <c r="AA25" i="33"/>
  <c r="U25" i="33"/>
  <c r="Q25" i="33"/>
  <c r="Z25" i="33" s="1"/>
  <c r="J25" i="33"/>
  <c r="AC25" i="33" s="1"/>
  <c r="H25" i="33"/>
  <c r="AB25" i="33" s="1"/>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AA14" i="33"/>
  <c r="Z14" i="33"/>
  <c r="S14" i="33"/>
  <c r="Q14" i="33"/>
  <c r="J14" i="33"/>
  <c r="F14" i="33"/>
  <c r="Z13" i="33"/>
  <c r="Q13" i="33"/>
  <c r="J13" i="33"/>
  <c r="W13" i="33" s="1"/>
  <c r="AC12" i="33"/>
  <c r="AA12" i="33"/>
  <c r="Q12" i="33"/>
  <c r="Z12" i="33" s="1"/>
  <c r="J12" i="33"/>
  <c r="W12" i="33" s="1"/>
  <c r="H12" i="33"/>
  <c r="F12" i="33"/>
  <c r="S12" i="33" s="1"/>
  <c r="AB11" i="33"/>
  <c r="Z11" i="33"/>
  <c r="Q11" i="33"/>
  <c r="J11" i="33"/>
  <c r="AC11" i="33" s="1"/>
  <c r="H11" i="33"/>
  <c r="U11" i="33" s="1"/>
  <c r="F11" i="33"/>
  <c r="AA11" i="33" s="1"/>
  <c r="AA10" i="33"/>
  <c r="W10" i="33"/>
  <c r="Q10" i="33"/>
  <c r="Z10" i="33" s="1"/>
  <c r="J10" i="33"/>
  <c r="AC10" i="33" s="1"/>
  <c r="H10" i="33"/>
  <c r="AB10" i="33" s="1"/>
  <c r="F10" i="33"/>
  <c r="S10" i="33" s="1"/>
  <c r="Z9" i="33"/>
  <c r="Q9" i="33"/>
  <c r="AC8" i="33"/>
  <c r="AB8" i="33"/>
  <c r="AA8" i="33"/>
  <c r="U8" i="33"/>
  <c r="S8" i="33"/>
  <c r="J8" i="33"/>
  <c r="W8" i="33" s="1"/>
  <c r="H8" i="33"/>
  <c r="F8" i="33"/>
  <c r="B2" i="33"/>
  <c r="C145" i="21"/>
  <c r="K139" i="21" s="1"/>
  <c r="J142" i="21"/>
  <c r="J140" i="21"/>
  <c r="B130" i="21"/>
  <c r="B128" i="21"/>
  <c r="B126" i="21"/>
  <c r="F125" i="21"/>
  <c r="G125" i="21" s="1"/>
  <c r="E125" i="21"/>
  <c r="D125" i="21"/>
  <c r="L123" i="21"/>
  <c r="M123" i="21" s="1"/>
  <c r="G123" i="21"/>
  <c r="H123" i="21" s="1"/>
  <c r="I123" i="21" s="1"/>
  <c r="J123" i="21" s="1"/>
  <c r="K123" i="21" s="1"/>
  <c r="D123" i="21"/>
  <c r="E123" i="21" s="1"/>
  <c r="F123" i="21" s="1"/>
  <c r="F119" i="21"/>
  <c r="G119" i="21" s="1"/>
  <c r="H119" i="21" s="1"/>
  <c r="I119" i="21" s="1"/>
  <c r="J119" i="21" s="1"/>
  <c r="K119" i="21" s="1"/>
  <c r="L119" i="21" s="1"/>
  <c r="M119" i="21" s="1"/>
  <c r="E119" i="21"/>
  <c r="D119" i="21"/>
  <c r="F117" i="21"/>
  <c r="G117" i="21" s="1"/>
  <c r="E117" i="21"/>
  <c r="D117" i="21"/>
  <c r="L115" i="21"/>
  <c r="M115" i="21" s="1"/>
  <c r="G115" i="21"/>
  <c r="H115" i="21" s="1"/>
  <c r="I115" i="21" s="1"/>
  <c r="J115" i="21" s="1"/>
  <c r="K115" i="21" s="1"/>
  <c r="D115" i="21"/>
  <c r="E115" i="21" s="1"/>
  <c r="F115" i="21" s="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K108" i="21"/>
  <c r="L108" i="21" s="1"/>
  <c r="M108" i="21" s="1"/>
  <c r="F108" i="21"/>
  <c r="G108" i="21" s="1"/>
  <c r="H108" i="21" s="1"/>
  <c r="I108" i="21" s="1"/>
  <c r="J108" i="21" s="1"/>
  <c r="D108" i="21"/>
  <c r="E108" i="21" s="1"/>
  <c r="H106" i="21"/>
  <c r="I106" i="21" s="1"/>
  <c r="J106" i="21" s="1"/>
  <c r="K106" i="21" s="1"/>
  <c r="L106" i="21" s="1"/>
  <c r="M106" i="21" s="1"/>
  <c r="E106" i="21"/>
  <c r="F106" i="21" s="1"/>
  <c r="G106" i="21" s="1"/>
  <c r="D106" i="21"/>
  <c r="M102" i="21"/>
  <c r="L102" i="21"/>
  <c r="K102" i="21"/>
  <c r="J102" i="21"/>
  <c r="I102" i="21"/>
  <c r="H102" i="21"/>
  <c r="G102" i="21"/>
  <c r="F102" i="21"/>
  <c r="E102" i="21"/>
  <c r="D102" i="21"/>
  <c r="C102" i="21"/>
  <c r="K101" i="21"/>
  <c r="L101" i="21" s="1"/>
  <c r="M101" i="21" s="1"/>
  <c r="F101" i="21"/>
  <c r="G101" i="21" s="1"/>
  <c r="H101" i="21" s="1"/>
  <c r="I101" i="21" s="1"/>
  <c r="J101" i="21" s="1"/>
  <c r="E101" i="21"/>
  <c r="D101" i="21"/>
  <c r="B98" i="21"/>
  <c r="H31" i="21" s="1"/>
  <c r="B96" i="21"/>
  <c r="B94" i="21"/>
  <c r="B92" i="21"/>
  <c r="B90" i="21"/>
  <c r="H27" i="21" s="1"/>
  <c r="H89" i="21"/>
  <c r="I89" i="21" s="1"/>
  <c r="J89" i="21" s="1"/>
  <c r="K89" i="21" s="1"/>
  <c r="L89" i="21" s="1"/>
  <c r="M89" i="21" s="1"/>
  <c r="E89" i="21"/>
  <c r="F89" i="21" s="1"/>
  <c r="G89" i="21" s="1"/>
  <c r="D89" i="21"/>
  <c r="M87" i="21"/>
  <c r="L87" i="21"/>
  <c r="K87" i="21"/>
  <c r="J87" i="21"/>
  <c r="I87" i="21"/>
  <c r="H87" i="21"/>
  <c r="G87" i="21"/>
  <c r="F87" i="21"/>
  <c r="E87" i="21"/>
  <c r="D87" i="21"/>
  <c r="D85" i="21"/>
  <c r="E85" i="21" s="1"/>
  <c r="F85" i="21" s="1"/>
  <c r="G85" i="21" s="1"/>
  <c r="F83" i="21"/>
  <c r="G83" i="21" s="1"/>
  <c r="D83" i="21"/>
  <c r="E83" i="21" s="1"/>
  <c r="D81" i="21"/>
  <c r="E81" i="21" s="1"/>
  <c r="F81" i="21" s="1"/>
  <c r="G81" i="21" s="1"/>
  <c r="F79" i="21"/>
  <c r="G79" i="21" s="1"/>
  <c r="D79" i="21"/>
  <c r="E79" i="21" s="1"/>
  <c r="D77" i="21"/>
  <c r="E77" i="21" s="1"/>
  <c r="F77" i="21" s="1"/>
  <c r="G77" i="21" s="1"/>
  <c r="B74" i="21"/>
  <c r="J14" i="21" s="1"/>
  <c r="B72" i="21"/>
  <c r="B70" i="21"/>
  <c r="H69" i="21"/>
  <c r="I69" i="21" s="1"/>
  <c r="J69" i="21" s="1"/>
  <c r="K69" i="21" s="1"/>
  <c r="L69" i="21" s="1"/>
  <c r="M69" i="21" s="1"/>
  <c r="E69" i="21"/>
  <c r="F69" i="21" s="1"/>
  <c r="G69" i="21" s="1"/>
  <c r="D69" i="21"/>
  <c r="M67" i="21"/>
  <c r="L67" i="21"/>
  <c r="K67" i="21"/>
  <c r="J67" i="21"/>
  <c r="I67" i="21"/>
  <c r="H67" i="21"/>
  <c r="G67" i="21"/>
  <c r="F67" i="21"/>
  <c r="E67" i="21"/>
  <c r="D67" i="21"/>
  <c r="C67" i="21"/>
  <c r="C63" i="21"/>
  <c r="H9" i="21" s="1"/>
  <c r="I54" i="21"/>
  <c r="J54" i="21" s="1"/>
  <c r="G54" i="21"/>
  <c r="H54" i="21" s="1"/>
  <c r="E54" i="21"/>
  <c r="F54" i="21" s="1"/>
  <c r="P49" i="21"/>
  <c r="P48" i="21"/>
  <c r="K48" i="21"/>
  <c r="V47" i="21"/>
  <c r="T47" i="21"/>
  <c r="R47" i="21"/>
  <c r="P47" i="21"/>
  <c r="Q46" i="21"/>
  <c r="Z46" i="21" s="1"/>
  <c r="W45" i="21"/>
  <c r="Q45" i="21"/>
  <c r="Z45" i="21" s="1"/>
  <c r="J45" i="21"/>
  <c r="AC45" i="21" s="1"/>
  <c r="H45" i="21"/>
  <c r="AB45" i="21" s="1"/>
  <c r="F45" i="21"/>
  <c r="AA45" i="21" s="1"/>
  <c r="AA44" i="21"/>
  <c r="Q44" i="21"/>
  <c r="Z44" i="21" s="1"/>
  <c r="J44" i="21"/>
  <c r="AC44" i="21" s="1"/>
  <c r="H44" i="21"/>
  <c r="F44" i="21"/>
  <c r="S44" i="21" s="1"/>
  <c r="AC43" i="21"/>
  <c r="Q43" i="21"/>
  <c r="Z43" i="21" s="1"/>
  <c r="J43" i="21"/>
  <c r="W43" i="21" s="1"/>
  <c r="H43" i="21"/>
  <c r="AB43" i="21" s="1"/>
  <c r="F43" i="21"/>
  <c r="AA43" i="21" s="1"/>
  <c r="AC42" i="21"/>
  <c r="W42" i="21"/>
  <c r="Q42" i="21"/>
  <c r="Z42" i="21" s="1"/>
  <c r="J42" i="21"/>
  <c r="H42" i="21"/>
  <c r="F42" i="21"/>
  <c r="AA42" i="21" s="1"/>
  <c r="AC41" i="21"/>
  <c r="AA41" i="21"/>
  <c r="W41" i="21"/>
  <c r="Q41" i="21"/>
  <c r="Z41" i="21" s="1"/>
  <c r="J41" i="21"/>
  <c r="H41" i="21"/>
  <c r="F41" i="21"/>
  <c r="S41" i="21" s="1"/>
  <c r="AB40" i="21"/>
  <c r="Z40" i="21"/>
  <c r="Q40" i="21"/>
  <c r="J40" i="21"/>
  <c r="AC40" i="21" s="1"/>
  <c r="H40" i="21"/>
  <c r="U40" i="21" s="1"/>
  <c r="F40" i="21"/>
  <c r="AA40" i="21" s="1"/>
  <c r="AC39" i="21"/>
  <c r="W39" i="21"/>
  <c r="Q39" i="21"/>
  <c r="Z39" i="21" s="1"/>
  <c r="J39" i="21"/>
  <c r="H39" i="21"/>
  <c r="AB39" i="21" s="1"/>
  <c r="F39" i="21"/>
  <c r="AA39" i="21" s="1"/>
  <c r="AC38" i="21"/>
  <c r="Z38" i="21"/>
  <c r="W38" i="21"/>
  <c r="Q38" i="21"/>
  <c r="J38" i="21"/>
  <c r="H38" i="21"/>
  <c r="F38" i="21"/>
  <c r="AA38" i="21" s="1"/>
  <c r="AB37" i="21"/>
  <c r="W37" i="21"/>
  <c r="Q37" i="21"/>
  <c r="Z37" i="21" s="1"/>
  <c r="J37" i="21"/>
  <c r="AC37" i="21" s="1"/>
  <c r="H37" i="21"/>
  <c r="U37" i="21" s="1"/>
  <c r="F37" i="21"/>
  <c r="AA37" i="21" s="1"/>
  <c r="Q36" i="21"/>
  <c r="Z36" i="21" s="1"/>
  <c r="J36" i="21"/>
  <c r="AC36" i="21" s="1"/>
  <c r="H36" i="21"/>
  <c r="AB36" i="21" s="1"/>
  <c r="F36" i="21"/>
  <c r="AA36" i="21" s="1"/>
  <c r="AC35" i="21"/>
  <c r="Z35" i="21"/>
  <c r="W35" i="21"/>
  <c r="Q35" i="21"/>
  <c r="J35" i="21"/>
  <c r="H35" i="21"/>
  <c r="AB35" i="21" s="1"/>
  <c r="F35" i="21"/>
  <c r="AA35" i="21" s="1"/>
  <c r="AB34" i="21"/>
  <c r="W34" i="21"/>
  <c r="Q34" i="21"/>
  <c r="Z34" i="21" s="1"/>
  <c r="J34" i="21"/>
  <c r="AC34" i="21" s="1"/>
  <c r="H34" i="21"/>
  <c r="U34" i="21" s="1"/>
  <c r="F34" i="21"/>
  <c r="AA34" i="21" s="1"/>
  <c r="AC33" i="21"/>
  <c r="Q33" i="21"/>
  <c r="Z33" i="21" s="1"/>
  <c r="J33" i="21"/>
  <c r="W33" i="21" s="1"/>
  <c r="H33" i="21"/>
  <c r="AB33" i="21" s="1"/>
  <c r="F33" i="21"/>
  <c r="AA33" i="21" s="1"/>
  <c r="AB32" i="21"/>
  <c r="Z32" i="21"/>
  <c r="U32" i="21"/>
  <c r="Q32" i="21"/>
  <c r="J32" i="21"/>
  <c r="AC32" i="21" s="1"/>
  <c r="H32" i="21"/>
  <c r="F32" i="21"/>
  <c r="AA32" i="21" s="1"/>
  <c r="AA31" i="21"/>
  <c r="W31" i="21"/>
  <c r="Q31" i="21"/>
  <c r="Z31" i="21" s="1"/>
  <c r="J31" i="21"/>
  <c r="AC31" i="21" s="1"/>
  <c r="F31" i="21"/>
  <c r="S31" i="21" s="1"/>
  <c r="Z30" i="21"/>
  <c r="Q30" i="21"/>
  <c r="J30" i="21"/>
  <c r="AB29" i="21"/>
  <c r="W29" i="21"/>
  <c r="Q29" i="21"/>
  <c r="Z29" i="21" s="1"/>
  <c r="J29" i="21"/>
  <c r="AC29" i="21" s="1"/>
  <c r="H29" i="21"/>
  <c r="U29" i="21" s="1"/>
  <c r="F29" i="21"/>
  <c r="AA29" i="21" s="1"/>
  <c r="U28" i="21"/>
  <c r="Q28" i="21"/>
  <c r="Z28" i="21" s="1"/>
  <c r="J28" i="21"/>
  <c r="AC28" i="21" s="1"/>
  <c r="H28" i="21"/>
  <c r="AB28" i="21" s="1"/>
  <c r="F28" i="21"/>
  <c r="AA28" i="21" s="1"/>
  <c r="AC27" i="21"/>
  <c r="Z27" i="21"/>
  <c r="W27" i="21"/>
  <c r="Q27" i="21"/>
  <c r="J27" i="21"/>
  <c r="F27" i="21"/>
  <c r="Z26" i="21"/>
  <c r="U26" i="21"/>
  <c r="Q26" i="21"/>
  <c r="J26" i="21"/>
  <c r="H26" i="21"/>
  <c r="AB26" i="21" s="1"/>
  <c r="F26" i="21"/>
  <c r="AA26" i="21" s="1"/>
  <c r="AA25" i="21"/>
  <c r="U25" i="21"/>
  <c r="Q25" i="21"/>
  <c r="Z25" i="21" s="1"/>
  <c r="J25" i="21"/>
  <c r="AC25" i="21" s="1"/>
  <c r="H25" i="21"/>
  <c r="AB25" i="21" s="1"/>
  <c r="F25" i="21"/>
  <c r="S25" i="21" s="1"/>
  <c r="AB23" i="21"/>
  <c r="Z23" i="21"/>
  <c r="Q23" i="21"/>
  <c r="J23" i="21"/>
  <c r="AC23" i="21" s="1"/>
  <c r="H23" i="21"/>
  <c r="U23" i="21" s="1"/>
  <c r="F23" i="21"/>
  <c r="AA23" i="21" s="1"/>
  <c r="C23" i="21"/>
  <c r="AB21" i="21"/>
  <c r="Z21" i="21"/>
  <c r="Q21" i="21"/>
  <c r="J21" i="21"/>
  <c r="AC21" i="21" s="1"/>
  <c r="H21" i="21"/>
  <c r="U21" i="21" s="1"/>
  <c r="F21" i="21"/>
  <c r="AA21" i="21" s="1"/>
  <c r="C21" i="21"/>
  <c r="AB19" i="21"/>
  <c r="Z19" i="21"/>
  <c r="Q19" i="21"/>
  <c r="J19" i="21"/>
  <c r="AC19" i="21" s="1"/>
  <c r="H19" i="21"/>
  <c r="U19" i="21" s="1"/>
  <c r="F19" i="21"/>
  <c r="AA19" i="21" s="1"/>
  <c r="C19" i="21"/>
  <c r="AB17" i="21"/>
  <c r="Z17" i="21"/>
  <c r="Q17" i="21"/>
  <c r="J17" i="21"/>
  <c r="AC17" i="21" s="1"/>
  <c r="H17" i="21"/>
  <c r="U17" i="21" s="1"/>
  <c r="F17" i="21"/>
  <c r="AA17" i="21" s="1"/>
  <c r="C17" i="21"/>
  <c r="AB15" i="21"/>
  <c r="Z15" i="21"/>
  <c r="Q15" i="21"/>
  <c r="J15" i="21"/>
  <c r="AC15" i="21" s="1"/>
  <c r="H15" i="21"/>
  <c r="U15" i="21" s="1"/>
  <c r="F15" i="21"/>
  <c r="AA15" i="21" s="1"/>
  <c r="C15" i="21"/>
  <c r="AA14" i="21"/>
  <c r="Z14" i="21"/>
  <c r="S14" i="21"/>
  <c r="Q14" i="21"/>
  <c r="H14" i="21"/>
  <c r="F14" i="21"/>
  <c r="Z13" i="21"/>
  <c r="Q13" i="21"/>
  <c r="J13" i="21"/>
  <c r="W13" i="21" s="1"/>
  <c r="AB12" i="21"/>
  <c r="Z12" i="21"/>
  <c r="U12" i="21"/>
  <c r="Q12" i="21"/>
  <c r="J12" i="21"/>
  <c r="H12" i="21"/>
  <c r="F12" i="21"/>
  <c r="AA12" i="21" s="1"/>
  <c r="AB11" i="21"/>
  <c r="W11" i="21"/>
  <c r="Q11" i="21"/>
  <c r="Z11" i="21" s="1"/>
  <c r="J11" i="21"/>
  <c r="AC11" i="21" s="1"/>
  <c r="H11" i="21"/>
  <c r="U11" i="21" s="1"/>
  <c r="F11" i="21"/>
  <c r="AA11" i="21" s="1"/>
  <c r="AA10" i="21"/>
  <c r="Q10" i="21"/>
  <c r="Z10" i="21" s="1"/>
  <c r="J10" i="21"/>
  <c r="AC10" i="21" s="1"/>
  <c r="H10" i="21"/>
  <c r="AB10" i="21" s="1"/>
  <c r="F10" i="21"/>
  <c r="S10" i="21" s="1"/>
  <c r="AC9" i="21"/>
  <c r="AA9" i="21"/>
  <c r="Z9" i="21"/>
  <c r="S9" i="21"/>
  <c r="Q9" i="21"/>
  <c r="J9" i="21"/>
  <c r="W9" i="21" s="1"/>
  <c r="F9" i="21"/>
  <c r="AC8" i="21"/>
  <c r="W8" i="21"/>
  <c r="S8" i="21"/>
  <c r="J8" i="21"/>
  <c r="H8" i="21"/>
  <c r="F8" i="21"/>
  <c r="AA8" i="21" s="1"/>
  <c r="B2" i="21"/>
  <c r="A13" i="70"/>
  <c r="E13" i="70" s="1"/>
  <c r="A12" i="70"/>
  <c r="E12" i="70" s="1"/>
  <c r="A11" i="70"/>
  <c r="E11" i="70" s="1"/>
  <c r="E10" i="70"/>
  <c r="A10" i="70"/>
  <c r="A9" i="70"/>
  <c r="E9" i="70" s="1"/>
  <c r="A8" i="70"/>
  <c r="E8" i="70" s="1"/>
  <c r="A7" i="70"/>
  <c r="A6" i="70"/>
  <c r="R43" i="77"/>
  <c r="R35" i="77" s="1"/>
  <c r="R41" i="77"/>
  <c r="R40" i="77"/>
  <c r="F36" i="77"/>
  <c r="U34" i="77"/>
  <c r="R34" i="77"/>
  <c r="R33" i="77"/>
  <c r="C30" i="77"/>
  <c r="R27" i="77"/>
  <c r="M24" i="77"/>
  <c r="R23" i="77"/>
  <c r="C23" i="77"/>
  <c r="R22" i="77"/>
  <c r="R21" i="77"/>
  <c r="R24" i="77" s="1"/>
  <c r="N19" i="77"/>
  <c r="R18" i="77"/>
  <c r="D18" i="77"/>
  <c r="R17" i="77"/>
  <c r="R19" i="77" s="1"/>
  <c r="D17" i="77"/>
  <c r="R16" i="77"/>
  <c r="D16" i="77"/>
  <c r="D15" i="77"/>
  <c r="R14" i="77"/>
  <c r="M14" i="77"/>
  <c r="N14" i="77" s="1"/>
  <c r="D14" i="77"/>
  <c r="R13" i="77"/>
  <c r="R12" i="77"/>
  <c r="D12" i="77"/>
  <c r="R11" i="77"/>
  <c r="R10" i="77"/>
  <c r="D10" i="77"/>
  <c r="R9" i="77"/>
  <c r="D9" i="77"/>
  <c r="R8" i="77"/>
  <c r="R7" i="77"/>
  <c r="R4" i="77"/>
  <c r="R3" i="77"/>
  <c r="Q72" i="67"/>
  <c r="P61" i="67"/>
  <c r="Q59" i="67"/>
  <c r="K59" i="67"/>
  <c r="P74" i="67" s="1"/>
  <c r="F59" i="67"/>
  <c r="Q58" i="67"/>
  <c r="Q51" i="67"/>
  <c r="J50" i="67"/>
  <c r="J51" i="67" s="1"/>
  <c r="M47" i="67"/>
  <c r="D46" i="67"/>
  <c r="F34" i="67"/>
  <c r="F62" i="67" s="1"/>
  <c r="F33" i="67"/>
  <c r="F61" i="67" s="1"/>
  <c r="F31" i="67"/>
  <c r="F23" i="67"/>
  <c r="F21" i="67"/>
  <c r="M20" i="67"/>
  <c r="F20" i="67"/>
  <c r="M19" i="67"/>
  <c r="F18" i="67"/>
  <c r="M17" i="67"/>
  <c r="F17" i="67"/>
  <c r="F15" i="67"/>
  <c r="F24" i="12"/>
  <c r="F23" i="12"/>
  <c r="F22" i="12"/>
  <c r="E20" i="12"/>
  <c r="E19" i="12"/>
  <c r="E17" i="12"/>
  <c r="F15" i="12"/>
  <c r="E14" i="12"/>
  <c r="F13" i="12"/>
  <c r="F12" i="12"/>
  <c r="F11" i="12"/>
  <c r="C23" i="12" s="1"/>
  <c r="K7" i="12"/>
  <c r="J7" i="12"/>
  <c r="I7" i="12"/>
  <c r="H7" i="12"/>
  <c r="G7" i="12"/>
  <c r="F7" i="12"/>
  <c r="E7" i="12"/>
  <c r="D7" i="12"/>
  <c r="C7" i="12"/>
  <c r="C4" i="12"/>
  <c r="C40" i="69"/>
  <c r="F39" i="69"/>
  <c r="F38" i="69"/>
  <c r="E37" i="69"/>
  <c r="F36" i="69"/>
  <c r="F35" i="69"/>
  <c r="F21" i="69"/>
  <c r="F40" i="69" s="1"/>
  <c r="C21" i="69"/>
  <c r="F20" i="69"/>
  <c r="E10" i="69"/>
  <c r="E9" i="69"/>
  <c r="F7" i="69"/>
  <c r="C7" i="69"/>
  <c r="H1" i="69"/>
  <c r="B131" i="34"/>
  <c r="F47" i="34" s="1"/>
  <c r="S47" i="34" s="1"/>
  <c r="B129" i="34"/>
  <c r="B127" i="34"/>
  <c r="D126" i="34"/>
  <c r="K124" i="34"/>
  <c r="L124" i="34" s="1"/>
  <c r="M124" i="34" s="1"/>
  <c r="H124" i="34"/>
  <c r="I124" i="34" s="1"/>
  <c r="J124" i="34" s="1"/>
  <c r="F124" i="34"/>
  <c r="G124" i="34" s="1"/>
  <c r="D124" i="34"/>
  <c r="E124" i="34" s="1"/>
  <c r="E120" i="34"/>
  <c r="F120" i="34" s="1"/>
  <c r="G120" i="34" s="1"/>
  <c r="H120" i="34" s="1"/>
  <c r="I120" i="34" s="1"/>
  <c r="J120" i="34" s="1"/>
  <c r="K120" i="34" s="1"/>
  <c r="L120" i="34" s="1"/>
  <c r="M120" i="34" s="1"/>
  <c r="D120" i="34"/>
  <c r="D118" i="34"/>
  <c r="K116" i="34"/>
  <c r="L116" i="34" s="1"/>
  <c r="M116" i="34" s="1"/>
  <c r="H116" i="34"/>
  <c r="I116" i="34" s="1"/>
  <c r="J116" i="34" s="1"/>
  <c r="F116" i="34"/>
  <c r="G116" i="34" s="1"/>
  <c r="D116" i="34"/>
  <c r="E116" i="34" s="1"/>
  <c r="M114" i="34"/>
  <c r="J114" i="34"/>
  <c r="K114" i="34" s="1"/>
  <c r="L114" i="34" s="1"/>
  <c r="H114" i="34"/>
  <c r="I114" i="34" s="1"/>
  <c r="E114" i="34"/>
  <c r="F114" i="34" s="1"/>
  <c r="G114" i="34" s="1"/>
  <c r="D114" i="34"/>
  <c r="D112" i="34"/>
  <c r="E112" i="34" s="1"/>
  <c r="F112" i="34" s="1"/>
  <c r="G112" i="34" s="1"/>
  <c r="H112" i="34" s="1"/>
  <c r="I112" i="34" s="1"/>
  <c r="J112" i="34" s="1"/>
  <c r="K112" i="34" s="1"/>
  <c r="L112" i="34" s="1"/>
  <c r="M112" i="34" s="1"/>
  <c r="G110" i="34"/>
  <c r="F110" i="34"/>
  <c r="E110" i="34"/>
  <c r="D110" i="34"/>
  <c r="C110" i="34"/>
  <c r="G109" i="34"/>
  <c r="H109" i="34" s="1"/>
  <c r="I109" i="34" s="1"/>
  <c r="J109" i="34" s="1"/>
  <c r="K109" i="34" s="1"/>
  <c r="L109" i="34" s="1"/>
  <c r="M109" i="34" s="1"/>
  <c r="E109" i="34"/>
  <c r="F109" i="34" s="1"/>
  <c r="D109" i="34"/>
  <c r="K107" i="34"/>
  <c r="L107" i="34" s="1"/>
  <c r="M107" i="34" s="1"/>
  <c r="H107" i="34"/>
  <c r="I107" i="34" s="1"/>
  <c r="J107" i="34" s="1"/>
  <c r="E107" i="34"/>
  <c r="F107" i="34" s="1"/>
  <c r="G107" i="34" s="1"/>
  <c r="D107" i="34"/>
  <c r="D105" i="34"/>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J31" i="34" s="1"/>
  <c r="B95" i="34"/>
  <c r="B93" i="34"/>
  <c r="F29" i="34" s="1"/>
  <c r="G92" i="34"/>
  <c r="H92" i="34" s="1"/>
  <c r="I92" i="34" s="1"/>
  <c r="J92" i="34" s="1"/>
  <c r="K92" i="34" s="1"/>
  <c r="L92" i="34" s="1"/>
  <c r="M92" i="34" s="1"/>
  <c r="D92" i="34"/>
  <c r="E92" i="34" s="1"/>
  <c r="F92" i="34" s="1"/>
  <c r="B91" i="34"/>
  <c r="J90" i="34"/>
  <c r="K90" i="34" s="1"/>
  <c r="L90" i="34" s="1"/>
  <c r="M90" i="34" s="1"/>
  <c r="G90" i="34"/>
  <c r="H90" i="34" s="1"/>
  <c r="I90" i="34" s="1"/>
  <c r="E90" i="34"/>
  <c r="F90" i="34" s="1"/>
  <c r="D90" i="34"/>
  <c r="B89" i="34"/>
  <c r="F88" i="34"/>
  <c r="G88" i="34" s="1"/>
  <c r="H88" i="34" s="1"/>
  <c r="I88" i="34" s="1"/>
  <c r="J88" i="34" s="1"/>
  <c r="K88" i="34" s="1"/>
  <c r="L88" i="34" s="1"/>
  <c r="M88" i="34" s="1"/>
  <c r="D88" i="34"/>
  <c r="E88" i="34" s="1"/>
  <c r="D86" i="34"/>
  <c r="F84" i="34"/>
  <c r="G84" i="34" s="1"/>
  <c r="D84" i="34"/>
  <c r="E84" i="34" s="1"/>
  <c r="D82" i="34"/>
  <c r="D80" i="34"/>
  <c r="D78" i="34"/>
  <c r="B75" i="34"/>
  <c r="J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K49" i="34"/>
  <c r="P48" i="34"/>
  <c r="Q47" i="34"/>
  <c r="Z47" i="34" s="1"/>
  <c r="Q46" i="34"/>
  <c r="Z46" i="34" s="1"/>
  <c r="Z45" i="34"/>
  <c r="Q45" i="34"/>
  <c r="H45" i="34"/>
  <c r="U45" i="34" s="1"/>
  <c r="Z44" i="34"/>
  <c r="Q44" i="34"/>
  <c r="Z43" i="34"/>
  <c r="U43" i="34"/>
  <c r="Q43" i="34"/>
  <c r="J43" i="34"/>
  <c r="W43" i="34" s="1"/>
  <c r="H43" i="34"/>
  <c r="AB43" i="34" s="1"/>
  <c r="F43" i="34"/>
  <c r="AA43" i="34" s="1"/>
  <c r="AB42" i="34"/>
  <c r="Q42" i="34"/>
  <c r="Z42" i="34" s="1"/>
  <c r="J42" i="34"/>
  <c r="AC42" i="34" s="1"/>
  <c r="H42" i="34"/>
  <c r="U42" i="34" s="1"/>
  <c r="F42" i="34"/>
  <c r="AA42" i="34" s="1"/>
  <c r="AA41" i="34"/>
  <c r="Q41" i="34"/>
  <c r="Z41" i="34" s="1"/>
  <c r="J41" i="34"/>
  <c r="AC41" i="34" s="1"/>
  <c r="H41" i="34"/>
  <c r="AB41" i="34" s="1"/>
  <c r="F41" i="34"/>
  <c r="S41" i="34" s="1"/>
  <c r="Z40" i="34"/>
  <c r="Q40" i="34"/>
  <c r="J40" i="34"/>
  <c r="W40" i="34" s="1"/>
  <c r="Z39" i="34"/>
  <c r="U39" i="34"/>
  <c r="Q39" i="34"/>
  <c r="J39" i="34"/>
  <c r="W39" i="34" s="1"/>
  <c r="H39" i="34"/>
  <c r="AB39" i="34" s="1"/>
  <c r="F39" i="34"/>
  <c r="AA39" i="34" s="1"/>
  <c r="AB38" i="34"/>
  <c r="W38" i="34"/>
  <c r="Q38" i="34"/>
  <c r="Z38" i="34" s="1"/>
  <c r="J38" i="34"/>
  <c r="AC38" i="34" s="1"/>
  <c r="H38" i="34"/>
  <c r="U38" i="34" s="1"/>
  <c r="F38" i="34"/>
  <c r="AA38" i="34" s="1"/>
  <c r="Q37" i="34"/>
  <c r="Z37" i="34" s="1"/>
  <c r="Z36" i="34"/>
  <c r="Q36" i="34"/>
  <c r="J36" i="34"/>
  <c r="W36" i="34" s="1"/>
  <c r="H36" i="34"/>
  <c r="AB36" i="34" s="1"/>
  <c r="F36" i="34"/>
  <c r="AA36" i="34" s="1"/>
  <c r="AC35" i="34"/>
  <c r="W35" i="34"/>
  <c r="Q35" i="34"/>
  <c r="Z35" i="34" s="1"/>
  <c r="J35" i="34"/>
  <c r="H35" i="34"/>
  <c r="U35" i="34" s="1"/>
  <c r="F35" i="34"/>
  <c r="AA35" i="34" s="1"/>
  <c r="Q34" i="34"/>
  <c r="Z34" i="34" s="1"/>
  <c r="AC33" i="34"/>
  <c r="W33" i="34"/>
  <c r="Q33" i="34"/>
  <c r="Z33" i="34" s="1"/>
  <c r="J33" i="34"/>
  <c r="H33" i="34"/>
  <c r="U33" i="34" s="1"/>
  <c r="F33" i="34"/>
  <c r="AA33" i="34" s="1"/>
  <c r="AC32" i="34"/>
  <c r="AA32" i="34"/>
  <c r="Q32" i="34"/>
  <c r="Z32" i="34" s="1"/>
  <c r="J32" i="34"/>
  <c r="W32" i="34" s="1"/>
  <c r="H32" i="34"/>
  <c r="AB32" i="34" s="1"/>
  <c r="F32" i="34"/>
  <c r="S32" i="34" s="1"/>
  <c r="Z31" i="34"/>
  <c r="Q31" i="34"/>
  <c r="H31" i="34"/>
  <c r="U31" i="34" s="1"/>
  <c r="Z30" i="34"/>
  <c r="Q30" i="34"/>
  <c r="J30" i="34"/>
  <c r="W30" i="34" s="1"/>
  <c r="AC29" i="34"/>
  <c r="AB29" i="34"/>
  <c r="Z29" i="34"/>
  <c r="U29" i="34"/>
  <c r="Q29" i="34"/>
  <c r="J29" i="34"/>
  <c r="W29" i="34" s="1"/>
  <c r="H29" i="34"/>
  <c r="AC28" i="34"/>
  <c r="AA28" i="34"/>
  <c r="Q28" i="34"/>
  <c r="Z28" i="34" s="1"/>
  <c r="J28" i="34"/>
  <c r="W28" i="34" s="1"/>
  <c r="H28" i="34"/>
  <c r="AB28" i="34" s="1"/>
  <c r="F28" i="34"/>
  <c r="S28" i="34" s="1"/>
  <c r="Z27" i="34"/>
  <c r="Q27" i="34"/>
  <c r="Z25" i="34"/>
  <c r="Q25" i="34"/>
  <c r="J25" i="34"/>
  <c r="AC25" i="34" s="1"/>
  <c r="H25" i="34"/>
  <c r="AB25" i="34" s="1"/>
  <c r="F25" i="34"/>
  <c r="AA25" i="34" s="1"/>
  <c r="Q23" i="34"/>
  <c r="Z23" i="34" s="1"/>
  <c r="F23" i="34"/>
  <c r="C23" i="34"/>
  <c r="AB21" i="34"/>
  <c r="Z21" i="34"/>
  <c r="Q21" i="34"/>
  <c r="J21" i="34"/>
  <c r="AC21" i="34" s="1"/>
  <c r="H21" i="34"/>
  <c r="U21" i="34" s="1"/>
  <c r="F21" i="34"/>
  <c r="AA21" i="34" s="1"/>
  <c r="C21" i="34"/>
  <c r="Z19" i="34"/>
  <c r="Q19" i="34"/>
  <c r="C19" i="34"/>
  <c r="U17" i="34"/>
  <c r="Q17" i="34"/>
  <c r="Z17" i="34" s="1"/>
  <c r="H17" i="34"/>
  <c r="AB17" i="34" s="1"/>
  <c r="F17" i="34"/>
  <c r="S17" i="34" s="1"/>
  <c r="C17" i="34"/>
  <c r="Q15" i="34"/>
  <c r="Z15" i="34" s="1"/>
  <c r="C15" i="34"/>
  <c r="AB14" i="34"/>
  <c r="Q14" i="34"/>
  <c r="Z14" i="34" s="1"/>
  <c r="H14" i="34"/>
  <c r="U14" i="34" s="1"/>
  <c r="F14" i="34"/>
  <c r="S14" i="34" s="1"/>
  <c r="Q13" i="34"/>
  <c r="Z13" i="34" s="1"/>
  <c r="F13" i="34"/>
  <c r="S13" i="34" s="1"/>
  <c r="Q12" i="34"/>
  <c r="Z12" i="34" s="1"/>
  <c r="J12" i="34"/>
  <c r="AC12" i="34" s="1"/>
  <c r="H12" i="34"/>
  <c r="U12" i="34" s="1"/>
  <c r="F12" i="34"/>
  <c r="AA12" i="34" s="1"/>
  <c r="Q11" i="34"/>
  <c r="Z11" i="34" s="1"/>
  <c r="J11" i="34"/>
  <c r="W11" i="34" s="1"/>
  <c r="H11" i="34"/>
  <c r="AB11" i="34" s="1"/>
  <c r="F11" i="34"/>
  <c r="S11" i="34" s="1"/>
  <c r="Z10" i="34"/>
  <c r="Q10" i="34"/>
  <c r="J10" i="34"/>
  <c r="AC10" i="34" s="1"/>
  <c r="H10" i="34"/>
  <c r="U10" i="34" s="1"/>
  <c r="F10" i="34"/>
  <c r="AA10" i="34" s="1"/>
  <c r="Q9" i="34"/>
  <c r="Z9" i="34" s="1"/>
  <c r="F9" i="34"/>
  <c r="S9" i="34" s="1"/>
  <c r="AC8" i="34"/>
  <c r="AB8" i="34"/>
  <c r="W8" i="34"/>
  <c r="U8" i="34"/>
  <c r="J8" i="34"/>
  <c r="H8" i="34"/>
  <c r="F8" i="34"/>
  <c r="E5" i="34"/>
  <c r="B83" i="81"/>
  <c r="O82" i="81"/>
  <c r="N82" i="81"/>
  <c r="M82" i="81"/>
  <c r="K82" i="81"/>
  <c r="J82" i="81"/>
  <c r="F82" i="81"/>
  <c r="L82" i="81" s="1"/>
  <c r="F81" i="81"/>
  <c r="O81" i="81" s="1"/>
  <c r="F80" i="81"/>
  <c r="O80" i="81" s="1"/>
  <c r="K79" i="81"/>
  <c r="F79" i="81"/>
  <c r="O79" i="81" s="1"/>
  <c r="O78" i="81"/>
  <c r="F78" i="81"/>
  <c r="K77" i="81"/>
  <c r="F77" i="81"/>
  <c r="N77" i="81" s="1"/>
  <c r="O76" i="81"/>
  <c r="F76" i="81"/>
  <c r="O75" i="81"/>
  <c r="K75" i="81"/>
  <c r="F75" i="81"/>
  <c r="N75" i="81" s="1"/>
  <c r="F74" i="81"/>
  <c r="K73" i="81"/>
  <c r="F73" i="81"/>
  <c r="N73" i="81" s="1"/>
  <c r="F72" i="81"/>
  <c r="F71" i="81"/>
  <c r="N71" i="81" s="1"/>
  <c r="O70" i="81"/>
  <c r="F70" i="81"/>
  <c r="F69" i="81"/>
  <c r="N69" i="81" s="1"/>
  <c r="F68" i="81"/>
  <c r="O68" i="81" s="1"/>
  <c r="K67" i="81"/>
  <c r="F67" i="81"/>
  <c r="N67" i="81" s="1"/>
  <c r="O66" i="81"/>
  <c r="L65" i="81"/>
  <c r="J65" i="81"/>
  <c r="F65" i="81"/>
  <c r="N65" i="81" s="1"/>
  <c r="L64" i="81"/>
  <c r="J64" i="81"/>
  <c r="F64" i="81"/>
  <c r="N64" i="81" s="1"/>
  <c r="L63" i="81"/>
  <c r="J63" i="81"/>
  <c r="F63" i="81"/>
  <c r="N63" i="81" s="1"/>
  <c r="L62" i="81"/>
  <c r="J62" i="81"/>
  <c r="F62" i="81"/>
  <c r="N62" i="81" s="1"/>
  <c r="L61" i="81"/>
  <c r="J61" i="81"/>
  <c r="F61" i="81"/>
  <c r="N61" i="81" s="1"/>
  <c r="L60" i="81"/>
  <c r="J60" i="81"/>
  <c r="F60" i="81"/>
  <c r="N60" i="81" s="1"/>
  <c r="L59" i="81"/>
  <c r="J59" i="81"/>
  <c r="F59" i="81"/>
  <c r="N59" i="81" s="1"/>
  <c r="L58" i="81"/>
  <c r="J58" i="81"/>
  <c r="F58" i="81"/>
  <c r="N58" i="81" s="1"/>
  <c r="L57" i="81"/>
  <c r="J57" i="81"/>
  <c r="F57" i="81"/>
  <c r="N57" i="81" s="1"/>
  <c r="L56" i="81"/>
  <c r="J56" i="81"/>
  <c r="F56" i="81"/>
  <c r="N56" i="81" s="1"/>
  <c r="L55" i="81"/>
  <c r="J55" i="81"/>
  <c r="F55" i="81"/>
  <c r="N55" i="81" s="1"/>
  <c r="L54" i="81"/>
  <c r="J54" i="81"/>
  <c r="F54" i="81"/>
  <c r="N54" i="81" s="1"/>
  <c r="L53" i="81"/>
  <c r="J53" i="81"/>
  <c r="F53" i="81"/>
  <c r="N53" i="81" s="1"/>
  <c r="L52" i="81"/>
  <c r="J52" i="81"/>
  <c r="F52" i="81"/>
  <c r="N52" i="81" s="1"/>
  <c r="L51" i="81"/>
  <c r="J51" i="81"/>
  <c r="F51" i="81"/>
  <c r="N51" i="81" s="1"/>
  <c r="L50" i="81"/>
  <c r="J50" i="81"/>
  <c r="F50" i="81"/>
  <c r="N50" i="81" s="1"/>
  <c r="L49" i="81"/>
  <c r="J49" i="81"/>
  <c r="F49" i="81"/>
  <c r="N49" i="81" s="1"/>
  <c r="L48" i="81"/>
  <c r="J48" i="81"/>
  <c r="F48" i="81"/>
  <c r="N48" i="81" s="1"/>
  <c r="L47" i="81"/>
  <c r="J47" i="81"/>
  <c r="F47" i="81"/>
  <c r="N47" i="81" s="1"/>
  <c r="L46" i="81"/>
  <c r="J46" i="81"/>
  <c r="F46" i="81"/>
  <c r="N46" i="81" s="1"/>
  <c r="L45" i="81"/>
  <c r="J45" i="81"/>
  <c r="F45" i="81"/>
  <c r="N45" i="81" s="1"/>
  <c r="L44" i="81"/>
  <c r="J44" i="81"/>
  <c r="F44" i="81"/>
  <c r="N44" i="81" s="1"/>
  <c r="L43" i="81"/>
  <c r="J43" i="81"/>
  <c r="F43" i="81"/>
  <c r="N43" i="81" s="1"/>
  <c r="L42" i="81"/>
  <c r="J42" i="81"/>
  <c r="F42" i="81"/>
  <c r="N42" i="81" s="1"/>
  <c r="L41" i="81"/>
  <c r="J41" i="81"/>
  <c r="F41" i="81"/>
  <c r="N41" i="81" s="1"/>
  <c r="L40" i="81"/>
  <c r="J40" i="81"/>
  <c r="F40" i="81"/>
  <c r="N40" i="81" s="1"/>
  <c r="L39" i="81"/>
  <c r="J39" i="81"/>
  <c r="F39" i="81"/>
  <c r="N39" i="81" s="1"/>
  <c r="L38" i="81"/>
  <c r="J38" i="81"/>
  <c r="F38" i="81"/>
  <c r="N38" i="81" s="1"/>
  <c r="L37" i="81"/>
  <c r="J37" i="81"/>
  <c r="F37" i="81"/>
  <c r="N37" i="81" s="1"/>
  <c r="L36" i="81"/>
  <c r="J36" i="81"/>
  <c r="F36" i="81"/>
  <c r="N36" i="81" s="1"/>
  <c r="L35" i="81"/>
  <c r="J35" i="81"/>
  <c r="F35" i="81"/>
  <c r="N35" i="81" s="1"/>
  <c r="L34" i="81"/>
  <c r="J34" i="81"/>
  <c r="F34" i="81"/>
  <c r="N34" i="81" s="1"/>
  <c r="L33" i="81"/>
  <c r="J33" i="81"/>
  <c r="F33" i="81"/>
  <c r="N33" i="81" s="1"/>
  <c r="L32" i="81"/>
  <c r="J32" i="81"/>
  <c r="F32" i="81"/>
  <c r="N32" i="81" s="1"/>
  <c r="L31" i="81"/>
  <c r="J31" i="81"/>
  <c r="F31" i="81"/>
  <c r="N31" i="81" s="1"/>
  <c r="L30" i="81"/>
  <c r="J30" i="81"/>
  <c r="F30" i="81"/>
  <c r="N30" i="81" s="1"/>
  <c r="L29" i="81"/>
  <c r="J29" i="81"/>
  <c r="F29" i="81"/>
  <c r="N29" i="81" s="1"/>
  <c r="L28" i="81"/>
  <c r="J28" i="81"/>
  <c r="F28" i="81"/>
  <c r="N28" i="81" s="1"/>
  <c r="L27" i="81"/>
  <c r="J27" i="81"/>
  <c r="F27" i="81"/>
  <c r="N27" i="81" s="1"/>
  <c r="L26" i="81"/>
  <c r="J26" i="81"/>
  <c r="F26" i="81"/>
  <c r="N26" i="81" s="1"/>
  <c r="L25" i="81"/>
  <c r="J25" i="81"/>
  <c r="F25" i="81"/>
  <c r="N25" i="81" s="1"/>
  <c r="L24" i="81"/>
  <c r="J24" i="81"/>
  <c r="F24" i="81"/>
  <c r="N24" i="81" s="1"/>
  <c r="L23" i="81"/>
  <c r="J23" i="81"/>
  <c r="F23" i="81"/>
  <c r="N23" i="81" s="1"/>
  <c r="L22" i="81"/>
  <c r="J22" i="81"/>
  <c r="F22" i="81"/>
  <c r="N22" i="81" s="1"/>
  <c r="L21" i="81"/>
  <c r="J21" i="81"/>
  <c r="F21" i="81"/>
  <c r="N21" i="81" s="1"/>
  <c r="L20" i="81"/>
  <c r="J20" i="81"/>
  <c r="F20" i="81"/>
  <c r="N20" i="81" s="1"/>
  <c r="L19" i="81"/>
  <c r="J19" i="81"/>
  <c r="F19" i="81"/>
  <c r="N19" i="81" s="1"/>
  <c r="L18" i="81"/>
  <c r="J18" i="81"/>
  <c r="F18" i="81"/>
  <c r="N18" i="81" s="1"/>
  <c r="L17" i="81"/>
  <c r="J17" i="81"/>
  <c r="F17" i="81"/>
  <c r="N17" i="81" s="1"/>
  <c r="L16" i="81"/>
  <c r="J16" i="81"/>
  <c r="F16" i="81"/>
  <c r="N16" i="81" s="1"/>
  <c r="L15" i="81"/>
  <c r="J15" i="81"/>
  <c r="F15" i="81"/>
  <c r="N15" i="81" s="1"/>
  <c r="L14" i="81"/>
  <c r="J14" i="81"/>
  <c r="F14" i="81"/>
  <c r="N14" i="81" s="1"/>
  <c r="L13" i="81"/>
  <c r="J13" i="81"/>
  <c r="F13" i="81"/>
  <c r="N13" i="81" s="1"/>
  <c r="L12" i="81"/>
  <c r="J12" i="81"/>
  <c r="F12" i="81"/>
  <c r="N12" i="81" s="1"/>
  <c r="L11" i="81"/>
  <c r="J11" i="81"/>
  <c r="F11" i="81"/>
  <c r="N11" i="81" s="1"/>
  <c r="L10" i="81"/>
  <c r="J10" i="81"/>
  <c r="F10" i="81"/>
  <c r="N10" i="81" s="1"/>
  <c r="L9" i="81"/>
  <c r="J9" i="81"/>
  <c r="F9" i="81"/>
  <c r="N9" i="81" s="1"/>
  <c r="L8" i="81"/>
  <c r="J8" i="81"/>
  <c r="F8" i="81"/>
  <c r="N8" i="81" s="1"/>
  <c r="L7" i="81"/>
  <c r="J7" i="81"/>
  <c r="F7" i="81"/>
  <c r="N7" i="81" s="1"/>
  <c r="L6" i="81"/>
  <c r="J6" i="81"/>
  <c r="F6" i="81"/>
  <c r="N6" i="81" s="1"/>
  <c r="L5" i="81"/>
  <c r="J5" i="81"/>
  <c r="F5" i="81"/>
  <c r="N5" i="81" s="1"/>
  <c r="L4" i="81"/>
  <c r="J4" i="81"/>
  <c r="F4" i="81"/>
  <c r="N4" i="81" s="1"/>
  <c r="L3" i="81"/>
  <c r="J3" i="81"/>
  <c r="F3" i="81"/>
  <c r="N3" i="81" s="1"/>
  <c r="M98" i="86"/>
  <c r="M99" i="86" s="1"/>
  <c r="L98" i="86"/>
  <c r="N95" i="86"/>
  <c r="M95" i="86"/>
  <c r="L48" i="87"/>
  <c r="M47" i="87"/>
  <c r="M48" i="87" s="1"/>
  <c r="I46" i="34" s="1"/>
  <c r="L47" i="87"/>
  <c r="N44" i="87"/>
  <c r="O44" i="87" s="1"/>
  <c r="I48" i="34" s="1"/>
  <c r="M44" i="87"/>
  <c r="N24" i="89"/>
  <c r="M23" i="89"/>
  <c r="M24" i="89" s="1"/>
  <c r="N20" i="89"/>
  <c r="O20" i="89" s="1"/>
  <c r="G48" i="34" s="1"/>
  <c r="M20" i="89"/>
  <c r="N17" i="88"/>
  <c r="O14" i="88"/>
  <c r="E48" i="34" s="1"/>
  <c r="N14" i="88"/>
  <c r="M14" i="88"/>
  <c r="M17" i="88" s="1"/>
  <c r="M18" i="88" s="1"/>
  <c r="A124" i="9"/>
  <c r="D121" i="9"/>
  <c r="A120" i="9"/>
  <c r="H112" i="9"/>
  <c r="H111" i="9"/>
  <c r="D126" i="9" s="1"/>
  <c r="E111" i="9"/>
  <c r="A126" i="9" s="1"/>
  <c r="H109" i="9"/>
  <c r="D124" i="9" s="1"/>
  <c r="E109" i="9"/>
  <c r="E107" i="9"/>
  <c r="A122" i="9" s="1"/>
  <c r="H106" i="9"/>
  <c r="H105" i="9"/>
  <c r="H103" i="9" s="1"/>
  <c r="D120" i="9" s="1"/>
  <c r="K120" i="9" s="1"/>
  <c r="H104" i="9"/>
  <c r="D101" i="9"/>
  <c r="C101" i="9"/>
  <c r="C91" i="9"/>
  <c r="E90" i="9"/>
  <c r="D89" i="9"/>
  <c r="C89" i="9" s="1"/>
  <c r="C87" i="9"/>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C17" i="39" s="1"/>
  <c r="G15" i="20"/>
  <c r="C15" i="20"/>
  <c r="B52" i="1"/>
  <c r="B43" i="1"/>
  <c r="B41" i="1"/>
  <c r="B31" i="1"/>
  <c r="B24" i="1"/>
  <c r="B23" i="1"/>
  <c r="B22" i="1"/>
  <c r="O20" i="1"/>
  <c r="N6" i="1" s="1"/>
  <c r="P18" i="1"/>
  <c r="P20" i="1" s="1"/>
  <c r="O18" i="1"/>
  <c r="P14" i="1"/>
  <c r="O14" i="1"/>
  <c r="L14" i="1"/>
  <c r="AP13" i="1"/>
  <c r="AG13" i="1"/>
  <c r="AE13" i="1"/>
  <c r="P13" i="1"/>
  <c r="O13" i="1"/>
  <c r="F13" i="1"/>
  <c r="D13" i="1"/>
  <c r="A13" i="1"/>
  <c r="K13" i="1" s="1"/>
  <c r="M13" i="1" s="1"/>
  <c r="AP12" i="1"/>
  <c r="AG12" i="1"/>
  <c r="AE12" i="1"/>
  <c r="P12" i="1"/>
  <c r="O12" i="1"/>
  <c r="F12" i="1"/>
  <c r="D12" i="1"/>
  <c r="A12" i="1"/>
  <c r="K12" i="1" s="1"/>
  <c r="M12" i="1" s="1"/>
  <c r="AP11" i="1"/>
  <c r="AG11" i="1"/>
  <c r="AE11" i="1"/>
  <c r="R11" i="1"/>
  <c r="P11" i="1"/>
  <c r="O11" i="1"/>
  <c r="F11" i="1"/>
  <c r="D11" i="1"/>
  <c r="A11" i="1"/>
  <c r="K11" i="1" s="1"/>
  <c r="M11" i="1" s="1"/>
  <c r="AP10" i="1"/>
  <c r="AG10" i="1"/>
  <c r="AE10" i="1"/>
  <c r="P10" i="1"/>
  <c r="O10" i="1"/>
  <c r="F10" i="1"/>
  <c r="D10" i="1"/>
  <c r="A10" i="1"/>
  <c r="K10" i="1" s="1"/>
  <c r="M10" i="1" s="1"/>
  <c r="AP9" i="1"/>
  <c r="AG9" i="1"/>
  <c r="AE9" i="1"/>
  <c r="R9" i="1"/>
  <c r="P9" i="1"/>
  <c r="O9" i="1"/>
  <c r="F9" i="1"/>
  <c r="D9" i="1"/>
  <c r="A9" i="1"/>
  <c r="K9" i="1" s="1"/>
  <c r="M9" i="1" s="1"/>
  <c r="AP8" i="1"/>
  <c r="AG8" i="1"/>
  <c r="AE8" i="1"/>
  <c r="P8" i="1"/>
  <c r="O8" i="1"/>
  <c r="F8" i="1"/>
  <c r="D8" i="1"/>
  <c r="A8" i="1"/>
  <c r="K8" i="1" s="1"/>
  <c r="M8" i="1" s="1"/>
  <c r="AP7" i="1"/>
  <c r="AG7" i="1"/>
  <c r="P7" i="1"/>
  <c r="O7" i="1"/>
  <c r="L7" i="1"/>
  <c r="D7" i="1"/>
  <c r="A7" i="1"/>
  <c r="K7" i="1" s="1"/>
  <c r="M7" i="1" s="1"/>
  <c r="AP6" i="1"/>
  <c r="C36" i="69" s="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G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c r="BT413" i="3"/>
  <c r="BS413" i="3"/>
  <c r="BR413" i="3"/>
  <c r="BQ413" i="3"/>
  <c r="BP413" i="3"/>
  <c r="BO413" i="3"/>
  <c r="BN413" i="3"/>
  <c r="BL413" i="3" s="1"/>
  <c r="BM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A391" i="3" s="1"/>
  <c r="AZ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A388" i="3" s="1"/>
  <c r="AZ388" i="3" s="1"/>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A384" i="3" s="1"/>
  <c r="AZ384" i="3" s="1"/>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c r="BT381" i="3"/>
  <c r="BS381" i="3"/>
  <c r="BR381" i="3"/>
  <c r="BQ381" i="3"/>
  <c r="BP381" i="3"/>
  <c r="BO381" i="3"/>
  <c r="BN381" i="3"/>
  <c r="BL381" i="3" s="1"/>
  <c r="BM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L377" i="3" s="1"/>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A375" i="3" s="1"/>
  <c r="AZ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s="1"/>
  <c r="BC372" i="3"/>
  <c r="BB372" i="3"/>
  <c r="AZ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G368" i="3" s="1"/>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c r="BT365" i="3"/>
  <c r="BS365" i="3"/>
  <c r="BR365" i="3"/>
  <c r="BQ365" i="3"/>
  <c r="BP365" i="3"/>
  <c r="BO365" i="3"/>
  <c r="BN365" i="3"/>
  <c r="BL365" i="3" s="1"/>
  <c r="BM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G362" i="3" s="1"/>
  <c r="H362" i="3"/>
  <c r="BT361" i="3"/>
  <c r="BS361" i="3"/>
  <c r="BR361" i="3"/>
  <c r="BQ361" i="3"/>
  <c r="BP361" i="3"/>
  <c r="BO361" i="3"/>
  <c r="BL361" i="3" s="1"/>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A359" i="3" s="1"/>
  <c r="AZ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A356" i="3" s="1"/>
  <c r="AZ356" i="3" s="1"/>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L352" i="3" s="1"/>
  <c r="BN352" i="3"/>
  <c r="BM352" i="3"/>
  <c r="BK352" i="3"/>
  <c r="BJ352" i="3"/>
  <c r="BI352" i="3"/>
  <c r="BH352" i="3"/>
  <c r="BG352" i="3"/>
  <c r="BF352" i="3"/>
  <c r="BE352" i="3"/>
  <c r="BD352" i="3"/>
  <c r="BC352" i="3"/>
  <c r="BA352" i="3" s="1"/>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c r="BT349" i="3"/>
  <c r="BS349" i="3"/>
  <c r="BR349" i="3"/>
  <c r="BQ349" i="3"/>
  <c r="BP349" i="3"/>
  <c r="BO349" i="3"/>
  <c r="BN349" i="3"/>
  <c r="BL349" i="3" s="1"/>
  <c r="BM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A348" i="3" s="1"/>
  <c r="AZ348" i="3" s="1"/>
  <c r="BC348" i="3"/>
  <c r="BB348" i="3"/>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L345" i="3" s="1"/>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A340" i="3" s="1"/>
  <c r="BC340" i="3"/>
  <c r="BB340" i="3"/>
  <c r="AZ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BT336" i="3"/>
  <c r="BS336" i="3"/>
  <c r="BR336" i="3"/>
  <c r="BQ336" i="3"/>
  <c r="BP336" i="3"/>
  <c r="BO336" i="3"/>
  <c r="BL336" i="3" s="1"/>
  <c r="BN336" i="3"/>
  <c r="BM336" i="3"/>
  <c r="BK336" i="3"/>
  <c r="BJ336" i="3"/>
  <c r="BI336" i="3"/>
  <c r="BH336" i="3"/>
  <c r="BG336" i="3"/>
  <c r="BF336" i="3"/>
  <c r="BE336" i="3"/>
  <c r="BD336" i="3"/>
  <c r="BC336" i="3"/>
  <c r="BA336" i="3" s="1"/>
  <c r="BB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L329" i="3" s="1"/>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A327" i="3" s="1"/>
  <c r="AZ327" i="3" s="1"/>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BT320" i="3"/>
  <c r="BS320" i="3"/>
  <c r="BR320" i="3"/>
  <c r="BQ320" i="3"/>
  <c r="BP320" i="3"/>
  <c r="BO320" i="3"/>
  <c r="BL320" i="3" s="1"/>
  <c r="BN320" i="3"/>
  <c r="BM320" i="3"/>
  <c r="BK320" i="3"/>
  <c r="BJ320" i="3"/>
  <c r="BI320" i="3"/>
  <c r="BH320" i="3"/>
  <c r="BG320" i="3"/>
  <c r="BF320" i="3"/>
  <c r="BE320" i="3"/>
  <c r="BD320" i="3"/>
  <c r="BC320" i="3"/>
  <c r="BA320" i="3" s="1"/>
  <c r="AZ320" i="3" s="1"/>
  <c r="BB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c r="BT317" i="3"/>
  <c r="BS317" i="3"/>
  <c r="BR317" i="3"/>
  <c r="BQ317" i="3"/>
  <c r="BP317" i="3"/>
  <c r="BO317" i="3"/>
  <c r="BN317" i="3"/>
  <c r="BL317" i="3" s="1"/>
  <c r="BM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L313" i="3" s="1"/>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A311" i="3" s="1"/>
  <c r="AZ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BA310" i="3" s="1"/>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A308" i="3" s="1"/>
  <c r="BC308" i="3"/>
  <c r="BB308" i="3"/>
  <c r="AZ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BT304" i="3"/>
  <c r="BS304" i="3"/>
  <c r="BR304" i="3"/>
  <c r="BQ304" i="3"/>
  <c r="BP304" i="3"/>
  <c r="BO304" i="3"/>
  <c r="BL304" i="3" s="1"/>
  <c r="BN304" i="3"/>
  <c r="BM304" i="3"/>
  <c r="BK304" i="3"/>
  <c r="BJ304" i="3"/>
  <c r="BI304" i="3"/>
  <c r="BH304" i="3"/>
  <c r="BG304" i="3"/>
  <c r="BF304" i="3"/>
  <c r="BE304" i="3"/>
  <c r="BD304" i="3"/>
  <c r="BC304" i="3"/>
  <c r="BA304" i="3" s="1"/>
  <c r="BB304" i="3"/>
  <c r="AX304" i="3"/>
  <c r="AW304" i="3"/>
  <c r="AV304" i="3"/>
  <c r="AC304" i="3"/>
  <c r="G304" i="3" s="1"/>
  <c r="H304" i="3"/>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L301" i="3" s="1"/>
  <c r="BM301" i="3"/>
  <c r="BK301" i="3"/>
  <c r="BJ301" i="3"/>
  <c r="BI301" i="3"/>
  <c r="BH301" i="3"/>
  <c r="BG301" i="3"/>
  <c r="BF301" i="3"/>
  <c r="BE301" i="3"/>
  <c r="BD301" i="3"/>
  <c r="BC301" i="3"/>
  <c r="BB301" i="3"/>
  <c r="BA301" i="3"/>
  <c r="AZ301" i="3" s="1"/>
  <c r="AX301" i="3"/>
  <c r="AW301" i="3"/>
  <c r="AV301" i="3"/>
  <c r="AC301" i="3"/>
  <c r="G301" i="3" s="1"/>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A299" i="3" s="1"/>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L296" i="3" s="1"/>
  <c r="AZ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BC295" i="3"/>
  <c r="BB295" i="3"/>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L288" i="3" s="1"/>
  <c r="AZ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A283" i="3" s="1"/>
  <c r="BB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L280" i="3" s="1"/>
  <c r="AZ280" i="3" s="1"/>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A275" i="3" s="1"/>
  <c r="BB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A274" i="3" s="1"/>
  <c r="AZ274" i="3" s="1"/>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L272" i="3" s="1"/>
  <c r="AZ272" i="3" s="1"/>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A266" i="3" s="1"/>
  <c r="AZ266" i="3" s="1"/>
  <c r="BC266" i="3"/>
  <c r="BB266" i="3"/>
  <c r="AX266" i="3"/>
  <c r="AW266" i="3"/>
  <c r="AV266" i="3"/>
  <c r="AC266" i="3"/>
  <c r="H266" i="3"/>
  <c r="G266" i="3" s="1"/>
  <c r="BT265" i="3"/>
  <c r="BS265" i="3"/>
  <c r="BR265" i="3"/>
  <c r="BQ265" i="3"/>
  <c r="BP265" i="3"/>
  <c r="BO265" i="3"/>
  <c r="BL265" i="3" s="1"/>
  <c r="BN265" i="3"/>
  <c r="BM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BC260" i="3"/>
  <c r="BB260" i="3"/>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BC252" i="3"/>
  <c r="BB252" i="3"/>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A244" i="3" s="1"/>
  <c r="BC244" i="3"/>
  <c r="BB244" i="3"/>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A236" i="3" s="1"/>
  <c r="BC236" i="3"/>
  <c r="BB236" i="3"/>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L234" i="3" s="1"/>
  <c r="BM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L233" i="3" s="1"/>
  <c r="BN233" i="3"/>
  <c r="BM233" i="3"/>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A225" i="3" s="1"/>
  <c r="AZ225" i="3" s="1"/>
  <c r="BB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L218" i="3" s="1"/>
  <c r="BM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A209" i="3" s="1"/>
  <c r="AZ209" i="3" s="1"/>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A204" i="3" s="1"/>
  <c r="BC204" i="3"/>
  <c r="BB204" i="3"/>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A201" i="3" s="1"/>
  <c r="AZ201" i="3" s="1"/>
  <c r="BB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A200" i="3" s="1"/>
  <c r="AZ200" i="3" s="1"/>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A196" i="3" s="1"/>
  <c r="BC196" i="3"/>
  <c r="BB196" i="3"/>
  <c r="AZ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L194" i="3" s="1"/>
  <c r="BM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A192" i="3" s="1"/>
  <c r="AZ192" i="3" s="1"/>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A188" i="3" s="1"/>
  <c r="BC188" i="3"/>
  <c r="BB188" i="3"/>
  <c r="AZ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A185" i="3" s="1"/>
  <c r="AZ185" i="3" s="1"/>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A184" i="3" s="1"/>
  <c r="AZ184" i="3" s="1"/>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A180" i="3" s="1"/>
  <c r="BC180" i="3"/>
  <c r="BB180" i="3"/>
  <c r="AZ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L178" i="3" s="1"/>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A176" i="3" s="1"/>
  <c r="AZ176" i="3" s="1"/>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A172" i="3" s="1"/>
  <c r="BC172" i="3"/>
  <c r="BB172" i="3"/>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L170" i="3" s="1"/>
  <c r="BM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L112" i="3" s="1"/>
  <c r="BO112" i="3"/>
  <c r="BN112" i="3"/>
  <c r="BM112" i="3"/>
  <c r="BK112" i="3"/>
  <c r="BJ112" i="3"/>
  <c r="BI112" i="3"/>
  <c r="BH112" i="3"/>
  <c r="BG112" i="3"/>
  <c r="BF112" i="3"/>
  <c r="BE112" i="3"/>
  <c r="BD112" i="3"/>
  <c r="BC112" i="3"/>
  <c r="BA112" i="3" s="1"/>
  <c r="AZ112" i="3" s="1"/>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A104" i="3" s="1"/>
  <c r="AZ104" i="3" s="1"/>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L97" i="3" s="1"/>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L89" i="3" s="1"/>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L81" i="3" s="1"/>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A80" i="3" s="1"/>
  <c r="AZ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L73" i="3" s="1"/>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A72" i="3" s="1"/>
  <c r="AZ72" i="3" s="1"/>
  <c r="BB72" i="3"/>
  <c r="AX72" i="3"/>
  <c r="AW72" i="3"/>
  <c r="AV72" i="3"/>
  <c r="AC72" i="3"/>
  <c r="G72" i="3" s="1"/>
  <c r="H72" i="3"/>
  <c r="BT71" i="3"/>
  <c r="BS71" i="3"/>
  <c r="BR71" i="3"/>
  <c r="BQ71" i="3"/>
  <c r="BP71" i="3"/>
  <c r="BO71" i="3"/>
  <c r="BN71" i="3"/>
  <c r="BM71" i="3"/>
  <c r="BL71" i="3" s="1"/>
  <c r="BK71" i="3"/>
  <c r="BJ71" i="3"/>
  <c r="BI71" i="3"/>
  <c r="BH71" i="3"/>
  <c r="BG71" i="3"/>
  <c r="BF71" i="3"/>
  <c r="BE71" i="3"/>
  <c r="BA71" i="3" s="1"/>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L65" i="3" s="1"/>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s="1"/>
  <c r="BT40" i="3"/>
  <c r="BS40" i="3"/>
  <c r="BR40" i="3"/>
  <c r="BQ40" i="3"/>
  <c r="BP40" i="3"/>
  <c r="BL40" i="3" s="1"/>
  <c r="BO40" i="3"/>
  <c r="BN40" i="3"/>
  <c r="BM40" i="3"/>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L33" i="3" s="1"/>
  <c r="BN33" i="3"/>
  <c r="BM33" i="3"/>
  <c r="BK33" i="3"/>
  <c r="BJ33" i="3"/>
  <c r="BI33" i="3"/>
  <c r="BH33" i="3"/>
  <c r="BG33" i="3"/>
  <c r="BF33" i="3"/>
  <c r="BE33" i="3"/>
  <c r="BD33" i="3"/>
  <c r="BC33" i="3"/>
  <c r="BB33" i="3"/>
  <c r="AX33" i="3"/>
  <c r="AW33" i="3"/>
  <c r="AV33" i="3"/>
  <c r="AC33" i="3"/>
  <c r="H33" i="3"/>
  <c r="BT32" i="3"/>
  <c r="BS32" i="3"/>
  <c r="BR32" i="3"/>
  <c r="BQ32" i="3"/>
  <c r="BP32" i="3"/>
  <c r="BO32" i="3"/>
  <c r="BL32" i="3" s="1"/>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L25" i="3" s="1"/>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G24" i="3" s="1"/>
  <c r="H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AX17" i="3"/>
  <c r="AW17" i="3"/>
  <c r="AV17" i="3"/>
  <c r="AC17" i="3"/>
  <c r="H17" i="3"/>
  <c r="BT16" i="3"/>
  <c r="BS16" i="3"/>
  <c r="BS5" i="3" s="1"/>
  <c r="BR16" i="3"/>
  <c r="BQ16" i="3"/>
  <c r="BP16" i="3"/>
  <c r="BO16" i="3"/>
  <c r="BL16" i="3" s="1"/>
  <c r="BN16" i="3"/>
  <c r="BM16" i="3"/>
  <c r="BK16" i="3"/>
  <c r="BJ16" i="3"/>
  <c r="BI16" i="3"/>
  <c r="BH16" i="3"/>
  <c r="BG16" i="3"/>
  <c r="BF16" i="3"/>
  <c r="BE16" i="3"/>
  <c r="BD16" i="3"/>
  <c r="BC16" i="3"/>
  <c r="BA16" i="3" s="1"/>
  <c r="BB16" i="3"/>
  <c r="AX16" i="3"/>
  <c r="AW16" i="3"/>
  <c r="AV16" i="3"/>
  <c r="AC16" i="3"/>
  <c r="G16" i="3" s="1"/>
  <c r="H16" i="3"/>
  <c r="BT15" i="3"/>
  <c r="BT5" i="3" s="1"/>
  <c r="BS15" i="3"/>
  <c r="BR15" i="3"/>
  <c r="BQ15" i="3"/>
  <c r="BP15" i="3"/>
  <c r="BP5" i="3" s="1"/>
  <c r="BO15" i="3"/>
  <c r="BN15" i="3"/>
  <c r="BM15" i="3"/>
  <c r="BL15" i="3"/>
  <c r="BK15" i="3"/>
  <c r="BJ15" i="3"/>
  <c r="BI15" i="3"/>
  <c r="BI5" i="3" s="1"/>
  <c r="BH15" i="3"/>
  <c r="BH5" i="3" s="1"/>
  <c r="BG15" i="3"/>
  <c r="BF15" i="3"/>
  <c r="BE15" i="3"/>
  <c r="BE5" i="3" s="1"/>
  <c r="BD15" i="3"/>
  <c r="BD5" i="3" s="1"/>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C5" i="3" s="1"/>
  <c r="BB14" i="3"/>
  <c r="BA14" i="3" s="1"/>
  <c r="AZ14" i="3" s="1"/>
  <c r="AX14" i="3"/>
  <c r="AW14" i="3"/>
  <c r="AV14" i="3"/>
  <c r="AC14" i="3"/>
  <c r="H14" i="3"/>
  <c r="G14" i="3" s="1"/>
  <c r="BT13" i="3"/>
  <c r="BS13" i="3"/>
  <c r="BR13" i="3"/>
  <c r="BR5" i="3" s="1"/>
  <c r="BQ13" i="3"/>
  <c r="BP13" i="3"/>
  <c r="BO13" i="3"/>
  <c r="BO5" i="3" s="1"/>
  <c r="BN13" i="3"/>
  <c r="BN5" i="3" s="1"/>
  <c r="BM13" i="3"/>
  <c r="BK13" i="3"/>
  <c r="BK5" i="3" s="1"/>
  <c r="BJ13" i="3"/>
  <c r="BJ5" i="3" s="1"/>
  <c r="BI13" i="3"/>
  <c r="BH13" i="3"/>
  <c r="BG13" i="3"/>
  <c r="BF13" i="3"/>
  <c r="BF5" i="3" s="1"/>
  <c r="BE13" i="3"/>
  <c r="BD13" i="3"/>
  <c r="BC13" i="3"/>
  <c r="BB13" i="3"/>
  <c r="AX13" i="3"/>
  <c r="AW13" i="3"/>
  <c r="AV13" i="3"/>
  <c r="AC13" i="3"/>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C15" i="4"/>
  <c r="F13" i="4"/>
  <c r="K6" i="4"/>
  <c r="I4" i="4"/>
  <c r="G4" i="4"/>
  <c r="E4" i="4"/>
  <c r="B5" i="62" s="1"/>
  <c r="C4" i="4"/>
  <c r="D3" i="4"/>
  <c r="A18" i="51" s="1"/>
  <c r="B13" i="72" s="1"/>
  <c r="S2" i="4"/>
  <c r="S1" i="4"/>
  <c r="B1" i="4"/>
  <c r="C60" i="78"/>
  <c r="D60" i="78" s="1"/>
  <c r="B56" i="78"/>
  <c r="B55" i="78"/>
  <c r="D55" i="78" s="1"/>
  <c r="D54" i="78"/>
  <c r="B54" i="78"/>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B15" i="78"/>
  <c r="F12" i="78"/>
  <c r="C18" i="78" s="1"/>
  <c r="F11" i="78"/>
  <c r="B3" i="78"/>
  <c r="C6" i="78" s="1"/>
  <c r="D6" i="78" s="1"/>
  <c r="C51" i="10"/>
  <c r="A13" i="51" s="1"/>
  <c r="B51" i="10"/>
  <c r="H16" i="49"/>
  <c r="D16" i="49"/>
  <c r="D15" i="49"/>
  <c r="B2" i="49"/>
  <c r="B14" i="49" s="1"/>
  <c r="D14" i="49" s="1"/>
  <c r="A21" i="62"/>
  <c r="B67" i="72" s="1"/>
  <c r="A20" i="62"/>
  <c r="A19" i="62"/>
  <c r="A18" i="62"/>
  <c r="A15" i="62"/>
  <c r="A14" i="62"/>
  <c r="A13" i="62"/>
  <c r="B59" i="72" s="1"/>
  <c r="A12" i="62"/>
  <c r="B58" i="72" s="1"/>
  <c r="A5" i="62"/>
  <c r="B72" i="72" s="1"/>
  <c r="A4" i="62"/>
  <c r="B70" i="72" s="1"/>
  <c r="A12" i="52"/>
  <c r="A10" i="52"/>
  <c r="A8" i="52"/>
  <c r="D7" i="52"/>
  <c r="D6" i="52"/>
  <c r="A6" i="52"/>
  <c r="A4" i="52"/>
  <c r="B41" i="72" s="1"/>
  <c r="H2" i="52"/>
  <c r="F2" i="52"/>
  <c r="D2" i="52"/>
  <c r="A1" i="52"/>
  <c r="D21" i="53"/>
  <c r="B39" i="72" s="1"/>
  <c r="D19" i="53"/>
  <c r="B38" i="72" s="1"/>
  <c r="B19" i="53"/>
  <c r="B37" i="72" s="1"/>
  <c r="D16" i="53"/>
  <c r="B34" i="72" s="1"/>
  <c r="B16" i="53"/>
  <c r="B13" i="53"/>
  <c r="D12" i="53"/>
  <c r="B28" i="72" s="1"/>
  <c r="D11" i="53"/>
  <c r="B27" i="72" s="1"/>
  <c r="D10" i="53"/>
  <c r="B26" i="72" s="1"/>
  <c r="D8" i="53"/>
  <c r="B8" i="53"/>
  <c r="A3" i="53"/>
  <c r="A2" i="53"/>
  <c r="A24" i="51"/>
  <c r="A22" i="51"/>
  <c r="B17" i="72" s="1"/>
  <c r="A21" i="51"/>
  <c r="B16" i="72" s="1"/>
  <c r="A20" i="51"/>
  <c r="A15" i="51"/>
  <c r="B12" i="72" s="1"/>
  <c r="A4" i="51"/>
  <c r="A3" i="51"/>
  <c r="B49" i="48"/>
  <c r="B5" i="72" s="1"/>
  <c r="B40" i="48"/>
  <c r="B37" i="48"/>
  <c r="B2" i="72" s="1"/>
  <c r="B74" i="72"/>
  <c r="B73" i="72"/>
  <c r="B69" i="72"/>
  <c r="B68" i="72"/>
  <c r="B66" i="72"/>
  <c r="B65" i="72"/>
  <c r="B64" i="72"/>
  <c r="B63" i="72"/>
  <c r="B62" i="72"/>
  <c r="B61" i="72"/>
  <c r="B60" i="72"/>
  <c r="B57" i="72"/>
  <c r="B56" i="72"/>
  <c r="B55" i="72"/>
  <c r="B54" i="72"/>
  <c r="B50" i="72"/>
  <c r="B46" i="72"/>
  <c r="B44" i="72"/>
  <c r="B42" i="72"/>
  <c r="B33" i="72"/>
  <c r="B29" i="72"/>
  <c r="B23" i="72"/>
  <c r="B19" i="72"/>
  <c r="B18" i="72"/>
  <c r="B15" i="72"/>
  <c r="B11" i="72"/>
  <c r="B10" i="72"/>
  <c r="B8" i="72"/>
  <c r="B6" i="72"/>
  <c r="B3" i="72"/>
  <c r="E11" i="76"/>
  <c r="E10" i="76"/>
  <c r="AO8" i="1"/>
  <c r="B13" i="76"/>
  <c r="D2" i="33"/>
  <c r="B12" i="76"/>
  <c r="E2" i="69"/>
  <c r="D2" i="35"/>
  <c r="D35" i="9"/>
  <c r="AO13" i="1"/>
  <c r="D2" i="37"/>
  <c r="B10" i="76"/>
  <c r="AO12" i="1"/>
  <c r="AO10" i="1"/>
  <c r="B9" i="76"/>
  <c r="B7" i="76"/>
  <c r="AO9" i="1"/>
  <c r="B8" i="76"/>
  <c r="E9" i="76"/>
  <c r="E12" i="76"/>
  <c r="AO11" i="1"/>
  <c r="B11" i="76"/>
  <c r="E8" i="76"/>
  <c r="D2" i="36"/>
  <c r="D2" i="21"/>
  <c r="D2" i="34"/>
  <c r="F20" i="31"/>
  <c r="E2" i="68"/>
  <c r="E7" i="76"/>
  <c r="D34" i="9"/>
  <c r="E13" i="76"/>
  <c r="O67" i="81" l="1"/>
  <c r="K69" i="81"/>
  <c r="K71" i="81"/>
  <c r="O71" i="81"/>
  <c r="R13" i="1"/>
  <c r="R10" i="1"/>
  <c r="B3" i="35"/>
  <c r="R8" i="1"/>
  <c r="R12" i="1"/>
  <c r="B3" i="36"/>
  <c r="O16" i="1"/>
  <c r="P16" i="1"/>
  <c r="C11" i="12" s="1"/>
  <c r="C15" i="12" s="1"/>
  <c r="AA47" i="34"/>
  <c r="AB10" i="34"/>
  <c r="W12" i="34"/>
  <c r="AA11" i="34"/>
  <c r="AC11" i="34"/>
  <c r="AZ43" i="3"/>
  <c r="AZ59" i="3"/>
  <c r="AZ16" i="3"/>
  <c r="AZ19" i="3"/>
  <c r="AZ20" i="3"/>
  <c r="AZ55" i="3"/>
  <c r="AZ83" i="3"/>
  <c r="AZ99" i="3"/>
  <c r="AZ132" i="3"/>
  <c r="AZ148" i="3"/>
  <c r="AZ164" i="3"/>
  <c r="D56" i="78"/>
  <c r="C51" i="78"/>
  <c r="C56" i="78" s="1"/>
  <c r="C58" i="78" s="1"/>
  <c r="T35" i="4"/>
  <c r="A19" i="51" s="1"/>
  <c r="B14" i="72" s="1"/>
  <c r="AZ32" i="3"/>
  <c r="AZ39" i="3"/>
  <c r="AZ79" i="3"/>
  <c r="AZ95" i="3"/>
  <c r="AZ160" i="3"/>
  <c r="F25" i="78"/>
  <c r="G25" i="78" s="1"/>
  <c r="G24" i="78"/>
  <c r="AZ24" i="3"/>
  <c r="AZ71" i="3"/>
  <c r="AZ87" i="3"/>
  <c r="AZ103" i="3"/>
  <c r="AZ115" i="3"/>
  <c r="AZ120" i="3"/>
  <c r="AZ136" i="3"/>
  <c r="AZ152" i="3"/>
  <c r="AZ168" i="3"/>
  <c r="D15" i="4"/>
  <c r="F28" i="6"/>
  <c r="BA13" i="3"/>
  <c r="BB5" i="3"/>
  <c r="G29" i="6"/>
  <c r="BA21" i="3"/>
  <c r="AZ21" i="3" s="1"/>
  <c r="N56" i="9"/>
  <c r="K56" i="9"/>
  <c r="M56" i="9"/>
  <c r="J56" i="9"/>
  <c r="J57" i="9" s="1"/>
  <c r="J59" i="9" s="1"/>
  <c r="J61" i="9" s="1"/>
  <c r="D33" i="43"/>
  <c r="D1" i="43" s="1"/>
  <c r="F19" i="6"/>
  <c r="H13" i="3"/>
  <c r="I5" i="3"/>
  <c r="BA15" i="3"/>
  <c r="AZ15" i="3" s="1"/>
  <c r="BA256" i="3"/>
  <c r="AZ256" i="3" s="1"/>
  <c r="C5" i="78"/>
  <c r="D5" i="78" s="1"/>
  <c r="Y8" i="71"/>
  <c r="Z8" i="71" s="1"/>
  <c r="AB8" i="71"/>
  <c r="X8" i="71"/>
  <c r="AA8" i="71"/>
  <c r="BM5" i="3"/>
  <c r="F29" i="6" s="1"/>
  <c r="E29" i="6" s="1"/>
  <c r="K15" i="1" s="1"/>
  <c r="BA202" i="3"/>
  <c r="AZ202" i="3" s="1"/>
  <c r="D9" i="53"/>
  <c r="B25" i="72" s="1"/>
  <c r="B24" i="72"/>
  <c r="B18" i="78"/>
  <c r="F15" i="4"/>
  <c r="F7" i="1" s="1"/>
  <c r="AC5" i="3"/>
  <c r="BL13" i="3"/>
  <c r="BA17" i="3"/>
  <c r="AZ17" i="3" s="1"/>
  <c r="BA25" i="3"/>
  <c r="AZ25" i="3" s="1"/>
  <c r="BA33" i="3"/>
  <c r="AZ33" i="3" s="1"/>
  <c r="BA41" i="3"/>
  <c r="AZ41" i="3" s="1"/>
  <c r="BA49" i="3"/>
  <c r="AZ49" i="3" s="1"/>
  <c r="BA57" i="3"/>
  <c r="AZ57" i="3" s="1"/>
  <c r="BA65" i="3"/>
  <c r="AZ65" i="3" s="1"/>
  <c r="BA73" i="3"/>
  <c r="AZ73" i="3" s="1"/>
  <c r="BA81" i="3"/>
  <c r="AZ81" i="3" s="1"/>
  <c r="BA89" i="3"/>
  <c r="AZ89" i="3" s="1"/>
  <c r="BA97" i="3"/>
  <c r="AZ97" i="3" s="1"/>
  <c r="BA105" i="3"/>
  <c r="AZ105" i="3" s="1"/>
  <c r="BA113" i="3"/>
  <c r="AZ113" i="3" s="1"/>
  <c r="BA121" i="3"/>
  <c r="AZ121" i="3" s="1"/>
  <c r="BA122" i="3"/>
  <c r="AZ122" i="3" s="1"/>
  <c r="BA125" i="3"/>
  <c r="AZ125" i="3" s="1"/>
  <c r="BA126" i="3"/>
  <c r="AZ126" i="3" s="1"/>
  <c r="BA129" i="3"/>
  <c r="AZ129" i="3" s="1"/>
  <c r="BA130" i="3"/>
  <c r="AZ130" i="3" s="1"/>
  <c r="BA133" i="3"/>
  <c r="AZ133" i="3" s="1"/>
  <c r="BA134" i="3"/>
  <c r="AZ134" i="3" s="1"/>
  <c r="BA137" i="3"/>
  <c r="AZ137" i="3" s="1"/>
  <c r="BA138" i="3"/>
  <c r="AZ138" i="3" s="1"/>
  <c r="BA141" i="3"/>
  <c r="AZ141" i="3" s="1"/>
  <c r="BA142" i="3"/>
  <c r="AZ142" i="3" s="1"/>
  <c r="BA145" i="3"/>
  <c r="AZ145" i="3" s="1"/>
  <c r="BA146" i="3"/>
  <c r="AZ146" i="3" s="1"/>
  <c r="BA149" i="3"/>
  <c r="AZ149" i="3" s="1"/>
  <c r="BA150" i="3"/>
  <c r="AZ150" i="3" s="1"/>
  <c r="BA153" i="3"/>
  <c r="AZ153" i="3" s="1"/>
  <c r="BA154" i="3"/>
  <c r="AZ154" i="3" s="1"/>
  <c r="BA157" i="3"/>
  <c r="AZ157" i="3" s="1"/>
  <c r="BA158" i="3"/>
  <c r="AZ158" i="3" s="1"/>
  <c r="BA161" i="3"/>
  <c r="AZ161" i="3" s="1"/>
  <c r="BA162" i="3"/>
  <c r="AZ162" i="3" s="1"/>
  <c r="BA165" i="3"/>
  <c r="AZ165" i="3" s="1"/>
  <c r="BA166" i="3"/>
  <c r="AZ166" i="3" s="1"/>
  <c r="BA169" i="3"/>
  <c r="AZ169" i="3" s="1"/>
  <c r="AZ173" i="3"/>
  <c r="AZ182" i="3"/>
  <c r="AZ183" i="3"/>
  <c r="AZ189" i="3"/>
  <c r="AZ198" i="3"/>
  <c r="AZ199" i="3"/>
  <c r="AZ205" i="3"/>
  <c r="AZ214" i="3"/>
  <c r="AZ215" i="3"/>
  <c r="AZ221" i="3"/>
  <c r="AZ230" i="3"/>
  <c r="AZ231" i="3"/>
  <c r="AZ237" i="3"/>
  <c r="AZ246" i="3"/>
  <c r="AZ247" i="3"/>
  <c r="AZ253" i="3"/>
  <c r="AZ262" i="3"/>
  <c r="AZ263" i="3"/>
  <c r="AZ267" i="3"/>
  <c r="AZ270" i="3"/>
  <c r="AZ275" i="3"/>
  <c r="AZ278" i="3"/>
  <c r="AZ283" i="3"/>
  <c r="AZ286" i="3"/>
  <c r="AZ291" i="3"/>
  <c r="AZ294" i="3"/>
  <c r="AZ299" i="3"/>
  <c r="AZ304" i="3"/>
  <c r="AZ319" i="3"/>
  <c r="AZ336" i="3"/>
  <c r="AZ351" i="3"/>
  <c r="AZ368" i="3"/>
  <c r="AZ383" i="3"/>
  <c r="AZ416" i="3"/>
  <c r="C7" i="78"/>
  <c r="D7" i="78" s="1"/>
  <c r="C1" i="73"/>
  <c r="H2" i="81"/>
  <c r="B3" i="74"/>
  <c r="B2" i="1"/>
  <c r="C53" i="10"/>
  <c r="G28" i="6"/>
  <c r="G30" i="6" s="1"/>
  <c r="K4" i="4"/>
  <c r="B46" i="48" s="1"/>
  <c r="B4" i="72" s="1"/>
  <c r="B4" i="62"/>
  <c r="B71" i="72" s="1"/>
  <c r="E15" i="4"/>
  <c r="A118" i="9"/>
  <c r="A2" i="9"/>
  <c r="K5" i="4"/>
  <c r="B47" i="48" s="1"/>
  <c r="J55" i="39"/>
  <c r="J50" i="40"/>
  <c r="E5" i="6"/>
  <c r="G17" i="3"/>
  <c r="BL18" i="3"/>
  <c r="AZ18" i="3" s="1"/>
  <c r="G25" i="3"/>
  <c r="BL26" i="3"/>
  <c r="AZ26" i="3" s="1"/>
  <c r="G33" i="3"/>
  <c r="BL34" i="3"/>
  <c r="AZ34" i="3" s="1"/>
  <c r="BL42" i="3"/>
  <c r="AZ42" i="3" s="1"/>
  <c r="BL50" i="3"/>
  <c r="AZ50" i="3" s="1"/>
  <c r="BL58" i="3"/>
  <c r="AZ58" i="3" s="1"/>
  <c r="BL66" i="3"/>
  <c r="AZ66" i="3" s="1"/>
  <c r="BL74" i="3"/>
  <c r="AZ74" i="3" s="1"/>
  <c r="BL82" i="3"/>
  <c r="AZ82" i="3" s="1"/>
  <c r="BL90" i="3"/>
  <c r="AZ90" i="3" s="1"/>
  <c r="BL98" i="3"/>
  <c r="AZ98" i="3" s="1"/>
  <c r="BL106" i="3"/>
  <c r="AZ106" i="3" s="1"/>
  <c r="BL114" i="3"/>
  <c r="AZ114" i="3" s="1"/>
  <c r="BA37" i="3"/>
  <c r="AZ37" i="3" s="1"/>
  <c r="BA45" i="3"/>
  <c r="AZ45" i="3" s="1"/>
  <c r="BA53" i="3"/>
  <c r="AZ53" i="3" s="1"/>
  <c r="BA61" i="3"/>
  <c r="AZ61" i="3" s="1"/>
  <c r="BA69" i="3"/>
  <c r="AZ69" i="3" s="1"/>
  <c r="BA77" i="3"/>
  <c r="AZ77" i="3" s="1"/>
  <c r="BA85" i="3"/>
  <c r="AZ85" i="3" s="1"/>
  <c r="BA93" i="3"/>
  <c r="AZ93" i="3" s="1"/>
  <c r="BA101" i="3"/>
  <c r="AZ101" i="3" s="1"/>
  <c r="BA109" i="3"/>
  <c r="AZ109" i="3" s="1"/>
  <c r="BA117" i="3"/>
  <c r="AZ117" i="3" s="1"/>
  <c r="G122" i="3"/>
  <c r="G126" i="3"/>
  <c r="G130" i="3"/>
  <c r="G134" i="3"/>
  <c r="G138" i="3"/>
  <c r="G142" i="3"/>
  <c r="G146" i="3"/>
  <c r="G150" i="3"/>
  <c r="G154" i="3"/>
  <c r="G158" i="3"/>
  <c r="G162" i="3"/>
  <c r="G166" i="3"/>
  <c r="G170" i="3"/>
  <c r="AZ174" i="3"/>
  <c r="AZ175" i="3"/>
  <c r="AZ181" i="3"/>
  <c r="AZ190" i="3"/>
  <c r="AZ191" i="3"/>
  <c r="AZ197" i="3"/>
  <c r="AZ206" i="3"/>
  <c r="AZ207" i="3"/>
  <c r="AZ213" i="3"/>
  <c r="AZ222" i="3"/>
  <c r="AZ223" i="3"/>
  <c r="AZ229" i="3"/>
  <c r="AZ238" i="3"/>
  <c r="AZ239" i="3"/>
  <c r="AZ245" i="3"/>
  <c r="AZ254" i="3"/>
  <c r="AZ255" i="3"/>
  <c r="AZ261" i="3"/>
  <c r="AZ352" i="3"/>
  <c r="E55" i="34"/>
  <c r="F55" i="34" s="1"/>
  <c r="R48" i="34"/>
  <c r="AA17" i="34"/>
  <c r="D24" i="67"/>
  <c r="D23" i="67"/>
  <c r="D22" i="67"/>
  <c r="R25" i="77"/>
  <c r="R5" i="77"/>
  <c r="U5" i="77" s="1"/>
  <c r="AB44" i="21"/>
  <c r="U44" i="21"/>
  <c r="W14" i="33"/>
  <c r="AC14" i="33"/>
  <c r="AB13" i="35"/>
  <c r="U13" i="35"/>
  <c r="AC14" i="35"/>
  <c r="W14" i="35"/>
  <c r="S11" i="36"/>
  <c r="AA11" i="36"/>
  <c r="J44" i="39"/>
  <c r="F44" i="39"/>
  <c r="H44" i="39"/>
  <c r="AC37" i="40"/>
  <c r="W37" i="40"/>
  <c r="AZ269" i="3"/>
  <c r="AZ277" i="3"/>
  <c r="AZ285" i="3"/>
  <c r="AZ293" i="3"/>
  <c r="AZ424" i="3"/>
  <c r="AZ426" i="3"/>
  <c r="AZ428" i="3"/>
  <c r="AZ430" i="3"/>
  <c r="AZ432" i="3"/>
  <c r="AZ434" i="3"/>
  <c r="AZ436" i="3"/>
  <c r="AZ438" i="3"/>
  <c r="AZ440" i="3"/>
  <c r="AZ442" i="3"/>
  <c r="AZ444" i="3"/>
  <c r="AZ446" i="3"/>
  <c r="AZ448" i="3"/>
  <c r="N7" i="1"/>
  <c r="Y7" i="1" s="1"/>
  <c r="N14" i="1"/>
  <c r="Y6" i="1"/>
  <c r="C37" i="34" s="1"/>
  <c r="H37" i="34" s="1"/>
  <c r="N74" i="81"/>
  <c r="K74" i="81"/>
  <c r="O74" i="81"/>
  <c r="E78" i="34"/>
  <c r="J15" i="34"/>
  <c r="F15" i="34"/>
  <c r="J27" i="34"/>
  <c r="F27" i="34"/>
  <c r="H27" i="34"/>
  <c r="H44" i="34"/>
  <c r="E126" i="34"/>
  <c r="F126" i="34" s="1"/>
  <c r="G126" i="34" s="1"/>
  <c r="F44" i="34"/>
  <c r="J44" i="34"/>
  <c r="U14" i="21"/>
  <c r="AB14" i="21"/>
  <c r="AB42" i="21"/>
  <c r="U42" i="21"/>
  <c r="AC23" i="37"/>
  <c r="W23" i="37"/>
  <c r="J28" i="37"/>
  <c r="F28" i="37"/>
  <c r="H28" i="37"/>
  <c r="U11" i="35"/>
  <c r="AB11" i="35"/>
  <c r="AC25" i="35"/>
  <c r="W25" i="35"/>
  <c r="E14" i="6"/>
  <c r="E12" i="6"/>
  <c r="E10" i="6"/>
  <c r="E15" i="6"/>
  <c r="E13" i="6"/>
  <c r="E11" i="6"/>
  <c r="E8" i="6"/>
  <c r="BL273" i="3"/>
  <c r="AZ273" i="3" s="1"/>
  <c r="BL281" i="3"/>
  <c r="AZ281" i="3" s="1"/>
  <c r="BL289" i="3"/>
  <c r="AZ289" i="3" s="1"/>
  <c r="BL297" i="3"/>
  <c r="AZ297" i="3" s="1"/>
  <c r="AZ307" i="3"/>
  <c r="AZ314" i="3"/>
  <c r="AZ323" i="3"/>
  <c r="AZ330" i="3"/>
  <c r="AZ339" i="3"/>
  <c r="AZ346" i="3"/>
  <c r="AZ355" i="3"/>
  <c r="AZ362" i="3"/>
  <c r="AZ371" i="3"/>
  <c r="AZ378" i="3"/>
  <c r="AZ387" i="3"/>
  <c r="AZ394" i="3"/>
  <c r="AZ403" i="3"/>
  <c r="AZ410" i="3"/>
  <c r="AZ419" i="3"/>
  <c r="E1" i="73"/>
  <c r="K1" i="73" s="1"/>
  <c r="G41" i="11"/>
  <c r="G22" i="11"/>
  <c r="G41" i="68"/>
  <c r="G22" i="68"/>
  <c r="G22" i="69"/>
  <c r="G26" i="12"/>
  <c r="G27" i="12"/>
  <c r="F30" i="11"/>
  <c r="F30" i="68"/>
  <c r="F32" i="80"/>
  <c r="F60" i="80" s="1"/>
  <c r="M18" i="80"/>
  <c r="F32" i="82"/>
  <c r="F60" i="82" s="1"/>
  <c r="M18" i="82"/>
  <c r="F28" i="15"/>
  <c r="F28" i="80"/>
  <c r="F28" i="82"/>
  <c r="F32" i="15"/>
  <c r="F60" i="15" s="1"/>
  <c r="M18" i="15"/>
  <c r="F32" i="67"/>
  <c r="F60" i="67" s="1"/>
  <c r="M18" i="67"/>
  <c r="F53" i="9"/>
  <c r="D68" i="9"/>
  <c r="F54" i="9"/>
  <c r="F52" i="9"/>
  <c r="F31" i="12"/>
  <c r="F28" i="67"/>
  <c r="F48" i="9"/>
  <c r="O52" i="9" s="1"/>
  <c r="N72" i="81"/>
  <c r="K72" i="81"/>
  <c r="O72" i="81"/>
  <c r="S21" i="34"/>
  <c r="S23" i="34"/>
  <c r="AA23" i="34"/>
  <c r="AC39" i="34"/>
  <c r="E86" i="34"/>
  <c r="F86" i="34" s="1"/>
  <c r="G86" i="34" s="1"/>
  <c r="J23" i="34"/>
  <c r="H23" i="34"/>
  <c r="H30" i="34"/>
  <c r="F30" i="34"/>
  <c r="AC30" i="21"/>
  <c r="W30" i="21"/>
  <c r="S15" i="37"/>
  <c r="W29" i="36"/>
  <c r="AC29" i="36"/>
  <c r="BA268" i="3"/>
  <c r="AZ268" i="3" s="1"/>
  <c r="BA276" i="3"/>
  <c r="AZ276" i="3" s="1"/>
  <c r="BA284" i="3"/>
  <c r="AZ284" i="3" s="1"/>
  <c r="BA292" i="3"/>
  <c r="AZ292" i="3" s="1"/>
  <c r="BA300" i="3"/>
  <c r="AZ300" i="3" s="1"/>
  <c r="BA302" i="3"/>
  <c r="AZ302" i="3" s="1"/>
  <c r="G305" i="3"/>
  <c r="BL306" i="3"/>
  <c r="AZ306" i="3" s="1"/>
  <c r="BL309" i="3"/>
  <c r="AZ309" i="3" s="1"/>
  <c r="BL310" i="3"/>
  <c r="AZ310" i="3" s="1"/>
  <c r="BA312" i="3"/>
  <c r="AZ312" i="3" s="1"/>
  <c r="BL315" i="3"/>
  <c r="AZ315" i="3" s="1"/>
  <c r="BA318" i="3"/>
  <c r="AZ318" i="3" s="1"/>
  <c r="G321" i="3"/>
  <c r="BL322" i="3"/>
  <c r="AZ322" i="3" s="1"/>
  <c r="BL325" i="3"/>
  <c r="AZ325" i="3" s="1"/>
  <c r="BL326" i="3"/>
  <c r="AZ326" i="3" s="1"/>
  <c r="BA328" i="3"/>
  <c r="AZ328" i="3" s="1"/>
  <c r="BL331" i="3"/>
  <c r="AZ331" i="3" s="1"/>
  <c r="BA334" i="3"/>
  <c r="AZ334" i="3" s="1"/>
  <c r="G337" i="3"/>
  <c r="BL338" i="3"/>
  <c r="AZ338" i="3" s="1"/>
  <c r="BL341" i="3"/>
  <c r="AZ341" i="3" s="1"/>
  <c r="BL342" i="3"/>
  <c r="AZ342" i="3" s="1"/>
  <c r="BA344" i="3"/>
  <c r="AZ344" i="3" s="1"/>
  <c r="BL347" i="3"/>
  <c r="AZ347" i="3" s="1"/>
  <c r="BA350" i="3"/>
  <c r="AZ350" i="3" s="1"/>
  <c r="G353" i="3"/>
  <c r="BL354" i="3"/>
  <c r="AZ354" i="3" s="1"/>
  <c r="BL357" i="3"/>
  <c r="AZ357" i="3" s="1"/>
  <c r="BL358" i="3"/>
  <c r="AZ358" i="3" s="1"/>
  <c r="BA360" i="3"/>
  <c r="AZ360" i="3" s="1"/>
  <c r="BL363" i="3"/>
  <c r="AZ363" i="3" s="1"/>
  <c r="BA366" i="3"/>
  <c r="AZ366" i="3" s="1"/>
  <c r="G369" i="3"/>
  <c r="BL370" i="3"/>
  <c r="AZ370" i="3" s="1"/>
  <c r="BL373" i="3"/>
  <c r="AZ373" i="3" s="1"/>
  <c r="BL374" i="3"/>
  <c r="AZ374" i="3" s="1"/>
  <c r="BA376" i="3"/>
  <c r="AZ376" i="3" s="1"/>
  <c r="BL379" i="3"/>
  <c r="AZ379" i="3" s="1"/>
  <c r="BA382" i="3"/>
  <c r="AZ382" i="3" s="1"/>
  <c r="G385" i="3"/>
  <c r="BL386" i="3"/>
  <c r="AZ386" i="3" s="1"/>
  <c r="BL389" i="3"/>
  <c r="AZ389" i="3" s="1"/>
  <c r="BL390" i="3"/>
  <c r="AZ390" i="3" s="1"/>
  <c r="BA392" i="3"/>
  <c r="AZ392" i="3" s="1"/>
  <c r="BL395" i="3"/>
  <c r="AZ395" i="3" s="1"/>
  <c r="BA398" i="3"/>
  <c r="AZ398" i="3" s="1"/>
  <c r="G401" i="3"/>
  <c r="BL402" i="3"/>
  <c r="AZ402" i="3" s="1"/>
  <c r="BL405" i="3"/>
  <c r="AZ405" i="3" s="1"/>
  <c r="BL406" i="3"/>
  <c r="AZ406" i="3" s="1"/>
  <c r="BA408" i="3"/>
  <c r="AZ408" i="3" s="1"/>
  <c r="BL411" i="3"/>
  <c r="AZ411" i="3" s="1"/>
  <c r="BA414" i="3"/>
  <c r="AZ414" i="3" s="1"/>
  <c r="G417" i="3"/>
  <c r="BL418" i="3"/>
  <c r="AZ418" i="3" s="1"/>
  <c r="BL421" i="3"/>
  <c r="AZ421" i="3" s="1"/>
  <c r="BL422" i="3"/>
  <c r="AZ422" i="3" s="1"/>
  <c r="G55" i="34"/>
  <c r="H55" i="34" s="1"/>
  <c r="T48" i="34"/>
  <c r="I55" i="34"/>
  <c r="J55" i="34" s="1"/>
  <c r="V48" i="34"/>
  <c r="L99" i="86"/>
  <c r="O95" i="86"/>
  <c r="AC30" i="34"/>
  <c r="S42" i="34"/>
  <c r="E82" i="34"/>
  <c r="F82" i="34" s="1"/>
  <c r="G82" i="34" s="1"/>
  <c r="J19" i="34"/>
  <c r="F19" i="34"/>
  <c r="H19" i="34"/>
  <c r="F30" i="69"/>
  <c r="G41" i="69"/>
  <c r="G25" i="12"/>
  <c r="W12" i="21"/>
  <c r="AC12" i="21"/>
  <c r="S32" i="37"/>
  <c r="S29" i="35"/>
  <c r="AB36" i="35"/>
  <c r="U36" i="35"/>
  <c r="J23" i="35"/>
  <c r="F23" i="35"/>
  <c r="H23" i="35"/>
  <c r="S23" i="36"/>
  <c r="BA305" i="3"/>
  <c r="AZ305" i="3" s="1"/>
  <c r="BA313" i="3"/>
  <c r="AZ313" i="3" s="1"/>
  <c r="BA321" i="3"/>
  <c r="AZ321" i="3" s="1"/>
  <c r="BA329" i="3"/>
  <c r="AZ329" i="3" s="1"/>
  <c r="BA337" i="3"/>
  <c r="AZ337" i="3" s="1"/>
  <c r="BA345" i="3"/>
  <c r="AZ345" i="3" s="1"/>
  <c r="BA353" i="3"/>
  <c r="AZ353" i="3" s="1"/>
  <c r="BA361" i="3"/>
  <c r="AZ361" i="3" s="1"/>
  <c r="BA369" i="3"/>
  <c r="AZ369" i="3" s="1"/>
  <c r="BA377" i="3"/>
  <c r="AZ377" i="3" s="1"/>
  <c r="BA385" i="3"/>
  <c r="AZ385" i="3" s="1"/>
  <c r="BA393" i="3"/>
  <c r="AZ393" i="3" s="1"/>
  <c r="BA401" i="3"/>
  <c r="AZ401" i="3" s="1"/>
  <c r="BA409" i="3"/>
  <c r="AZ409" i="3" s="1"/>
  <c r="BA417" i="3"/>
  <c r="AZ417"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B7" i="1"/>
  <c r="E7" i="1" s="1"/>
  <c r="D78" i="9"/>
  <c r="D93" i="9"/>
  <c r="B90" i="43"/>
  <c r="C21" i="40"/>
  <c r="B56" i="43"/>
  <c r="B76" i="43"/>
  <c r="B67" i="43"/>
  <c r="B99" i="43"/>
  <c r="C27" i="39"/>
  <c r="N76" i="81"/>
  <c r="K76" i="81"/>
  <c r="N78" i="81"/>
  <c r="K78" i="81"/>
  <c r="AA9" i="34"/>
  <c r="U11" i="34"/>
  <c r="AB12" i="34"/>
  <c r="AB31" i="34"/>
  <c r="S36" i="34"/>
  <c r="AC40" i="34"/>
  <c r="W42" i="34"/>
  <c r="AC43" i="34"/>
  <c r="H40" i="34"/>
  <c r="E118" i="34"/>
  <c r="F118" i="34" s="1"/>
  <c r="G118" i="34" s="1"/>
  <c r="F40" i="34"/>
  <c r="U8" i="21"/>
  <c r="AB8" i="21"/>
  <c r="U10" i="21"/>
  <c r="U33" i="21"/>
  <c r="U36" i="21"/>
  <c r="AB41" i="21"/>
  <c r="U41" i="21"/>
  <c r="S45" i="21"/>
  <c r="F30" i="21"/>
  <c r="H30" i="21"/>
  <c r="S11" i="33"/>
  <c r="AB12" i="33"/>
  <c r="U12" i="33"/>
  <c r="AA26" i="33"/>
  <c r="S26" i="33"/>
  <c r="S30" i="33"/>
  <c r="AC34" i="33"/>
  <c r="W34" i="33"/>
  <c r="AB39" i="33"/>
  <c r="S42" i="33"/>
  <c r="H28" i="33"/>
  <c r="J28" i="33"/>
  <c r="F28" i="33"/>
  <c r="U14" i="37"/>
  <c r="AC19" i="37"/>
  <c r="W19" i="37"/>
  <c r="S40" i="37"/>
  <c r="W10" i="35"/>
  <c r="AC10" i="35"/>
  <c r="C79" i="35"/>
  <c r="F26" i="35"/>
  <c r="J26" i="35"/>
  <c r="H26" i="35"/>
  <c r="W17" i="39"/>
  <c r="AC17" i="39"/>
  <c r="AC34" i="40"/>
  <c r="W34" i="40"/>
  <c r="BL450" i="3"/>
  <c r="AZ450" i="3" s="1"/>
  <c r="BL452" i="3"/>
  <c r="AZ452" i="3" s="1"/>
  <c r="BL454" i="3"/>
  <c r="AZ454" i="3" s="1"/>
  <c r="BL456" i="3"/>
  <c r="AZ456" i="3" s="1"/>
  <c r="BL458" i="3"/>
  <c r="AZ458" i="3" s="1"/>
  <c r="BL460" i="3"/>
  <c r="AZ460" i="3" s="1"/>
  <c r="BL462" i="3"/>
  <c r="AZ462" i="3" s="1"/>
  <c r="BL464" i="3"/>
  <c r="AZ464" i="3" s="1"/>
  <c r="BL466" i="3"/>
  <c r="AZ466" i="3" s="1"/>
  <c r="BL468" i="3"/>
  <c r="AZ468" i="3" s="1"/>
  <c r="BL470" i="3"/>
  <c r="AZ470" i="3" s="1"/>
  <c r="BL472" i="3"/>
  <c r="AZ472" i="3" s="1"/>
  <c r="BL474" i="3"/>
  <c r="AZ474" i="3" s="1"/>
  <c r="BL476" i="3"/>
  <c r="AZ476" i="3" s="1"/>
  <c r="BL478" i="3"/>
  <c r="AZ478" i="3" s="1"/>
  <c r="BL480" i="3"/>
  <c r="AZ480" i="3" s="1"/>
  <c r="BL482" i="3"/>
  <c r="AZ482" i="3" s="1"/>
  <c r="BL484" i="3"/>
  <c r="AZ484" i="3" s="1"/>
  <c r="BL486" i="3"/>
  <c r="AZ486" i="3" s="1"/>
  <c r="BL488" i="3"/>
  <c r="AZ488" i="3" s="1"/>
  <c r="BL490" i="3"/>
  <c r="AZ490" i="3" s="1"/>
  <c r="BL492" i="3"/>
  <c r="AZ492" i="3" s="1"/>
  <c r="BL494" i="3"/>
  <c r="AZ494" i="3" s="1"/>
  <c r="BL496" i="3"/>
  <c r="AZ496" i="3" s="1"/>
  <c r="BL498" i="3"/>
  <c r="AZ498" i="3" s="1"/>
  <c r="BL500" i="3"/>
  <c r="AZ500" i="3" s="1"/>
  <c r="BL502" i="3"/>
  <c r="AZ502" i="3" s="1"/>
  <c r="BL504" i="3"/>
  <c r="AZ504" i="3" s="1"/>
  <c r="BL506" i="3"/>
  <c r="AZ506" i="3" s="1"/>
  <c r="BL508" i="3"/>
  <c r="AZ508" i="3" s="1"/>
  <c r="BL510" i="3"/>
  <c r="AZ510" i="3" s="1"/>
  <c r="BL512" i="3"/>
  <c r="AZ512" i="3" s="1"/>
  <c r="BL514" i="3"/>
  <c r="AZ514" i="3" s="1"/>
  <c r="BL516" i="3"/>
  <c r="AZ516" i="3" s="1"/>
  <c r="BL518" i="3"/>
  <c r="AZ518" i="3" s="1"/>
  <c r="BL520" i="3"/>
  <c r="AZ520" i="3" s="1"/>
  <c r="BL522" i="3"/>
  <c r="AZ522" i="3" s="1"/>
  <c r="BL524" i="3"/>
  <c r="AZ524" i="3" s="1"/>
  <c r="BL526" i="3"/>
  <c r="AZ526" i="3" s="1"/>
  <c r="BL528" i="3"/>
  <c r="AZ528" i="3" s="1"/>
  <c r="BL530" i="3"/>
  <c r="AZ530" i="3" s="1"/>
  <c r="BL532" i="3"/>
  <c r="AZ532" i="3" s="1"/>
  <c r="BL534" i="3"/>
  <c r="AZ534" i="3" s="1"/>
  <c r="BL536" i="3"/>
  <c r="AZ536" i="3" s="1"/>
  <c r="BL538" i="3"/>
  <c r="BL540" i="3"/>
  <c r="BL542" i="3"/>
  <c r="BL544" i="3"/>
  <c r="BL546" i="3"/>
  <c r="BL548" i="3"/>
  <c r="BL550" i="3"/>
  <c r="BL552" i="3"/>
  <c r="BL554" i="3"/>
  <c r="BL556" i="3"/>
  <c r="BL558" i="3"/>
  <c r="BL560" i="3"/>
  <c r="BL562" i="3"/>
  <c r="BL564" i="3"/>
  <c r="BL566" i="3"/>
  <c r="BL568" i="3"/>
  <c r="BL570" i="3"/>
  <c r="BL572" i="3"/>
  <c r="BL574" i="3"/>
  <c r="BL576" i="3"/>
  <c r="BL578" i="3"/>
  <c r="BL580" i="3"/>
  <c r="BL582" i="3"/>
  <c r="BL584" i="3"/>
  <c r="BL586" i="3"/>
  <c r="G1" i="15"/>
  <c r="G1" i="80"/>
  <c r="G1" i="82"/>
  <c r="G1" i="68"/>
  <c r="F3" i="35"/>
  <c r="G1" i="69"/>
  <c r="G1" i="67"/>
  <c r="K1" i="12"/>
  <c r="B6" i="1"/>
  <c r="E6" i="1" s="1"/>
  <c r="G7" i="1"/>
  <c r="B8" i="1"/>
  <c r="E8" i="1" s="1"/>
  <c r="S8" i="1"/>
  <c r="T8" i="1" s="1"/>
  <c r="S9" i="1"/>
  <c r="T9" i="1" s="1"/>
  <c r="B9" i="1"/>
  <c r="E9" i="1" s="1"/>
  <c r="B10" i="1"/>
  <c r="E10" i="1" s="1"/>
  <c r="S10" i="1"/>
  <c r="T10" i="1" s="1"/>
  <c r="S11" i="1"/>
  <c r="T11" i="1" s="1"/>
  <c r="B11" i="1"/>
  <c r="E11" i="1" s="1"/>
  <c r="B12" i="1"/>
  <c r="E12" i="1" s="1"/>
  <c r="S12" i="1"/>
  <c r="T12" i="1" s="1"/>
  <c r="S13" i="1"/>
  <c r="T13" i="1" s="1"/>
  <c r="B13" i="1"/>
  <c r="E13" i="1" s="1"/>
  <c r="F34" i="11"/>
  <c r="F34" i="68"/>
  <c r="N18" i="88"/>
  <c r="E46" i="34" s="1"/>
  <c r="O3" i="81"/>
  <c r="K3" i="81"/>
  <c r="M3" i="81"/>
  <c r="I3" i="81"/>
  <c r="O4" i="81"/>
  <c r="K4" i="81"/>
  <c r="M4" i="81"/>
  <c r="I4" i="81"/>
  <c r="O5" i="81"/>
  <c r="K5" i="81"/>
  <c r="M5" i="81"/>
  <c r="I5" i="81"/>
  <c r="O6" i="81"/>
  <c r="K6" i="81"/>
  <c r="M6" i="81"/>
  <c r="I6" i="81"/>
  <c r="O7" i="81"/>
  <c r="K7" i="81"/>
  <c r="M7" i="81"/>
  <c r="I7" i="81"/>
  <c r="O8" i="81"/>
  <c r="K8" i="81"/>
  <c r="M8" i="81"/>
  <c r="I8" i="81"/>
  <c r="O9" i="81"/>
  <c r="K9" i="81"/>
  <c r="M9" i="81"/>
  <c r="I9" i="81"/>
  <c r="O10" i="81"/>
  <c r="K10" i="81"/>
  <c r="M10" i="81"/>
  <c r="I10" i="81"/>
  <c r="O11" i="81"/>
  <c r="K11" i="81"/>
  <c r="M11" i="81"/>
  <c r="I11" i="81"/>
  <c r="O12" i="81"/>
  <c r="K12" i="81"/>
  <c r="M12" i="81"/>
  <c r="I12" i="81"/>
  <c r="O13" i="81"/>
  <c r="K13" i="81"/>
  <c r="M13" i="81"/>
  <c r="I13" i="81"/>
  <c r="O14" i="81"/>
  <c r="K14" i="81"/>
  <c r="M14" i="81"/>
  <c r="I14" i="81"/>
  <c r="O15" i="81"/>
  <c r="K15" i="81"/>
  <c r="M15" i="81"/>
  <c r="I15" i="81"/>
  <c r="O16" i="81"/>
  <c r="K16" i="81"/>
  <c r="M16" i="81"/>
  <c r="I16" i="81"/>
  <c r="O17" i="81"/>
  <c r="K17" i="81"/>
  <c r="M17" i="81"/>
  <c r="I17" i="81"/>
  <c r="O18" i="81"/>
  <c r="K18" i="81"/>
  <c r="M18" i="81"/>
  <c r="I18" i="81"/>
  <c r="O19" i="81"/>
  <c r="K19" i="81"/>
  <c r="M19" i="81"/>
  <c r="I19" i="81"/>
  <c r="O20" i="81"/>
  <c r="K20" i="81"/>
  <c r="M20" i="81"/>
  <c r="I20" i="81"/>
  <c r="O21" i="81"/>
  <c r="K21" i="81"/>
  <c r="M21" i="81"/>
  <c r="I21" i="81"/>
  <c r="O22" i="81"/>
  <c r="K22" i="81"/>
  <c r="M22" i="81"/>
  <c r="I22" i="81"/>
  <c r="O23" i="81"/>
  <c r="K23" i="81"/>
  <c r="M23" i="81"/>
  <c r="I23" i="81"/>
  <c r="O24" i="81"/>
  <c r="K24" i="81"/>
  <c r="M24" i="81"/>
  <c r="I24" i="81"/>
  <c r="O25" i="81"/>
  <c r="K25" i="81"/>
  <c r="M25" i="81"/>
  <c r="I25" i="81"/>
  <c r="O26" i="81"/>
  <c r="K26" i="81"/>
  <c r="M26" i="81"/>
  <c r="I26" i="81"/>
  <c r="O27" i="81"/>
  <c r="K27" i="81"/>
  <c r="M27" i="81"/>
  <c r="I27" i="81"/>
  <c r="O28" i="81"/>
  <c r="K28" i="81"/>
  <c r="M28" i="81"/>
  <c r="I28" i="81"/>
  <c r="O29" i="81"/>
  <c r="K29" i="81"/>
  <c r="M29" i="81"/>
  <c r="I29" i="81"/>
  <c r="O30" i="81"/>
  <c r="K30" i="81"/>
  <c r="M30" i="81"/>
  <c r="I30" i="81"/>
  <c r="O31" i="81"/>
  <c r="K31" i="81"/>
  <c r="M31" i="81"/>
  <c r="I31" i="81"/>
  <c r="O32" i="81"/>
  <c r="K32" i="81"/>
  <c r="M32" i="81"/>
  <c r="I32" i="81"/>
  <c r="O33" i="81"/>
  <c r="K33" i="81"/>
  <c r="M33" i="81"/>
  <c r="I33" i="81"/>
  <c r="O34" i="81"/>
  <c r="K34" i="81"/>
  <c r="M34" i="81"/>
  <c r="I34" i="81"/>
  <c r="O35" i="81"/>
  <c r="K35" i="81"/>
  <c r="M35" i="81"/>
  <c r="I35" i="81"/>
  <c r="O36" i="81"/>
  <c r="K36" i="81"/>
  <c r="M36" i="81"/>
  <c r="I36" i="81"/>
  <c r="O37" i="81"/>
  <c r="K37" i="81"/>
  <c r="M37" i="81"/>
  <c r="I37" i="81"/>
  <c r="O38" i="81"/>
  <c r="K38" i="81"/>
  <c r="M38" i="81"/>
  <c r="I38" i="81"/>
  <c r="O39" i="81"/>
  <c r="K39" i="81"/>
  <c r="M39" i="81"/>
  <c r="I39" i="81"/>
  <c r="O40" i="81"/>
  <c r="K40" i="81"/>
  <c r="M40" i="81"/>
  <c r="I40" i="81"/>
  <c r="O41" i="81"/>
  <c r="K41" i="81"/>
  <c r="M41" i="81"/>
  <c r="I41" i="81"/>
  <c r="O42" i="81"/>
  <c r="K42" i="81"/>
  <c r="M42" i="81"/>
  <c r="I42" i="81"/>
  <c r="O43" i="81"/>
  <c r="K43" i="81"/>
  <c r="M43" i="81"/>
  <c r="I43" i="81"/>
  <c r="O44" i="81"/>
  <c r="K44" i="81"/>
  <c r="M44" i="81"/>
  <c r="I44" i="81"/>
  <c r="O45" i="81"/>
  <c r="K45" i="81"/>
  <c r="M45" i="81"/>
  <c r="I45" i="81"/>
  <c r="O46" i="81"/>
  <c r="K46" i="81"/>
  <c r="M46" i="81"/>
  <c r="I46" i="81"/>
  <c r="O47" i="81"/>
  <c r="K47" i="81"/>
  <c r="M47" i="81"/>
  <c r="I47" i="81"/>
  <c r="O48" i="81"/>
  <c r="K48" i="81"/>
  <c r="M48" i="81"/>
  <c r="I48" i="81"/>
  <c r="O49" i="81"/>
  <c r="K49" i="81"/>
  <c r="M49" i="81"/>
  <c r="I49" i="81"/>
  <c r="O50" i="81"/>
  <c r="K50" i="81"/>
  <c r="M50" i="81"/>
  <c r="I50" i="81"/>
  <c r="O51" i="81"/>
  <c r="K51" i="81"/>
  <c r="M51" i="81"/>
  <c r="I51" i="81"/>
  <c r="O52" i="81"/>
  <c r="K52" i="81"/>
  <c r="M52" i="81"/>
  <c r="I52" i="81"/>
  <c r="O53" i="81"/>
  <c r="K53" i="81"/>
  <c r="M53" i="81"/>
  <c r="I53" i="81"/>
  <c r="O54" i="81"/>
  <c r="K54" i="81"/>
  <c r="M54" i="81"/>
  <c r="I54" i="81"/>
  <c r="O55" i="81"/>
  <c r="K55" i="81"/>
  <c r="M55" i="81"/>
  <c r="I55" i="81"/>
  <c r="O56" i="81"/>
  <c r="K56" i="81"/>
  <c r="M56" i="81"/>
  <c r="I56" i="81"/>
  <c r="O57" i="81"/>
  <c r="K57" i="81"/>
  <c r="M57" i="81"/>
  <c r="I57" i="81"/>
  <c r="O58" i="81"/>
  <c r="K58" i="81"/>
  <c r="M58" i="81"/>
  <c r="I58" i="81"/>
  <c r="O59" i="81"/>
  <c r="K59" i="81"/>
  <c r="M59" i="81"/>
  <c r="I59" i="81"/>
  <c r="O60" i="81"/>
  <c r="K60" i="81"/>
  <c r="M60" i="81"/>
  <c r="I60" i="81"/>
  <c r="O61" i="81"/>
  <c r="K61" i="81"/>
  <c r="M61" i="81"/>
  <c r="I61" i="81"/>
  <c r="O62" i="81"/>
  <c r="K62" i="81"/>
  <c r="M62" i="81"/>
  <c r="I62" i="81"/>
  <c r="O63" i="81"/>
  <c r="K63" i="81"/>
  <c r="M63" i="81"/>
  <c r="I63" i="81"/>
  <c r="O64" i="81"/>
  <c r="K64" i="81"/>
  <c r="M64" i="81"/>
  <c r="I64" i="81"/>
  <c r="O65" i="81"/>
  <c r="K65" i="81"/>
  <c r="M65" i="81"/>
  <c r="I65" i="81"/>
  <c r="N66" i="81"/>
  <c r="K66" i="81"/>
  <c r="S10" i="34"/>
  <c r="AA13" i="34"/>
  <c r="U28" i="34"/>
  <c r="U32" i="34"/>
  <c r="AB33" i="34"/>
  <c r="U41" i="34"/>
  <c r="H13" i="34"/>
  <c r="J13" i="34"/>
  <c r="H47" i="34"/>
  <c r="J47" i="34"/>
  <c r="AC13" i="21"/>
  <c r="W26" i="21"/>
  <c r="AC26" i="21"/>
  <c r="AA27" i="21"/>
  <c r="S27" i="21"/>
  <c r="AB38" i="21"/>
  <c r="U38" i="21"/>
  <c r="F46" i="21"/>
  <c r="J46" i="21"/>
  <c r="H46" i="21"/>
  <c r="AC13" i="33"/>
  <c r="AB27" i="33"/>
  <c r="AA9" i="37"/>
  <c r="U13" i="37"/>
  <c r="AB13" i="37"/>
  <c r="AC15" i="37"/>
  <c r="W15" i="37"/>
  <c r="S23" i="37"/>
  <c r="AC32" i="37"/>
  <c r="W32" i="37"/>
  <c r="AB37" i="37"/>
  <c r="H26" i="37"/>
  <c r="F26" i="37"/>
  <c r="J26" i="37"/>
  <c r="AC29" i="35"/>
  <c r="W29" i="35"/>
  <c r="F25" i="35"/>
  <c r="H25" i="35"/>
  <c r="S10" i="36"/>
  <c r="W12" i="36"/>
  <c r="AC12" i="36"/>
  <c r="AC39" i="39"/>
  <c r="W39" i="39"/>
  <c r="AB9" i="40"/>
  <c r="U9" i="40"/>
  <c r="S27" i="40"/>
  <c r="AB40" i="40"/>
  <c r="U40" i="40"/>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8" i="1"/>
  <c r="G9" i="1"/>
  <c r="G10" i="1"/>
  <c r="G11" i="1"/>
  <c r="G12" i="1"/>
  <c r="G13" i="1"/>
  <c r="B72" i="43"/>
  <c r="C15" i="39"/>
  <c r="B61" i="43"/>
  <c r="C19" i="39"/>
  <c r="B101" i="43"/>
  <c r="B69" i="43"/>
  <c r="B79" i="43"/>
  <c r="B58" i="43"/>
  <c r="C25" i="39"/>
  <c r="B97" i="43"/>
  <c r="B75" i="43"/>
  <c r="B65" i="43"/>
  <c r="B54" i="43"/>
  <c r="C92" i="9"/>
  <c r="N68" i="81"/>
  <c r="K68" i="81"/>
  <c r="N70" i="81"/>
  <c r="K70" i="81"/>
  <c r="AA8" i="34"/>
  <c r="S8" i="34"/>
  <c r="AA14" i="34"/>
  <c r="AB35" i="34"/>
  <c r="AC36" i="34"/>
  <c r="S38" i="34"/>
  <c r="AB45" i="34"/>
  <c r="F45" i="34"/>
  <c r="C29" i="77"/>
  <c r="D23" i="77"/>
  <c r="S11" i="21"/>
  <c r="S15" i="21"/>
  <c r="S17" i="21"/>
  <c r="S19" i="21"/>
  <c r="S21" i="21"/>
  <c r="S23" i="21"/>
  <c r="H13" i="21"/>
  <c r="F13" i="21"/>
  <c r="AC30" i="33"/>
  <c r="W30" i="33"/>
  <c r="S34" i="33"/>
  <c r="AC42" i="33"/>
  <c r="W42" i="33"/>
  <c r="F9" i="33"/>
  <c r="H9" i="33"/>
  <c r="J9" i="33"/>
  <c r="W11" i="37"/>
  <c r="AC11" i="37"/>
  <c r="S19" i="37"/>
  <c r="AC40" i="37"/>
  <c r="W40" i="37"/>
  <c r="S10" i="35"/>
  <c r="AB24" i="35"/>
  <c r="U24" i="35"/>
  <c r="W14" i="36"/>
  <c r="AC14" i="36"/>
  <c r="W15" i="40"/>
  <c r="AC15" i="40"/>
  <c r="G27" i="6"/>
  <c r="G31" i="6" s="1"/>
  <c r="B83" i="43"/>
  <c r="C15" i="40"/>
  <c r="B73" i="43"/>
  <c r="B62" i="43"/>
  <c r="B94" i="43"/>
  <c r="B51" i="43"/>
  <c r="B88" i="43"/>
  <c r="C25" i="40"/>
  <c r="C8" i="74"/>
  <c r="AB9" i="34"/>
  <c r="U9" i="34"/>
  <c r="AC31" i="34"/>
  <c r="W31" i="34"/>
  <c r="J45" i="34"/>
  <c r="S28" i="21"/>
  <c r="S29" i="21"/>
  <c r="S32" i="21"/>
  <c r="S33" i="21"/>
  <c r="S35" i="21"/>
  <c r="S36" i="21"/>
  <c r="S37" i="21"/>
  <c r="S39" i="21"/>
  <c r="S40" i="21"/>
  <c r="S43" i="21"/>
  <c r="U45" i="21"/>
  <c r="K145" i="21"/>
  <c r="K141" i="21"/>
  <c r="K143" i="21"/>
  <c r="S15" i="33"/>
  <c r="S17" i="33"/>
  <c r="S19" i="33"/>
  <c r="S21" i="33"/>
  <c r="S23" i="33"/>
  <c r="AA29" i="33"/>
  <c r="AB31" i="33"/>
  <c r="AC32" i="33"/>
  <c r="S37" i="33"/>
  <c r="S40" i="33"/>
  <c r="F13" i="33"/>
  <c r="H13" i="33"/>
  <c r="S10" i="37"/>
  <c r="S30" i="37"/>
  <c r="H12" i="37"/>
  <c r="F12" i="37"/>
  <c r="H38" i="37"/>
  <c r="J38" i="37"/>
  <c r="U18" i="35"/>
  <c r="AB18" i="35"/>
  <c r="W34" i="35"/>
  <c r="AC34" i="35"/>
  <c r="S18" i="36"/>
  <c r="W23" i="36"/>
  <c r="F24" i="36"/>
  <c r="J24" i="36"/>
  <c r="H24" i="36"/>
  <c r="S19" i="39"/>
  <c r="W23" i="39"/>
  <c r="AC23" i="39"/>
  <c r="W29" i="39"/>
  <c r="AC29" i="39"/>
  <c r="W34" i="39"/>
  <c r="AC34" i="39"/>
  <c r="W35" i="39"/>
  <c r="AC35" i="39"/>
  <c r="U37" i="39"/>
  <c r="W38" i="39"/>
  <c r="AC38" i="39"/>
  <c r="U40" i="39"/>
  <c r="AC11" i="40"/>
  <c r="AB14" i="40"/>
  <c r="U14" i="40"/>
  <c r="AB21" i="40"/>
  <c r="U21" i="40"/>
  <c r="AC23" i="40"/>
  <c r="U32" i="40"/>
  <c r="S14" i="36"/>
  <c r="W27" i="36"/>
  <c r="AC27" i="36"/>
  <c r="S29" i="36"/>
  <c r="AB13" i="40"/>
  <c r="U13" i="40"/>
  <c r="AB17" i="40"/>
  <c r="U17" i="40"/>
  <c r="U35" i="40"/>
  <c r="AB35" i="40"/>
  <c r="E19" i="11"/>
  <c r="E19" i="68"/>
  <c r="E19" i="69"/>
  <c r="M20" i="15"/>
  <c r="M20" i="80"/>
  <c r="F34" i="15"/>
  <c r="F62" i="15" s="1"/>
  <c r="M20" i="82"/>
  <c r="F34" i="80"/>
  <c r="F62" i="80" s="1"/>
  <c r="F34" i="82"/>
  <c r="F62" i="82" s="1"/>
  <c r="B84" i="43"/>
  <c r="C17" i="40"/>
  <c r="B87" i="43"/>
  <c r="C23" i="40"/>
  <c r="B77" i="43"/>
  <c r="B100" i="43"/>
  <c r="B68" i="43"/>
  <c r="B57" i="43"/>
  <c r="C29" i="39"/>
  <c r="O69" i="81"/>
  <c r="O73" i="81"/>
  <c r="O77" i="81"/>
  <c r="J9" i="34"/>
  <c r="F31" i="34"/>
  <c r="AC14" i="34"/>
  <c r="W14" i="34"/>
  <c r="E80" i="34"/>
  <c r="F80" i="34" s="1"/>
  <c r="G80" i="34" s="1"/>
  <c r="J17" i="34"/>
  <c r="AA29" i="34"/>
  <c r="S29" i="34"/>
  <c r="D7" i="77"/>
  <c r="C26" i="77" s="1"/>
  <c r="C32" i="77" s="1"/>
  <c r="C38" i="77" s="1"/>
  <c r="C39" i="77" s="1"/>
  <c r="D11" i="77"/>
  <c r="E11" i="77" s="1"/>
  <c r="E7" i="77" s="1"/>
  <c r="C27" i="77" s="1"/>
  <c r="W25" i="21"/>
  <c r="K144" i="21"/>
  <c r="AC15" i="33"/>
  <c r="AC17" i="33"/>
  <c r="AC19" i="33"/>
  <c r="AC21" i="33"/>
  <c r="AC23" i="33"/>
  <c r="S32" i="33"/>
  <c r="AC40" i="33"/>
  <c r="AC43" i="33"/>
  <c r="AB45" i="33"/>
  <c r="J45" i="33"/>
  <c r="F45" i="33"/>
  <c r="AB29" i="37"/>
  <c r="AC30" i="37"/>
  <c r="S35" i="37"/>
  <c r="F38" i="37"/>
  <c r="AA39" i="37"/>
  <c r="F14" i="37"/>
  <c r="J14" i="37"/>
  <c r="AA8" i="35"/>
  <c r="S8" i="35"/>
  <c r="AB12" i="35"/>
  <c r="U12" i="35"/>
  <c r="U20" i="35"/>
  <c r="AB20" i="35"/>
  <c r="AB28" i="35"/>
  <c r="U28" i="35"/>
  <c r="S32" i="35"/>
  <c r="J11" i="35"/>
  <c r="F11" i="35"/>
  <c r="AC18" i="36"/>
  <c r="W18" i="36"/>
  <c r="AB22" i="36"/>
  <c r="U22" i="36"/>
  <c r="W32" i="36"/>
  <c r="AC32" i="36"/>
  <c r="F12" i="36"/>
  <c r="H12" i="36"/>
  <c r="W9" i="39"/>
  <c r="AC9" i="39"/>
  <c r="W13" i="39"/>
  <c r="AC13" i="39"/>
  <c r="AC19" i="39"/>
  <c r="W19" i="39"/>
  <c r="C21" i="39"/>
  <c r="S23" i="39"/>
  <c r="AC30" i="40"/>
  <c r="F13" i="40"/>
  <c r="J13" i="40"/>
  <c r="AB9" i="21"/>
  <c r="U9" i="21"/>
  <c r="AB27" i="21"/>
  <c r="U27" i="21"/>
  <c r="AB31" i="21"/>
  <c r="U31" i="21"/>
  <c r="AB14" i="33"/>
  <c r="U14" i="33"/>
  <c r="AC29" i="33"/>
  <c r="W29" i="33"/>
  <c r="AB44" i="33"/>
  <c r="U44" i="33"/>
  <c r="AC39" i="37"/>
  <c r="W39" i="37"/>
  <c r="AA22" i="35"/>
  <c r="AA27" i="35"/>
  <c r="AB32" i="35"/>
  <c r="AB33" i="35"/>
  <c r="AC36" i="35"/>
  <c r="W36" i="35"/>
  <c r="U10" i="36"/>
  <c r="S20" i="36"/>
  <c r="U23" i="36"/>
  <c r="S31" i="36"/>
  <c r="AC8" i="39"/>
  <c r="W12" i="39"/>
  <c r="S21" i="39"/>
  <c r="AA25" i="39"/>
  <c r="S37" i="39"/>
  <c r="AC37" i="39"/>
  <c r="S40" i="39"/>
  <c r="F43" i="39"/>
  <c r="S45" i="39"/>
  <c r="AC45" i="39"/>
  <c r="H35" i="39"/>
  <c r="F35" i="39"/>
  <c r="S9" i="40"/>
  <c r="S39" i="40"/>
  <c r="S40" i="40"/>
  <c r="J31" i="40"/>
  <c r="H31" i="40"/>
  <c r="H38" i="40"/>
  <c r="F38" i="40"/>
  <c r="J51" i="80"/>
  <c r="AC14" i="21"/>
  <c r="W14" i="21"/>
  <c r="AA27" i="33"/>
  <c r="S27" i="33"/>
  <c r="AA31" i="33"/>
  <c r="S31" i="33"/>
  <c r="AC9" i="37"/>
  <c r="W9" i="37"/>
  <c r="AC13" i="37"/>
  <c r="W13" i="37"/>
  <c r="AC27" i="37"/>
  <c r="W27" i="37"/>
  <c r="W18" i="35"/>
  <c r="AB8" i="36"/>
  <c r="J34" i="36"/>
  <c r="F34" i="36"/>
  <c r="S12" i="39"/>
  <c r="S15" i="39"/>
  <c r="S27" i="39"/>
  <c r="S32" i="39"/>
  <c r="AB43" i="39"/>
  <c r="U43" i="39"/>
  <c r="AC25" i="40"/>
  <c r="AC28" i="40"/>
  <c r="W28" i="40"/>
  <c r="H30" i="40"/>
  <c r="F30" i="40"/>
  <c r="S31" i="40"/>
  <c r="S32" i="40"/>
  <c r="W33" i="40"/>
  <c r="AC33" i="40"/>
  <c r="W38" i="40"/>
  <c r="F33" i="40"/>
  <c r="H33" i="40"/>
  <c r="W10" i="34"/>
  <c r="S12" i="34"/>
  <c r="W21" i="34"/>
  <c r="S33" i="34"/>
  <c r="S35" i="34"/>
  <c r="U36" i="34"/>
  <c r="S39" i="34"/>
  <c r="W41" i="34"/>
  <c r="S43" i="34"/>
  <c r="W10" i="21"/>
  <c r="S12" i="21"/>
  <c r="W15" i="21"/>
  <c r="W17" i="21"/>
  <c r="W19" i="21"/>
  <c r="W21" i="21"/>
  <c r="W23" i="21"/>
  <c r="S26" i="21"/>
  <c r="W28" i="21"/>
  <c r="W32" i="21"/>
  <c r="S34" i="21"/>
  <c r="U35" i="21"/>
  <c r="W36" i="21"/>
  <c r="S38" i="21"/>
  <c r="U39" i="21"/>
  <c r="W40" i="21"/>
  <c r="S42" i="21"/>
  <c r="U43" i="21"/>
  <c r="W44" i="21"/>
  <c r="U10" i="33"/>
  <c r="W11" i="33"/>
  <c r="U15" i="33"/>
  <c r="U17" i="33"/>
  <c r="U19" i="33"/>
  <c r="U21" i="33"/>
  <c r="U23" i="33"/>
  <c r="W25" i="33"/>
  <c r="U32" i="33"/>
  <c r="W33" i="33"/>
  <c r="S35" i="33"/>
  <c r="U36" i="33"/>
  <c r="W37" i="33"/>
  <c r="S39" i="33"/>
  <c r="U40" i="33"/>
  <c r="W41" i="33"/>
  <c r="S43" i="33"/>
  <c r="S11" i="37"/>
  <c r="S25" i="37"/>
  <c r="S29" i="37"/>
  <c r="U30" i="37"/>
  <c r="W31" i="37"/>
  <c r="S33" i="37"/>
  <c r="U34" i="37"/>
  <c r="W35" i="37"/>
  <c r="S37" i="37"/>
  <c r="AA9" i="35"/>
  <c r="S9" i="35"/>
  <c r="AA34" i="35"/>
  <c r="S34" i="35"/>
  <c r="AB13" i="36"/>
  <c r="U13" i="36"/>
  <c r="AB25" i="36"/>
  <c r="U25" i="36"/>
  <c r="AB33" i="36"/>
  <c r="U33" i="36"/>
  <c r="AB14" i="39"/>
  <c r="U14" i="39"/>
  <c r="U8" i="40"/>
  <c r="AB8" i="40"/>
  <c r="S35" i="40"/>
  <c r="J12" i="40"/>
  <c r="F12" i="40"/>
  <c r="U10" i="35"/>
  <c r="S13" i="35"/>
  <c r="S14" i="35"/>
  <c r="S16" i="35"/>
  <c r="S18" i="35"/>
  <c r="S20" i="35"/>
  <c r="U22" i="35"/>
  <c r="U27" i="35"/>
  <c r="W28" i="35"/>
  <c r="S30" i="35"/>
  <c r="U31" i="35"/>
  <c r="W32" i="35"/>
  <c r="U35" i="35"/>
  <c r="U9" i="36"/>
  <c r="W10" i="36"/>
  <c r="U14" i="36"/>
  <c r="U16" i="36"/>
  <c r="U18" i="36"/>
  <c r="U20" i="36"/>
  <c r="W22" i="36"/>
  <c r="W26" i="36"/>
  <c r="S28" i="36"/>
  <c r="U29" i="36"/>
  <c r="W30" i="36"/>
  <c r="S32" i="36"/>
  <c r="S9" i="39"/>
  <c r="W11" i="39"/>
  <c r="S13" i="39"/>
  <c r="U15" i="39"/>
  <c r="U17" i="39"/>
  <c r="U19" i="39"/>
  <c r="U21" i="39"/>
  <c r="U23" i="39"/>
  <c r="U25" i="39"/>
  <c r="U27" i="39"/>
  <c r="U29" i="39"/>
  <c r="W31" i="39"/>
  <c r="S34" i="39"/>
  <c r="W36" i="39"/>
  <c r="S38" i="39"/>
  <c r="U39" i="39"/>
  <c r="W40" i="39"/>
  <c r="S42" i="39"/>
  <c r="AA14" i="40"/>
  <c r="S14" i="40"/>
  <c r="J51" i="15"/>
  <c r="P61" i="82"/>
  <c r="N21" i="43"/>
  <c r="F38" i="43"/>
  <c r="U11" i="40"/>
  <c r="S15" i="40"/>
  <c r="S17" i="40"/>
  <c r="S19" i="40"/>
  <c r="S21" i="40"/>
  <c r="S23" i="40"/>
  <c r="S25" i="40"/>
  <c r="U27" i="40"/>
  <c r="U28" i="40"/>
  <c r="U34" i="40"/>
  <c r="W35" i="40"/>
  <c r="S37" i="40"/>
  <c r="W39" i="40"/>
  <c r="H116" i="43"/>
  <c r="C27" i="43"/>
  <c r="M21" i="43"/>
  <c r="I21" i="43"/>
  <c r="D21" i="43"/>
  <c r="F41" i="43"/>
  <c r="F39" i="43"/>
  <c r="F37" i="43"/>
  <c r="F61" i="43"/>
  <c r="F42" i="43"/>
  <c r="O21" i="43"/>
  <c r="K21" i="43"/>
  <c r="S5" i="43"/>
  <c r="S3" i="43"/>
  <c r="S4" i="43"/>
  <c r="X7" i="43"/>
  <c r="H21" i="43"/>
  <c r="D24" i="82"/>
  <c r="C40" i="68"/>
  <c r="M12" i="43"/>
  <c r="M11" i="43"/>
  <c r="M10" i="43"/>
  <c r="N9" i="43"/>
  <c r="M6" i="43"/>
  <c r="N4" i="43"/>
  <c r="N2" i="43"/>
  <c r="N5" i="43"/>
  <c r="N6" i="43"/>
  <c r="M7" i="43"/>
  <c r="N11" i="43"/>
  <c r="J21" i="43"/>
  <c r="E17" i="43"/>
  <c r="H58" i="43"/>
  <c r="H52" i="43"/>
  <c r="H53" i="43"/>
  <c r="H54" i="43"/>
  <c r="H56" i="43"/>
  <c r="H50" i="43"/>
  <c r="W8" i="79"/>
  <c r="AK8" i="79" s="1"/>
  <c r="AH8" i="79"/>
  <c r="C21" i="68"/>
  <c r="M1" i="43"/>
  <c r="C6" i="43" s="1"/>
  <c r="M2" i="43"/>
  <c r="S6" i="43"/>
  <c r="N7" i="43"/>
  <c r="M8" i="43"/>
  <c r="E9" i="43"/>
  <c r="E10" i="43"/>
  <c r="C21" i="43"/>
  <c r="L21" i="43"/>
  <c r="H51" i="43"/>
  <c r="H55" i="43"/>
  <c r="H57" i="43"/>
  <c r="P32" i="43"/>
  <c r="R8" i="79"/>
  <c r="AF8" i="79" s="1"/>
  <c r="K3" i="79"/>
  <c r="V8" i="79"/>
  <c r="AJ8" i="79" s="1"/>
  <c r="O3" i="79"/>
  <c r="P16" i="79"/>
  <c r="T16" i="79"/>
  <c r="R14" i="79"/>
  <c r="AF14" i="79" s="1"/>
  <c r="R18" i="79"/>
  <c r="AF18" i="79" s="1"/>
  <c r="V18" i="79"/>
  <c r="AJ18" i="79" s="1"/>
  <c r="V15" i="79"/>
  <c r="AJ15" i="79" s="1"/>
  <c r="D55" i="71"/>
  <c r="C56" i="71"/>
  <c r="M32" i="43"/>
  <c r="Q32" i="43"/>
  <c r="E44" i="43"/>
  <c r="V3" i="79"/>
  <c r="L3" i="79"/>
  <c r="R7" i="79"/>
  <c r="AF7" i="79" s="1"/>
  <c r="V7" i="79"/>
  <c r="AJ7" i="79" s="1"/>
  <c r="S8" i="79"/>
  <c r="AG8" i="79" s="1"/>
  <c r="T9" i="79"/>
  <c r="U14" i="79"/>
  <c r="AI14" i="79" s="1"/>
  <c r="P21" i="79"/>
  <c r="T21" i="79"/>
  <c r="W42" i="79"/>
  <c r="AK42" i="79" s="1"/>
  <c r="AH42" i="79"/>
  <c r="H78" i="43"/>
  <c r="H75" i="43"/>
  <c r="H79" i="43"/>
  <c r="H76" i="43"/>
  <c r="H72" i="43"/>
  <c r="H73" i="43"/>
  <c r="H80" i="43"/>
  <c r="H89" i="43"/>
  <c r="H86" i="43"/>
  <c r="H90" i="43"/>
  <c r="H87" i="43"/>
  <c r="H83" i="43"/>
  <c r="H84" i="43"/>
  <c r="S5" i="79"/>
  <c r="AG5" i="79" s="1"/>
  <c r="R6" i="79"/>
  <c r="AF6" i="79" s="1"/>
  <c r="S6" i="79"/>
  <c r="AG6" i="79" s="1"/>
  <c r="P10" i="79"/>
  <c r="T10" i="79"/>
  <c r="V10" i="79"/>
  <c r="AJ10" i="79" s="1"/>
  <c r="R12" i="79"/>
  <c r="AF12" i="79" s="1"/>
  <c r="V12" i="79"/>
  <c r="AJ12" i="79" s="1"/>
  <c r="T13" i="79"/>
  <c r="V14" i="79"/>
  <c r="AJ14" i="79" s="1"/>
  <c r="R15" i="79"/>
  <c r="AF15" i="79" s="1"/>
  <c r="V16" i="79"/>
  <c r="AJ16" i="79" s="1"/>
  <c r="U22" i="79"/>
  <c r="AI22" i="79" s="1"/>
  <c r="U17" i="79"/>
  <c r="AI17" i="79" s="1"/>
  <c r="U16" i="79"/>
  <c r="AI16" i="79" s="1"/>
  <c r="W47" i="79"/>
  <c r="AK47" i="79" s="1"/>
  <c r="AH47" i="79"/>
  <c r="M3" i="79"/>
  <c r="P3" i="79" s="1"/>
  <c r="AR8" i="79"/>
  <c r="AR9" i="79" s="1"/>
  <c r="AR10" i="79" s="1"/>
  <c r="AR11" i="79" s="1"/>
  <c r="AR12" i="79" s="1"/>
  <c r="AR13" i="79" s="1"/>
  <c r="AR14" i="79" s="1"/>
  <c r="AR15" i="79" s="1"/>
  <c r="AR16" i="79" s="1"/>
  <c r="AR17" i="79" s="1"/>
  <c r="AR18" i="79" s="1"/>
  <c r="AR19" i="79" s="1"/>
  <c r="AR20" i="79" s="1"/>
  <c r="AR21" i="79" s="1"/>
  <c r="AR22" i="79" s="1"/>
  <c r="AR23" i="79" s="1"/>
  <c r="AR24" i="79" s="1"/>
  <c r="U3" i="79"/>
  <c r="U5" i="79"/>
  <c r="AI5" i="79" s="1"/>
  <c r="N3" i="79"/>
  <c r="P6" i="79"/>
  <c r="T6" i="79"/>
  <c r="T3" i="79"/>
  <c r="W3" i="79" s="1"/>
  <c r="T5" i="79"/>
  <c r="V6" i="79"/>
  <c r="AJ6" i="79" s="1"/>
  <c r="S7" i="79"/>
  <c r="AG7" i="79" s="1"/>
  <c r="U10" i="79"/>
  <c r="AI10" i="79" s="1"/>
  <c r="U11" i="79"/>
  <c r="AI11" i="79" s="1"/>
  <c r="T12" i="79"/>
  <c r="U13" i="79"/>
  <c r="AI13" i="79" s="1"/>
  <c r="U12" i="79"/>
  <c r="AI12" i="79" s="1"/>
  <c r="T14" i="79"/>
  <c r="R16" i="79"/>
  <c r="AF16" i="79" s="1"/>
  <c r="W51" i="79"/>
  <c r="AK51" i="79" s="1"/>
  <c r="AH51" i="79"/>
  <c r="AA17" i="71"/>
  <c r="AA9" i="71"/>
  <c r="AA12" i="71"/>
  <c r="H101" i="43"/>
  <c r="S3" i="79"/>
  <c r="T7" i="79"/>
  <c r="T11" i="79"/>
  <c r="R13" i="79"/>
  <c r="AF13" i="79" s="1"/>
  <c r="V13" i="79"/>
  <c r="AJ13" i="79" s="1"/>
  <c r="T17" i="79"/>
  <c r="S18" i="79"/>
  <c r="AG18" i="79" s="1"/>
  <c r="U20" i="79"/>
  <c r="AI20" i="79" s="1"/>
  <c r="V20" i="79"/>
  <c r="AJ20" i="79" s="1"/>
  <c r="W33" i="79"/>
  <c r="AK33" i="79" s="1"/>
  <c r="U35" i="79"/>
  <c r="AI35" i="79" s="1"/>
  <c r="T36" i="79"/>
  <c r="U37" i="79"/>
  <c r="AI37" i="79" s="1"/>
  <c r="U31" i="79"/>
  <c r="W40" i="79"/>
  <c r="AK40" i="79" s="1"/>
  <c r="P43" i="79"/>
  <c r="T43" i="79"/>
  <c r="T39" i="79"/>
  <c r="T35" i="79"/>
  <c r="S47" i="79"/>
  <c r="AG47" i="79" s="1"/>
  <c r="S43" i="79"/>
  <c r="AG43" i="79" s="1"/>
  <c r="L31" i="79"/>
  <c r="AD48" i="79"/>
  <c r="AD45" i="79"/>
  <c r="AD52" i="79"/>
  <c r="AD49" i="79"/>
  <c r="AB11" i="71"/>
  <c r="AB12" i="71"/>
  <c r="AB9" i="71"/>
  <c r="C24" i="71"/>
  <c r="Y24" i="71"/>
  <c r="Z24" i="71" s="1"/>
  <c r="Y15" i="71"/>
  <c r="Z15" i="71" s="1"/>
  <c r="H94" i="43"/>
  <c r="H97" i="43"/>
  <c r="H100" i="43"/>
  <c r="R17" i="79"/>
  <c r="AF17" i="79" s="1"/>
  <c r="V17" i="79"/>
  <c r="AJ17" i="79" s="1"/>
  <c r="T18" i="79"/>
  <c r="T19" i="79"/>
  <c r="AD37" i="79"/>
  <c r="AR45" i="79"/>
  <c r="AR46" i="79" s="1"/>
  <c r="AR47" i="79" s="1"/>
  <c r="AR48" i="79" s="1"/>
  <c r="AR49" i="79" s="1"/>
  <c r="AR50" i="79" s="1"/>
  <c r="AR51" i="79" s="1"/>
  <c r="AR52" i="79" s="1"/>
  <c r="U41" i="79"/>
  <c r="AI41" i="79" s="1"/>
  <c r="U38" i="79"/>
  <c r="AI38" i="79" s="1"/>
  <c r="P46" i="79"/>
  <c r="T46" i="79"/>
  <c r="P50" i="79"/>
  <c r="T50" i="79"/>
  <c r="H93" i="43"/>
  <c r="H96" i="43"/>
  <c r="C5" i="11"/>
  <c r="T15" i="79"/>
  <c r="S16" i="79"/>
  <c r="AG16" i="79" s="1"/>
  <c r="U18" i="79"/>
  <c r="AI18" i="79" s="1"/>
  <c r="U19" i="79"/>
  <c r="AI19" i="79" s="1"/>
  <c r="R20" i="79"/>
  <c r="AF20" i="79" s="1"/>
  <c r="S21" i="79"/>
  <c r="AG21" i="79" s="1"/>
  <c r="AH22" i="79"/>
  <c r="W22" i="79"/>
  <c r="AK22" i="79" s="1"/>
  <c r="U33" i="79"/>
  <c r="AI33" i="79" s="1"/>
  <c r="AD38" i="79"/>
  <c r="T38" i="79"/>
  <c r="U39" i="79"/>
  <c r="AI39" i="79" s="1"/>
  <c r="AA3" i="71"/>
  <c r="S20" i="79"/>
  <c r="AG20" i="79" s="1"/>
  <c r="S31" i="79"/>
  <c r="P34" i="79"/>
  <c r="T31" i="79"/>
  <c r="W31" i="79" s="1"/>
  <c r="M31" i="79"/>
  <c r="P31" i="79" s="1"/>
  <c r="AD35" i="79"/>
  <c r="U36" i="79"/>
  <c r="AI36" i="79" s="1"/>
  <c r="S38" i="79"/>
  <c r="AG38" i="79" s="1"/>
  <c r="AD39" i="79"/>
  <c r="U40" i="79"/>
  <c r="AI40" i="79" s="1"/>
  <c r="S42" i="79"/>
  <c r="AG42" i="79" s="1"/>
  <c r="U43" i="79"/>
  <c r="AI43" i="79" s="1"/>
  <c r="T45" i="79"/>
  <c r="T49" i="79"/>
  <c r="Y9" i="71"/>
  <c r="Z9" i="71" s="1"/>
  <c r="AA16" i="71"/>
  <c r="AB29" i="71"/>
  <c r="AB27" i="71"/>
  <c r="F30" i="71"/>
  <c r="F31" i="71" s="1"/>
  <c r="F32" i="71" s="1"/>
  <c r="V32" i="71" s="1"/>
  <c r="C59" i="71"/>
  <c r="D58" i="71"/>
  <c r="AA31" i="79"/>
  <c r="AD31" i="79" s="1"/>
  <c r="S37" i="79"/>
  <c r="AG37" i="79" s="1"/>
  <c r="S41" i="79"/>
  <c r="AG41" i="79" s="1"/>
  <c r="T44" i="79"/>
  <c r="AD46" i="79"/>
  <c r="T48" i="79"/>
  <c r="AD50" i="79"/>
  <c r="AB3" i="71"/>
  <c r="AA10" i="71"/>
  <c r="AA11" i="71"/>
  <c r="Y12" i="71"/>
  <c r="Z12" i="71" s="1"/>
  <c r="Y13" i="71"/>
  <c r="Z13" i="71" s="1"/>
  <c r="AA13" i="71"/>
  <c r="Y14" i="71"/>
  <c r="Z14" i="71" s="1"/>
  <c r="Y19" i="71"/>
  <c r="Z19" i="71" s="1"/>
  <c r="Y21" i="71"/>
  <c r="Z21" i="71" s="1"/>
  <c r="AA35" i="71"/>
  <c r="AA25" i="71"/>
  <c r="AA18" i="71"/>
  <c r="U21" i="79"/>
  <c r="AI21" i="79" s="1"/>
  <c r="N31" i="79"/>
  <c r="S33" i="79"/>
  <c r="AG33" i="79" s="1"/>
  <c r="AB31" i="79"/>
  <c r="T34" i="79"/>
  <c r="T37" i="79"/>
  <c r="T41" i="79"/>
  <c r="U44" i="79"/>
  <c r="AI44" i="79" s="1"/>
  <c r="S46" i="79"/>
  <c r="AG46" i="79" s="1"/>
  <c r="AD47" i="79"/>
  <c r="U48" i="79"/>
  <c r="AI48" i="79" s="1"/>
  <c r="S50" i="79"/>
  <c r="AG50" i="79" s="1"/>
  <c r="AD51" i="79"/>
  <c r="X3" i="71"/>
  <c r="AA14" i="71"/>
  <c r="X16" i="71"/>
  <c r="AB22" i="71"/>
  <c r="Y23" i="71"/>
  <c r="Z23" i="71" s="1"/>
  <c r="C26" i="71"/>
  <c r="D26" i="71" s="1"/>
  <c r="Y33" i="71"/>
  <c r="Z33" i="71" s="1"/>
  <c r="C34" i="71"/>
  <c r="E36" i="71"/>
  <c r="U36" i="71" s="1"/>
  <c r="Y38" i="71"/>
  <c r="Z38" i="71" s="1"/>
  <c r="B66" i="71"/>
  <c r="N67" i="71"/>
  <c r="S72" i="71"/>
  <c r="AB17" i="71"/>
  <c r="Y18" i="71"/>
  <c r="Z18" i="71" s="1"/>
  <c r="V24" i="71"/>
  <c r="E23" i="71"/>
  <c r="E22" i="71" s="1"/>
  <c r="E21" i="71" s="1"/>
  <c r="E20" i="71" s="1"/>
  <c r="AA23" i="71"/>
  <c r="AA24" i="71"/>
  <c r="Y25" i="71"/>
  <c r="Z25" i="71" s="1"/>
  <c r="AA32" i="71"/>
  <c r="AA31" i="71"/>
  <c r="X37" i="71"/>
  <c r="C39" i="71"/>
  <c r="D38" i="71"/>
  <c r="D50" i="71"/>
  <c r="C51" i="71"/>
  <c r="T64" i="71"/>
  <c r="D64" i="71"/>
  <c r="E63" i="71"/>
  <c r="E64" i="71" s="1"/>
  <c r="U64" i="71" s="1"/>
  <c r="C66" i="71"/>
  <c r="D67" i="71"/>
  <c r="T72" i="71"/>
  <c r="D72" i="71"/>
  <c r="E79" i="71"/>
  <c r="E78" i="71" s="1"/>
  <c r="U80" i="71"/>
  <c r="AA15" i="71"/>
  <c r="AB16" i="71"/>
  <c r="X17" i="71"/>
  <c r="AA19" i="71"/>
  <c r="AA20" i="71"/>
  <c r="AB21" i="71"/>
  <c r="Y22" i="71"/>
  <c r="Z22" i="71" s="1"/>
  <c r="AA22" i="71"/>
  <c r="AB24" i="71"/>
  <c r="V28" i="71"/>
  <c r="E27" i="71"/>
  <c r="E26" i="71" s="1"/>
  <c r="AA27" i="71"/>
  <c r="AA28" i="71"/>
  <c r="Y28" i="71"/>
  <c r="Z28" i="71" s="1"/>
  <c r="Y29" i="71"/>
  <c r="Z29" i="71" s="1"/>
  <c r="AA29" i="71"/>
  <c r="D42" i="71"/>
  <c r="C43" i="71"/>
  <c r="D46" i="71"/>
  <c r="C47" i="71"/>
  <c r="D47" i="71" s="1"/>
  <c r="D63" i="71"/>
  <c r="E67" i="71"/>
  <c r="P68" i="71"/>
  <c r="U68" i="71"/>
  <c r="C71" i="71"/>
  <c r="T76" i="71"/>
  <c r="D76" i="71"/>
  <c r="Y17" i="71"/>
  <c r="Z17" i="71" s="1"/>
  <c r="AB20" i="71"/>
  <c r="X21" i="71"/>
  <c r="X24" i="71"/>
  <c r="AB25" i="71"/>
  <c r="Y26" i="71"/>
  <c r="Z26" i="71" s="1"/>
  <c r="AA26" i="71"/>
  <c r="AB28" i="71"/>
  <c r="C31" i="71"/>
  <c r="AA34" i="71"/>
  <c r="Y35" i="71"/>
  <c r="Z35" i="71" s="1"/>
  <c r="X36" i="71"/>
  <c r="V68" i="71"/>
  <c r="F67" i="71"/>
  <c r="C74" i="71"/>
  <c r="D74" i="71" s="1"/>
  <c r="B24" i="71"/>
  <c r="B28" i="71"/>
  <c r="AB33" i="71"/>
  <c r="N68" i="71"/>
  <c r="Y32" i="71"/>
  <c r="Z32" i="71" s="1"/>
  <c r="X33" i="71"/>
  <c r="X35" i="71"/>
  <c r="AB37" i="71"/>
  <c r="T68" i="71"/>
  <c r="O68" i="71"/>
  <c r="D68" i="71"/>
  <c r="T80" i="71"/>
  <c r="D80" i="71"/>
  <c r="U25" i="34"/>
  <c r="W25" i="34"/>
  <c r="S25" i="34"/>
  <c r="C18" i="9"/>
  <c r="D18" i="9" s="1"/>
  <c r="L66" i="81"/>
  <c r="L67" i="81"/>
  <c r="L68" i="81"/>
  <c r="L69" i="81"/>
  <c r="L70" i="81"/>
  <c r="L71" i="81"/>
  <c r="L72" i="81"/>
  <c r="L73" i="81"/>
  <c r="L74" i="81"/>
  <c r="L75" i="81"/>
  <c r="L76" i="81"/>
  <c r="L77" i="81"/>
  <c r="L78" i="81"/>
  <c r="L79" i="81"/>
  <c r="L80" i="81"/>
  <c r="L81" i="81"/>
  <c r="I66" i="81"/>
  <c r="M66" i="81"/>
  <c r="I67" i="81"/>
  <c r="M67" i="81"/>
  <c r="I68" i="81"/>
  <c r="M68" i="81"/>
  <c r="I69" i="81"/>
  <c r="M69" i="81"/>
  <c r="I70" i="81"/>
  <c r="M70" i="81"/>
  <c r="I71" i="81"/>
  <c r="M71" i="81"/>
  <c r="I72" i="81"/>
  <c r="M72" i="81"/>
  <c r="I73" i="81"/>
  <c r="M73" i="81"/>
  <c r="I74" i="81"/>
  <c r="M74" i="81"/>
  <c r="I75" i="81"/>
  <c r="M75" i="81"/>
  <c r="I76" i="81"/>
  <c r="M76" i="81"/>
  <c r="I77" i="81"/>
  <c r="M77" i="81"/>
  <c r="I78" i="81"/>
  <c r="M78" i="81"/>
  <c r="I79" i="81"/>
  <c r="M79" i="81"/>
  <c r="I80" i="81"/>
  <c r="M80" i="81"/>
  <c r="I81" i="81"/>
  <c r="M81" i="81"/>
  <c r="J66" i="81"/>
  <c r="J67" i="81"/>
  <c r="J68" i="81"/>
  <c r="J69" i="81"/>
  <c r="J70" i="81"/>
  <c r="J71" i="81"/>
  <c r="J72" i="81"/>
  <c r="J73" i="81"/>
  <c r="J74" i="81"/>
  <c r="J75" i="81"/>
  <c r="J76" i="81"/>
  <c r="J77" i="81"/>
  <c r="J78" i="81"/>
  <c r="J79" i="81"/>
  <c r="N79" i="81"/>
  <c r="J80" i="81"/>
  <c r="N80" i="81"/>
  <c r="J81" i="81"/>
  <c r="N81" i="81"/>
  <c r="K80" i="81"/>
  <c r="K81" i="81"/>
  <c r="B7" i="49"/>
  <c r="D7" i="49" s="1"/>
  <c r="B11" i="49"/>
  <c r="D11" i="49" s="1"/>
  <c r="B5" i="49"/>
  <c r="D5" i="49" s="1"/>
  <c r="B13" i="49"/>
  <c r="D13" i="49" s="1"/>
  <c r="B9" i="49"/>
  <c r="D9" i="49" s="1"/>
  <c r="B10" i="70"/>
  <c r="B9" i="70"/>
  <c r="B13" i="70"/>
  <c r="B8" i="70"/>
  <c r="B12" i="70"/>
  <c r="B11" i="70"/>
  <c r="B20" i="31"/>
  <c r="B21" i="31" s="1"/>
  <c r="D12" i="52"/>
  <c r="D127" i="9"/>
  <c r="D13" i="52" s="1"/>
  <c r="D17" i="53"/>
  <c r="B36" i="72" s="1"/>
  <c r="D20" i="53"/>
  <c r="B40" i="72" s="1"/>
  <c r="B4" i="49"/>
  <c r="D4" i="49" s="1"/>
  <c r="B6" i="49"/>
  <c r="D6" i="49" s="1"/>
  <c r="B8" i="49"/>
  <c r="D8" i="49" s="1"/>
  <c r="B10" i="49"/>
  <c r="D10" i="49" s="1"/>
  <c r="B12" i="49"/>
  <c r="D12" i="49" s="1"/>
  <c r="D10" i="52"/>
  <c r="D125" i="9"/>
  <c r="D11" i="52"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C94" i="9"/>
  <c r="H110" i="9"/>
  <c r="O83" i="81" l="1"/>
  <c r="K83" i="81"/>
  <c r="N83" i="81"/>
  <c r="C12" i="12"/>
  <c r="F37" i="34"/>
  <c r="J37" i="34"/>
  <c r="W37" i="34" s="1"/>
  <c r="D71" i="71"/>
  <c r="C70" i="71"/>
  <c r="D70" i="71" s="1"/>
  <c r="AH49" i="79"/>
  <c r="W49" i="79"/>
  <c r="AK49" i="79" s="1"/>
  <c r="W46" i="79"/>
  <c r="AK46" i="79" s="1"/>
  <c r="AH46" i="79"/>
  <c r="W43" i="79"/>
  <c r="AK43" i="79" s="1"/>
  <c r="AH43" i="79"/>
  <c r="W14" i="79"/>
  <c r="AK14" i="79" s="1"/>
  <c r="AH14" i="79"/>
  <c r="AH5" i="79"/>
  <c r="W5" i="79"/>
  <c r="AK5" i="79" s="1"/>
  <c r="AH37" i="79"/>
  <c r="W37" i="79"/>
  <c r="AK37" i="79" s="1"/>
  <c r="W38" i="79"/>
  <c r="AK38" i="79" s="1"/>
  <c r="AH38" i="79"/>
  <c r="C5" i="43"/>
  <c r="D5" i="43"/>
  <c r="F66" i="71"/>
  <c r="Q67" i="71"/>
  <c r="V20" i="71"/>
  <c r="E19" i="71"/>
  <c r="E18" i="71" s="1"/>
  <c r="E17" i="71" s="1"/>
  <c r="E16" i="71" s="1"/>
  <c r="C32" i="71"/>
  <c r="D31" i="71"/>
  <c r="C35" i="71"/>
  <c r="D34" i="71"/>
  <c r="AH36" i="79"/>
  <c r="W36" i="79"/>
  <c r="AK36" i="79" s="1"/>
  <c r="AH13" i="79"/>
  <c r="W13" i="79"/>
  <c r="AK13" i="79" s="1"/>
  <c r="AH10" i="79"/>
  <c r="W10" i="79"/>
  <c r="AK10" i="79" s="1"/>
  <c r="AH9" i="79"/>
  <c r="W9" i="79"/>
  <c r="AK9" i="79" s="1"/>
  <c r="W16" i="79"/>
  <c r="AK16" i="79" s="1"/>
  <c r="AH16" i="79"/>
  <c r="G21" i="43"/>
  <c r="AA12" i="40"/>
  <c r="S12" i="40"/>
  <c r="AA33" i="40"/>
  <c r="S33" i="40"/>
  <c r="AB30" i="40"/>
  <c r="U30" i="40"/>
  <c r="AC34" i="36"/>
  <c r="W34" i="36"/>
  <c r="AC31" i="40"/>
  <c r="W31" i="40"/>
  <c r="S35" i="39"/>
  <c r="AA35" i="39"/>
  <c r="S38" i="37"/>
  <c r="AA38" i="37"/>
  <c r="AA45" i="33"/>
  <c r="S45" i="33"/>
  <c r="AC9" i="34"/>
  <c r="W9" i="34"/>
  <c r="U24" i="36"/>
  <c r="AB24" i="36"/>
  <c r="AB12" i="37"/>
  <c r="U12" i="37"/>
  <c r="AB13" i="33"/>
  <c r="U13" i="33"/>
  <c r="AB9" i="33"/>
  <c r="U9" i="33"/>
  <c r="AB13" i="21"/>
  <c r="U13" i="21"/>
  <c r="AA26" i="37"/>
  <c r="S26" i="37"/>
  <c r="AA46" i="21"/>
  <c r="S46" i="21"/>
  <c r="AC13" i="34"/>
  <c r="W13" i="34"/>
  <c r="AC26" i="35"/>
  <c r="W26" i="35"/>
  <c r="AB28" i="33"/>
  <c r="U28" i="33"/>
  <c r="U30" i="21"/>
  <c r="AB30" i="21"/>
  <c r="AA23" i="35"/>
  <c r="S23" i="35"/>
  <c r="AA19" i="34"/>
  <c r="S19" i="34"/>
  <c r="AA30" i="34"/>
  <c r="S30" i="34"/>
  <c r="C48" i="11"/>
  <c r="C30" i="11"/>
  <c r="E58" i="40"/>
  <c r="E62" i="39"/>
  <c r="E63" i="39"/>
  <c r="E59" i="40"/>
  <c r="AA44" i="34"/>
  <c r="S44" i="34"/>
  <c r="AA27" i="34"/>
  <c r="S27" i="34"/>
  <c r="F78" i="34"/>
  <c r="G78" i="34" s="1"/>
  <c r="H15" i="34"/>
  <c r="AC44" i="39"/>
  <c r="W44" i="39"/>
  <c r="G23" i="43"/>
  <c r="J51" i="82"/>
  <c r="C7" i="36"/>
  <c r="C46" i="36" s="1"/>
  <c r="C7" i="21"/>
  <c r="C58" i="21" s="1"/>
  <c r="C7" i="39"/>
  <c r="C67" i="39" s="1"/>
  <c r="C7" i="33"/>
  <c r="C58" i="33" s="1"/>
  <c r="C7" i="35"/>
  <c r="C48" i="35" s="1"/>
  <c r="M47" i="9"/>
  <c r="C7" i="40"/>
  <c r="C63" i="40" s="1"/>
  <c r="C7" i="34"/>
  <c r="C59" i="34" s="1"/>
  <c r="C42" i="1"/>
  <c r="C28" i="82" s="1"/>
  <c r="C7" i="37"/>
  <c r="C52" i="37" s="1"/>
  <c r="BL5" i="3"/>
  <c r="E19" i="6"/>
  <c r="J88" i="81"/>
  <c r="D58" i="78"/>
  <c r="D62" i="78"/>
  <c r="C62" i="78" s="1"/>
  <c r="S28" i="71"/>
  <c r="B27" i="71"/>
  <c r="B26" i="71" s="1"/>
  <c r="D39" i="71"/>
  <c r="C40" i="71"/>
  <c r="W34" i="79"/>
  <c r="AK34" i="79" s="1"/>
  <c r="AH34" i="79"/>
  <c r="AH44" i="79"/>
  <c r="W44" i="79"/>
  <c r="AK44" i="79" s="1"/>
  <c r="AH45" i="79"/>
  <c r="W45" i="79"/>
  <c r="AK45" i="79" s="1"/>
  <c r="J83" i="81"/>
  <c r="S24" i="71"/>
  <c r="B23" i="71"/>
  <c r="B22" i="71" s="1"/>
  <c r="B21" i="71" s="1"/>
  <c r="B20" i="71" s="1"/>
  <c r="D66" i="71"/>
  <c r="O65" i="71"/>
  <c r="O66" i="71"/>
  <c r="D51" i="71"/>
  <c r="C52" i="71"/>
  <c r="N65" i="71"/>
  <c r="N66" i="71"/>
  <c r="C60" i="71"/>
  <c r="D59" i="71"/>
  <c r="W15" i="79"/>
  <c r="AK15" i="79" s="1"/>
  <c r="AH15" i="79"/>
  <c r="W50" i="79"/>
  <c r="AK50" i="79" s="1"/>
  <c r="AH50" i="79"/>
  <c r="AH19" i="79"/>
  <c r="W19" i="79"/>
  <c r="AK19" i="79" s="1"/>
  <c r="W35" i="79"/>
  <c r="AK35" i="79" s="1"/>
  <c r="AH35" i="79"/>
  <c r="AH11" i="79"/>
  <c r="W11" i="79"/>
  <c r="AK11" i="79" s="1"/>
  <c r="AH6" i="79"/>
  <c r="W6" i="79"/>
  <c r="AK6" i="79" s="1"/>
  <c r="AH21" i="79"/>
  <c r="W21" i="79"/>
  <c r="AK21" i="79" s="1"/>
  <c r="C7" i="43"/>
  <c r="H68" i="43"/>
  <c r="G68" i="43" s="1"/>
  <c r="H66" i="43"/>
  <c r="G66" i="43" s="1"/>
  <c r="H63" i="43"/>
  <c r="G63" i="43" s="1"/>
  <c r="H65" i="43"/>
  <c r="G65" i="43" s="1"/>
  <c r="H61" i="43"/>
  <c r="G61" i="43" s="1"/>
  <c r="H67" i="43"/>
  <c r="G67" i="43" s="1"/>
  <c r="H69" i="43"/>
  <c r="G69" i="43" s="1"/>
  <c r="H64" i="43"/>
  <c r="G64" i="43" s="1"/>
  <c r="H62" i="43"/>
  <c r="G62" i="43" s="1"/>
  <c r="AC12" i="40"/>
  <c r="W12" i="40"/>
  <c r="S38" i="40"/>
  <c r="AA38" i="40"/>
  <c r="AB35" i="39"/>
  <c r="U35" i="39"/>
  <c r="S43" i="39"/>
  <c r="AA43" i="39"/>
  <c r="AB12" i="36"/>
  <c r="U12" i="36"/>
  <c r="W14" i="37"/>
  <c r="AC14" i="37"/>
  <c r="AC45" i="33"/>
  <c r="W45" i="33"/>
  <c r="AC24" i="36"/>
  <c r="W24" i="36"/>
  <c r="AC38" i="37"/>
  <c r="W38" i="37"/>
  <c r="AA13" i="33"/>
  <c r="S13" i="33"/>
  <c r="AA9" i="33"/>
  <c r="S9" i="33"/>
  <c r="AB26" i="37"/>
  <c r="U26" i="37"/>
  <c r="AB13" i="34"/>
  <c r="U13" i="34"/>
  <c r="AA26" i="35"/>
  <c r="S26" i="35"/>
  <c r="AA30" i="21"/>
  <c r="S30" i="21"/>
  <c r="AB40" i="34"/>
  <c r="U40" i="34"/>
  <c r="AC23" i="35"/>
  <c r="W23" i="35"/>
  <c r="AC19" i="34"/>
  <c r="W19" i="34"/>
  <c r="AB30" i="34"/>
  <c r="U30" i="34"/>
  <c r="E60" i="40"/>
  <c r="E64" i="39"/>
  <c r="AB28" i="37"/>
  <c r="U28" i="37"/>
  <c r="AC27" i="34"/>
  <c r="W27" i="34"/>
  <c r="AB37" i="34"/>
  <c r="U37" i="34"/>
  <c r="AZ13" i="3"/>
  <c r="AZ5" i="3" s="1"/>
  <c r="BA5" i="3"/>
  <c r="E27" i="6" s="1"/>
  <c r="P67" i="71"/>
  <c r="E66" i="71"/>
  <c r="C44" i="71"/>
  <c r="D43" i="71"/>
  <c r="AH41" i="79"/>
  <c r="W41" i="79"/>
  <c r="AK41" i="79" s="1"/>
  <c r="AH48" i="79"/>
  <c r="W48" i="79"/>
  <c r="AK48" i="79" s="1"/>
  <c r="W18" i="79"/>
  <c r="AK18" i="79" s="1"/>
  <c r="AH18" i="79"/>
  <c r="T24" i="71"/>
  <c r="C23" i="71"/>
  <c r="D24" i="71"/>
  <c r="U24" i="71" s="1"/>
  <c r="W39" i="79"/>
  <c r="AK39" i="79" s="1"/>
  <c r="AH39" i="79"/>
  <c r="AH17" i="79"/>
  <c r="W17" i="79"/>
  <c r="AK17" i="79" s="1"/>
  <c r="AH7" i="79"/>
  <c r="W7" i="79"/>
  <c r="AK7" i="79" s="1"/>
  <c r="W12" i="79"/>
  <c r="AK12" i="79" s="1"/>
  <c r="AH12" i="79"/>
  <c r="T56" i="71"/>
  <c r="D56" i="71"/>
  <c r="AB38" i="40"/>
  <c r="U38" i="40"/>
  <c r="AC13" i="40"/>
  <c r="W13" i="40"/>
  <c r="AA12" i="36"/>
  <c r="S12" i="36"/>
  <c r="S11" i="35"/>
  <c r="AA11" i="35"/>
  <c r="S14" i="37"/>
  <c r="AA14" i="37"/>
  <c r="AC17" i="34"/>
  <c r="W17" i="34"/>
  <c r="AA24" i="36"/>
  <c r="S24" i="36"/>
  <c r="AB38" i="37"/>
  <c r="U38" i="37"/>
  <c r="AA45" i="34"/>
  <c r="S45" i="34"/>
  <c r="AB25" i="35"/>
  <c r="U25" i="35"/>
  <c r="U46" i="21"/>
  <c r="AB46" i="21"/>
  <c r="AC47" i="34"/>
  <c r="W47" i="34"/>
  <c r="C36" i="68"/>
  <c r="S28" i="33"/>
  <c r="AA28" i="33"/>
  <c r="C48" i="69"/>
  <c r="C30" i="69"/>
  <c r="F48" i="69"/>
  <c r="AB23" i="34"/>
  <c r="U23" i="34"/>
  <c r="S37" i="34"/>
  <c r="AA37" i="34"/>
  <c r="C28" i="67"/>
  <c r="C28" i="15"/>
  <c r="E51" i="40"/>
  <c r="E56" i="39"/>
  <c r="E16" i="6"/>
  <c r="F27" i="6"/>
  <c r="F31" i="6" s="1"/>
  <c r="S28" i="37"/>
  <c r="AA28" i="37"/>
  <c r="AB44" i="34"/>
  <c r="U44" i="34"/>
  <c r="AA15" i="34"/>
  <c r="S15" i="34"/>
  <c r="AR12" i="1"/>
  <c r="AR10" i="1"/>
  <c r="AR8" i="1"/>
  <c r="AR13" i="1"/>
  <c r="AR11" i="1"/>
  <c r="AR9" i="1"/>
  <c r="AQ13" i="1"/>
  <c r="AQ12" i="1"/>
  <c r="AQ11" i="1"/>
  <c r="AQ10" i="1"/>
  <c r="AQ9" i="1"/>
  <c r="AQ8" i="1"/>
  <c r="AB44" i="39"/>
  <c r="U44" i="39"/>
  <c r="D9" i="11"/>
  <c r="C9" i="11" s="1"/>
  <c r="D9" i="68"/>
  <c r="D9" i="69"/>
  <c r="D19" i="12"/>
  <c r="C19" i="12" s="1"/>
  <c r="G44" i="43"/>
  <c r="F6" i="1"/>
  <c r="J86" i="81"/>
  <c r="J91" i="81" s="1"/>
  <c r="Z6" i="1" s="1"/>
  <c r="I82" i="81"/>
  <c r="I83" i="81" s="1"/>
  <c r="I4" i="6"/>
  <c r="E28" i="6"/>
  <c r="F30" i="6"/>
  <c r="C44" i="43"/>
  <c r="AB33" i="40"/>
  <c r="U33" i="40"/>
  <c r="AA30" i="40"/>
  <c r="S30" i="40"/>
  <c r="S34" i="36"/>
  <c r="AA34" i="36"/>
  <c r="U31" i="40"/>
  <c r="AB31" i="40"/>
  <c r="S13" i="40"/>
  <c r="AA13" i="40"/>
  <c r="AC11" i="35"/>
  <c r="W11" i="35"/>
  <c r="AA31" i="34"/>
  <c r="S31" i="34"/>
  <c r="AA12" i="37"/>
  <c r="S12" i="37"/>
  <c r="AC45" i="34"/>
  <c r="W45" i="34"/>
  <c r="W9" i="33"/>
  <c r="AC9" i="33"/>
  <c r="AA13" i="21"/>
  <c r="S13" i="21"/>
  <c r="D26" i="77"/>
  <c r="D32" i="77" s="1"/>
  <c r="D29" i="77"/>
  <c r="D38" i="77"/>
  <c r="D39" i="77" s="1"/>
  <c r="E23" i="77"/>
  <c r="AA25" i="35"/>
  <c r="S25" i="35"/>
  <c r="W26" i="37"/>
  <c r="AC26" i="37"/>
  <c r="AC46" i="21"/>
  <c r="W46" i="21"/>
  <c r="AB47" i="34"/>
  <c r="U47" i="34"/>
  <c r="U26" i="35"/>
  <c r="AB26" i="35"/>
  <c r="AC28" i="33"/>
  <c r="W28" i="33"/>
  <c r="AA40" i="34"/>
  <c r="S40" i="34"/>
  <c r="U23" i="35"/>
  <c r="AB23" i="35"/>
  <c r="U19" i="34"/>
  <c r="AB19" i="34"/>
  <c r="AC23" i="34"/>
  <c r="W23" i="34"/>
  <c r="F48" i="68"/>
  <c r="C48" i="68"/>
  <c r="E60" i="39"/>
  <c r="E56" i="40"/>
  <c r="E57" i="40"/>
  <c r="E61" i="39"/>
  <c r="W28" i="37"/>
  <c r="AC28" i="37"/>
  <c r="W44" i="34"/>
  <c r="AC44" i="34"/>
  <c r="U27" i="34"/>
  <c r="AB27" i="34"/>
  <c r="AC15" i="34"/>
  <c r="W15" i="34"/>
  <c r="S44" i="39"/>
  <c r="AA44" i="39"/>
  <c r="L1" i="73"/>
  <c r="J1" i="73"/>
  <c r="H5" i="3"/>
  <c r="G13" i="3"/>
  <c r="L83" i="81"/>
  <c r="M83" i="81"/>
  <c r="C7" i="74"/>
  <c r="D18" i="53"/>
  <c r="B35" i="72" s="1"/>
  <c r="L48" i="15"/>
  <c r="M26" i="82"/>
  <c r="F16" i="80"/>
  <c r="M6" i="80"/>
  <c r="J15" i="82"/>
  <c r="M9" i="82"/>
  <c r="L47" i="82"/>
  <c r="F36" i="67"/>
  <c r="F9" i="15"/>
  <c r="M26" i="15"/>
  <c r="F42" i="82"/>
  <c r="F7" i="82"/>
  <c r="F26" i="82"/>
  <c r="F37" i="82"/>
  <c r="M8" i="67"/>
  <c r="F16" i="67"/>
  <c r="F43" i="80"/>
  <c r="F37" i="80"/>
  <c r="F13" i="15"/>
  <c r="L48" i="82"/>
  <c r="M22" i="82"/>
  <c r="F6" i="80"/>
  <c r="F35" i="82"/>
  <c r="F41" i="67"/>
  <c r="M24" i="82"/>
  <c r="M23" i="82"/>
  <c r="M28" i="67"/>
  <c r="F36" i="80"/>
  <c r="F6" i="67"/>
  <c r="M6" i="15"/>
  <c r="F42" i="15"/>
  <c r="F35" i="67"/>
  <c r="F38" i="80"/>
  <c r="M6" i="82"/>
  <c r="F38" i="82"/>
  <c r="F13" i="80"/>
  <c r="M27" i="82"/>
  <c r="F38" i="67"/>
  <c r="M27" i="67"/>
  <c r="M23" i="67"/>
  <c r="M29" i="67"/>
  <c r="F40" i="15"/>
  <c r="M9" i="15"/>
  <c r="F8" i="80"/>
  <c r="M26" i="67"/>
  <c r="F43" i="67"/>
  <c r="M6" i="67"/>
  <c r="F7" i="80"/>
  <c r="J15" i="15"/>
  <c r="F13" i="67"/>
  <c r="J15" i="80"/>
  <c r="F40" i="80"/>
  <c r="M29" i="80"/>
  <c r="L48" i="80"/>
  <c r="J15" i="67"/>
  <c r="M21" i="67"/>
  <c r="M24" i="80"/>
  <c r="L48" i="67"/>
  <c r="F26" i="67"/>
  <c r="M23" i="15"/>
  <c r="M8" i="15"/>
  <c r="F38" i="15"/>
  <c r="M28" i="80"/>
  <c r="F37" i="15"/>
  <c r="M9" i="67"/>
  <c r="F8" i="67"/>
  <c r="M22" i="67"/>
  <c r="F41" i="82"/>
  <c r="L47" i="80"/>
  <c r="F26" i="15"/>
  <c r="M27" i="80"/>
  <c r="F6" i="82"/>
  <c r="M23" i="80"/>
  <c r="C14" i="82"/>
  <c r="L47" i="67"/>
  <c r="M28" i="15"/>
  <c r="M9" i="80"/>
  <c r="F9" i="82"/>
  <c r="F8" i="15"/>
  <c r="M21" i="82"/>
  <c r="M28" i="82"/>
  <c r="M29" i="82"/>
  <c r="F13" i="82"/>
  <c r="F9" i="67"/>
  <c r="M24" i="67"/>
  <c r="L47" i="15"/>
  <c r="F40" i="67"/>
  <c r="F43" i="82"/>
  <c r="F40" i="82"/>
  <c r="C76" i="67"/>
  <c r="F36" i="82"/>
  <c r="F37" i="67"/>
  <c r="M24" i="15"/>
  <c r="F36" i="15"/>
  <c r="F7" i="67"/>
  <c r="F42" i="67"/>
  <c r="C76" i="15"/>
  <c r="C76" i="82"/>
  <c r="M8" i="82"/>
  <c r="M22" i="15"/>
  <c r="F16" i="15"/>
  <c r="M8" i="80"/>
  <c r="F42" i="80"/>
  <c r="F16" i="82"/>
  <c r="C76" i="80"/>
  <c r="M22" i="80"/>
  <c r="F8" i="82"/>
  <c r="M26" i="80"/>
  <c r="F9" i="80"/>
  <c r="F26" i="80"/>
  <c r="AC37" i="34" l="1"/>
  <c r="F51" i="80"/>
  <c r="F66" i="15"/>
  <c r="Q71" i="15"/>
  <c r="L59" i="15"/>
  <c r="N59" i="15"/>
  <c r="L58" i="15"/>
  <c r="M59" i="15"/>
  <c r="F64" i="80"/>
  <c r="L58" i="82"/>
  <c r="M59" i="82"/>
  <c r="L59" i="82"/>
  <c r="N59" i="82"/>
  <c r="F71" i="82"/>
  <c r="F64" i="15"/>
  <c r="L59" i="80"/>
  <c r="M59" i="80"/>
  <c r="L58" i="80"/>
  <c r="N59" i="80"/>
  <c r="F68" i="80"/>
  <c r="F51" i="82"/>
  <c r="C15" i="82"/>
  <c r="C18" i="82"/>
  <c r="F69" i="67"/>
  <c r="F71" i="67"/>
  <c r="F65" i="15"/>
  <c r="F68" i="15"/>
  <c r="F65" i="80"/>
  <c r="F63" i="82"/>
  <c r="C62" i="82" s="1"/>
  <c r="C34" i="82"/>
  <c r="F65" i="82"/>
  <c r="F51" i="67"/>
  <c r="F65" i="67"/>
  <c r="C27" i="67"/>
  <c r="Q71" i="80"/>
  <c r="C6" i="80"/>
  <c r="J53" i="80"/>
  <c r="L60" i="80"/>
  <c r="L56" i="80"/>
  <c r="I54" i="80"/>
  <c r="J57" i="80"/>
  <c r="J55" i="80" s="1"/>
  <c r="J58" i="80" s="1"/>
  <c r="Q50" i="80" s="1"/>
  <c r="L57" i="80"/>
  <c r="C27" i="82"/>
  <c r="F69" i="82"/>
  <c r="F64" i="82"/>
  <c r="J57" i="67"/>
  <c r="J55" i="67" s="1"/>
  <c r="J58" i="67" s="1"/>
  <c r="Q50" i="67" s="1"/>
  <c r="J53" i="67"/>
  <c r="L56" i="67"/>
  <c r="I54" i="67"/>
  <c r="F68" i="67"/>
  <c r="C27" i="15"/>
  <c r="F66" i="82"/>
  <c r="F50" i="82"/>
  <c r="M7" i="82"/>
  <c r="J6" i="82" s="1"/>
  <c r="Q71" i="67"/>
  <c r="C27" i="80"/>
  <c r="F50" i="80"/>
  <c r="M7" i="80"/>
  <c r="J6" i="80" s="1"/>
  <c r="F71" i="80"/>
  <c r="F66" i="80"/>
  <c r="L57" i="82"/>
  <c r="L56" i="82"/>
  <c r="L60" i="82"/>
  <c r="C6" i="82"/>
  <c r="J20" i="82"/>
  <c r="Q71" i="82"/>
  <c r="F68" i="82"/>
  <c r="F66" i="67"/>
  <c r="J20" i="67"/>
  <c r="F50" i="67"/>
  <c r="M7" i="67"/>
  <c r="J6" i="67" s="1"/>
  <c r="C6" i="67"/>
  <c r="L59" i="67"/>
  <c r="N59" i="67"/>
  <c r="L58" i="67"/>
  <c r="M59" i="67"/>
  <c r="F64" i="67"/>
  <c r="F63" i="67"/>
  <c r="C62" i="67" s="1"/>
  <c r="C34" i="67"/>
  <c r="J53" i="15"/>
  <c r="L57" i="15"/>
  <c r="L60" i="15"/>
  <c r="J57" i="15"/>
  <c r="J55" i="15" s="1"/>
  <c r="J58" i="15" s="1"/>
  <c r="Q50" i="15" s="1"/>
  <c r="I54" i="15"/>
  <c r="L56" i="15"/>
  <c r="F51" i="15"/>
  <c r="D44" i="71"/>
  <c r="T44" i="71"/>
  <c r="D63" i="40"/>
  <c r="C65" i="40"/>
  <c r="P65" i="71"/>
  <c r="P66" i="71"/>
  <c r="M66" i="43"/>
  <c r="N66" i="43" s="1"/>
  <c r="K66" i="43"/>
  <c r="D58" i="21"/>
  <c r="E58" i="21" s="1"/>
  <c r="F58" i="21" s="1"/>
  <c r="G58" i="21" s="1"/>
  <c r="H58" i="21" s="1"/>
  <c r="I58" i="21" s="1"/>
  <c r="J58" i="21" s="1"/>
  <c r="K58" i="21" s="1"/>
  <c r="L58" i="21" s="1"/>
  <c r="M58" i="21" s="1"/>
  <c r="N58" i="21" s="1"/>
  <c r="O58" i="21" s="1"/>
  <c r="E30" i="6"/>
  <c r="K19"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C9" i="69"/>
  <c r="M68" i="43"/>
  <c r="N68" i="43" s="1"/>
  <c r="K68" i="43"/>
  <c r="J68" i="43" s="1"/>
  <c r="D68" i="43" s="1"/>
  <c r="T52" i="71"/>
  <c r="D52" i="71"/>
  <c r="D48" i="35"/>
  <c r="E48" i="35" s="1"/>
  <c r="F48" i="35" s="1"/>
  <c r="G48" i="35" s="1"/>
  <c r="H48" i="35" s="1"/>
  <c r="I48" i="35" s="1"/>
  <c r="J48" i="35" s="1"/>
  <c r="K48" i="35" s="1"/>
  <c r="L48" i="35" s="1"/>
  <c r="M48" i="35" s="1"/>
  <c r="N48" i="35" s="1"/>
  <c r="O48" i="35" s="1"/>
  <c r="U15" i="34"/>
  <c r="AB15" i="34"/>
  <c r="E3" i="6"/>
  <c r="M69" i="43"/>
  <c r="N69" i="43" s="1"/>
  <c r="K69" i="43"/>
  <c r="M63" i="43"/>
  <c r="N63" i="43" s="1"/>
  <c r="K63" i="43"/>
  <c r="T40" i="71"/>
  <c r="D40" i="71"/>
  <c r="C69" i="39"/>
  <c r="D67" i="39"/>
  <c r="A1" i="79"/>
  <c r="P29" i="43"/>
  <c r="P25" i="43"/>
  <c r="O23" i="43"/>
  <c r="C23" i="43"/>
  <c r="P28" i="43"/>
  <c r="B66" i="40" s="1"/>
  <c r="P26" i="43"/>
  <c r="P27" i="43"/>
  <c r="B70" i="39" s="1"/>
  <c r="V16" i="71"/>
  <c r="E15" i="71"/>
  <c r="E14" i="71" s="1"/>
  <c r="E13" i="71" s="1"/>
  <c r="E12" i="71" s="1"/>
  <c r="E38" i="77"/>
  <c r="E39" i="77" s="1"/>
  <c r="C40" i="77" s="1"/>
  <c r="E29" i="77"/>
  <c r="E32" i="77" s="1"/>
  <c r="E26" i="77"/>
  <c r="M67" i="43"/>
  <c r="N67" i="43" s="1"/>
  <c r="K67" i="43"/>
  <c r="D52" i="37"/>
  <c r="E52" i="37" s="1"/>
  <c r="F52" i="37" s="1"/>
  <c r="G52" i="37" s="1"/>
  <c r="H52" i="37" s="1"/>
  <c r="I52" i="37" s="1"/>
  <c r="J52" i="37" s="1"/>
  <c r="K52" i="37" s="1"/>
  <c r="L52" i="37" s="1"/>
  <c r="M52" i="37" s="1"/>
  <c r="N52" i="37" s="1"/>
  <c r="O52" i="37" s="1"/>
  <c r="C36" i="71"/>
  <c r="D35" i="71"/>
  <c r="E65" i="39"/>
  <c r="M62" i="43"/>
  <c r="N62" i="43" s="1"/>
  <c r="K62" i="43"/>
  <c r="K61" i="43"/>
  <c r="J61" i="43" s="1"/>
  <c r="D61" i="43" s="1"/>
  <c r="M61" i="43"/>
  <c r="N61" i="43" s="1"/>
  <c r="C24" i="12"/>
  <c r="C13" i="12"/>
  <c r="C77" i="9"/>
  <c r="C74" i="9" s="1"/>
  <c r="C31" i="12"/>
  <c r="D46" i="36"/>
  <c r="E46" i="36" s="1"/>
  <c r="F46" i="36" s="1"/>
  <c r="G46" i="36" s="1"/>
  <c r="H46" i="36" s="1"/>
  <c r="I46" i="36" s="1"/>
  <c r="J46" i="36" s="1"/>
  <c r="K46" i="36" s="1"/>
  <c r="L46" i="36" s="1"/>
  <c r="M46" i="36" s="1"/>
  <c r="N46" i="36" s="1"/>
  <c r="O46" i="36" s="1"/>
  <c r="H7" i="36"/>
  <c r="J7" i="36"/>
  <c r="F7" i="36"/>
  <c r="C36" i="11"/>
  <c r="G5" i="3"/>
  <c r="B3" i="3" s="1"/>
  <c r="C30" i="68"/>
  <c r="I24" i="43"/>
  <c r="C24" i="43" s="1"/>
  <c r="G6" i="1"/>
  <c r="C9" i="68"/>
  <c r="C22" i="71"/>
  <c r="D23" i="71"/>
  <c r="E31" i="6"/>
  <c r="C28" i="80"/>
  <c r="K64" i="43"/>
  <c r="M64" i="43"/>
  <c r="N64" i="43" s="1"/>
  <c r="K65" i="43"/>
  <c r="M65" i="43"/>
  <c r="N65" i="43" s="1"/>
  <c r="T60" i="71"/>
  <c r="D60" i="71"/>
  <c r="S20" i="71"/>
  <c r="B19" i="71"/>
  <c r="B18" i="71" s="1"/>
  <c r="B17" i="71" s="1"/>
  <c r="B16" i="71" s="1"/>
  <c r="K6" i="1"/>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D58" i="33"/>
  <c r="E58" i="33" s="1"/>
  <c r="F58" i="33" s="1"/>
  <c r="G58" i="33" s="1"/>
  <c r="H58" i="33" s="1"/>
  <c r="I58" i="33" s="1"/>
  <c r="J58" i="33" s="1"/>
  <c r="K58" i="33" s="1"/>
  <c r="L58" i="33" s="1"/>
  <c r="M58" i="33" s="1"/>
  <c r="N58" i="33" s="1"/>
  <c r="O58" i="33" s="1"/>
  <c r="I54" i="82"/>
  <c r="J57" i="82"/>
  <c r="J55" i="82" s="1"/>
  <c r="J58" i="82" s="1"/>
  <c r="Q50" i="82" s="1"/>
  <c r="J53" i="82"/>
  <c r="T32" i="71"/>
  <c r="D32" i="71"/>
  <c r="Q66" i="71"/>
  <c r="Q65" i="71"/>
  <c r="J87" i="81"/>
  <c r="K87" i="81" s="1"/>
  <c r="C14" i="67"/>
  <c r="F43" i="15"/>
  <c r="D5" i="73"/>
  <c r="D3" i="73"/>
  <c r="C16" i="67"/>
  <c r="D4" i="73"/>
  <c r="F3" i="73"/>
  <c r="F6" i="15"/>
  <c r="C17" i="67"/>
  <c r="D7" i="73"/>
  <c r="C16" i="82"/>
  <c r="F7" i="15"/>
  <c r="F5" i="73"/>
  <c r="F7" i="73"/>
  <c r="F6" i="73"/>
  <c r="M29" i="15"/>
  <c r="C16" i="80"/>
  <c r="F4" i="73"/>
  <c r="D6" i="73"/>
  <c r="C17" i="82"/>
  <c r="I1" i="73" l="1"/>
  <c r="B39" i="1" s="1"/>
  <c r="C19" i="82"/>
  <c r="C20" i="82" s="1"/>
  <c r="C15" i="67"/>
  <c r="C18" i="67"/>
  <c r="F50" i="15"/>
  <c r="C49" i="15" s="1"/>
  <c r="M7" i="15"/>
  <c r="J6" i="15" s="1"/>
  <c r="F71" i="15"/>
  <c r="I3" i="6"/>
  <c r="E421" i="3"/>
  <c r="E420" i="3"/>
  <c r="E415" i="3"/>
  <c r="E411" i="3"/>
  <c r="E405" i="3"/>
  <c r="E404" i="3"/>
  <c r="E399" i="3"/>
  <c r="E395" i="3"/>
  <c r="E389" i="3"/>
  <c r="E388" i="3"/>
  <c r="E383" i="3"/>
  <c r="E379" i="3"/>
  <c r="E373" i="3"/>
  <c r="E372" i="3"/>
  <c r="E367" i="3"/>
  <c r="E363" i="3"/>
  <c r="E357" i="3"/>
  <c r="E356" i="3"/>
  <c r="E351" i="3"/>
  <c r="E347" i="3"/>
  <c r="E341" i="3"/>
  <c r="E340" i="3"/>
  <c r="E335" i="3"/>
  <c r="E331" i="3"/>
  <c r="E325" i="3"/>
  <c r="E324" i="3"/>
  <c r="E319" i="3"/>
  <c r="E315" i="3"/>
  <c r="E309" i="3"/>
  <c r="E308" i="3"/>
  <c r="E303" i="3"/>
  <c r="E296" i="3"/>
  <c r="E288" i="3"/>
  <c r="E280" i="3"/>
  <c r="E272" i="3"/>
  <c r="E449" i="3"/>
  <c r="E447" i="3"/>
  <c r="E445" i="3"/>
  <c r="E443" i="3"/>
  <c r="E441" i="3"/>
  <c r="E439" i="3"/>
  <c r="E437" i="3"/>
  <c r="E435" i="3"/>
  <c r="E433" i="3"/>
  <c r="E431" i="3"/>
  <c r="E429" i="3"/>
  <c r="E427" i="3"/>
  <c r="E425" i="3"/>
  <c r="E416" i="3"/>
  <c r="E400" i="3"/>
  <c r="E252" i="3"/>
  <c r="E236" i="3"/>
  <c r="E220" i="3"/>
  <c r="E204" i="3"/>
  <c r="E188" i="3"/>
  <c r="E172" i="3"/>
  <c r="E368" i="3"/>
  <c r="E336" i="3"/>
  <c r="E304" i="3"/>
  <c r="E294" i="3"/>
  <c r="E286" i="3"/>
  <c r="E278" i="3"/>
  <c r="E270" i="3"/>
  <c r="E256" i="3"/>
  <c r="E240" i="3"/>
  <c r="E224" i="3"/>
  <c r="E208" i="3"/>
  <c r="E192" i="3"/>
  <c r="E176" i="3"/>
  <c r="E116" i="3"/>
  <c r="E108" i="3"/>
  <c r="E100" i="3"/>
  <c r="E92" i="3"/>
  <c r="E84" i="3"/>
  <c r="E76" i="3"/>
  <c r="E68" i="3"/>
  <c r="E60" i="3"/>
  <c r="E52" i="3"/>
  <c r="E44" i="3"/>
  <c r="E36" i="3"/>
  <c r="AS6" i="3"/>
  <c r="AH6" i="3"/>
  <c r="M6" i="3"/>
  <c r="E279" i="3"/>
  <c r="E271" i="3"/>
  <c r="E232" i="3"/>
  <c r="E165" i="3"/>
  <c r="E164" i="3"/>
  <c r="E153" i="3"/>
  <c r="E152" i="3"/>
  <c r="E145" i="3"/>
  <c r="E144" i="3"/>
  <c r="E129" i="3"/>
  <c r="E128" i="3"/>
  <c r="E29" i="3"/>
  <c r="E21" i="3"/>
  <c r="E260" i="3"/>
  <c r="E244" i="3"/>
  <c r="E228" i="3"/>
  <c r="E212" i="3"/>
  <c r="E196" i="3"/>
  <c r="E180" i="3"/>
  <c r="AG6" i="3"/>
  <c r="Q6" i="3"/>
  <c r="E384" i="3"/>
  <c r="E352" i="3"/>
  <c r="E287" i="3"/>
  <c r="E248" i="3"/>
  <c r="E184" i="3"/>
  <c r="E157" i="3"/>
  <c r="E156" i="3"/>
  <c r="E149" i="3"/>
  <c r="E148" i="3"/>
  <c r="E137" i="3"/>
  <c r="E136" i="3"/>
  <c r="E121" i="3"/>
  <c r="E120" i="3"/>
  <c r="Z6" i="3"/>
  <c r="J6" i="3"/>
  <c r="N6" i="3"/>
  <c r="E320" i="3"/>
  <c r="E295" i="3"/>
  <c r="E264" i="3"/>
  <c r="E216" i="3"/>
  <c r="E200" i="3"/>
  <c r="E169" i="3"/>
  <c r="E168" i="3"/>
  <c r="E161" i="3"/>
  <c r="E160" i="3"/>
  <c r="E141" i="3"/>
  <c r="E140" i="3"/>
  <c r="E133" i="3"/>
  <c r="E132" i="3"/>
  <c r="E125" i="3"/>
  <c r="E124" i="3"/>
  <c r="AP6" i="3"/>
  <c r="AK6" i="3"/>
  <c r="AE6" i="3"/>
  <c r="U6" i="3"/>
  <c r="AO6" i="3"/>
  <c r="AI6" i="3"/>
  <c r="AD6" i="3"/>
  <c r="Y6" i="3"/>
  <c r="AQ6" i="3"/>
  <c r="E88" i="3"/>
  <c r="W6" i="3"/>
  <c r="E32" i="3"/>
  <c r="E79" i="3"/>
  <c r="E86" i="3"/>
  <c r="E101" i="3"/>
  <c r="E127" i="3"/>
  <c r="E159" i="3"/>
  <c r="E19" i="3"/>
  <c r="E47" i="3"/>
  <c r="E63" i="3"/>
  <c r="E75" i="3"/>
  <c r="E91" i="3"/>
  <c r="E107" i="3"/>
  <c r="E139" i="3"/>
  <c r="E59" i="3"/>
  <c r="E94" i="3"/>
  <c r="E135" i="3"/>
  <c r="E20" i="3"/>
  <c r="E48" i="3"/>
  <c r="E77" i="3"/>
  <c r="E110" i="3"/>
  <c r="AM6" i="3"/>
  <c r="E46" i="3"/>
  <c r="E83" i="3"/>
  <c r="E131" i="3"/>
  <c r="E163" i="3"/>
  <c r="AR6" i="3"/>
  <c r="L6" i="3"/>
  <c r="E58" i="3"/>
  <c r="E185" i="3"/>
  <c r="E249" i="3"/>
  <c r="E307" i="3"/>
  <c r="E359" i="3"/>
  <c r="AJ6" i="3"/>
  <c r="E179" i="3"/>
  <c r="E230" i="3"/>
  <c r="E291" i="3"/>
  <c r="E381" i="3"/>
  <c r="E428" i="3"/>
  <c r="E438" i="3"/>
  <c r="E446" i="3"/>
  <c r="E178" i="3"/>
  <c r="E210" i="3"/>
  <c r="E242" i="3"/>
  <c r="E330" i="3"/>
  <c r="E364" i="3"/>
  <c r="E387" i="3"/>
  <c r="E42" i="3"/>
  <c r="E182" i="3"/>
  <c r="E243" i="3"/>
  <c r="E177" i="3"/>
  <c r="E203" i="3"/>
  <c r="E222" i="3"/>
  <c r="E241" i="3"/>
  <c r="E268" i="3"/>
  <c r="E284" i="3"/>
  <c r="E300" i="3"/>
  <c r="E323" i="3"/>
  <c r="E334" i="3"/>
  <c r="E392" i="3"/>
  <c r="E410" i="3"/>
  <c r="E186" i="3"/>
  <c r="E218" i="3"/>
  <c r="E250" i="3"/>
  <c r="E274" i="3"/>
  <c r="E290" i="3"/>
  <c r="E312" i="3"/>
  <c r="E342" i="3"/>
  <c r="E378" i="3"/>
  <c r="E413" i="3"/>
  <c r="E414" i="3"/>
  <c r="E459" i="3"/>
  <c r="E475" i="3"/>
  <c r="E491" i="3"/>
  <c r="E507" i="3"/>
  <c r="E523" i="3"/>
  <c r="E539" i="3"/>
  <c r="E555" i="3"/>
  <c r="E571" i="3"/>
  <c r="E587" i="3"/>
  <c r="E306" i="3"/>
  <c r="E345" i="3"/>
  <c r="E370" i="3"/>
  <c r="E409" i="3"/>
  <c r="E540" i="3"/>
  <c r="E556" i="3"/>
  <c r="E572" i="3"/>
  <c r="E465" i="3"/>
  <c r="E481" i="3"/>
  <c r="E497" i="3"/>
  <c r="E513" i="3"/>
  <c r="E529" i="3"/>
  <c r="E545" i="3"/>
  <c r="E561" i="3"/>
  <c r="E577" i="3"/>
  <c r="E542" i="3"/>
  <c r="E558" i="3"/>
  <c r="E574" i="3"/>
  <c r="E31" i="3"/>
  <c r="E45" i="3"/>
  <c r="E61" i="3"/>
  <c r="K6" i="3"/>
  <c r="AA6" i="3"/>
  <c r="E27" i="3"/>
  <c r="E39" i="3"/>
  <c r="E56" i="3"/>
  <c r="E81" i="3"/>
  <c r="E95" i="3"/>
  <c r="E102" i="3"/>
  <c r="E22" i="3"/>
  <c r="E35" i="3"/>
  <c r="E49" i="3"/>
  <c r="E65" i="3"/>
  <c r="E112" i="3"/>
  <c r="E155" i="3"/>
  <c r="E73" i="3"/>
  <c r="E103" i="3"/>
  <c r="E167" i="3"/>
  <c r="E24" i="3"/>
  <c r="E87" i="3"/>
  <c r="E151" i="3"/>
  <c r="E14" i="3"/>
  <c r="E62" i="3"/>
  <c r="E104" i="3"/>
  <c r="E117" i="3"/>
  <c r="X6" i="3"/>
  <c r="E74" i="3"/>
  <c r="E195" i="3"/>
  <c r="E371" i="3"/>
  <c r="E424" i="3"/>
  <c r="E34" i="3"/>
  <c r="E201" i="3"/>
  <c r="E246" i="3"/>
  <c r="E317" i="3"/>
  <c r="E382" i="3"/>
  <c r="E432" i="3"/>
  <c r="E440" i="3"/>
  <c r="E448" i="3"/>
  <c r="E181" i="3"/>
  <c r="E191" i="3"/>
  <c r="E213" i="3"/>
  <c r="E223" i="3"/>
  <c r="E245" i="3"/>
  <c r="E255" i="3"/>
  <c r="E332" i="3"/>
  <c r="E358" i="3"/>
  <c r="E391" i="3"/>
  <c r="AN6" i="3"/>
  <c r="E50" i="3"/>
  <c r="E198" i="3"/>
  <c r="E262" i="3"/>
  <c r="E187" i="3"/>
  <c r="E206" i="3"/>
  <c r="E225" i="3"/>
  <c r="E251" i="3"/>
  <c r="E269" i="3"/>
  <c r="E285" i="3"/>
  <c r="E301" i="3"/>
  <c r="E343" i="3"/>
  <c r="E365" i="3"/>
  <c r="E397" i="3"/>
  <c r="E412" i="3"/>
  <c r="E189" i="3"/>
  <c r="E199" i="3"/>
  <c r="E221" i="3"/>
  <c r="E231" i="3"/>
  <c r="E253" i="3"/>
  <c r="E263" i="3"/>
  <c r="E281" i="3"/>
  <c r="E297" i="3"/>
  <c r="E314" i="3"/>
  <c r="E344" i="3"/>
  <c r="E380" i="3"/>
  <c r="E419" i="3"/>
  <c r="E398" i="3"/>
  <c r="E463" i="3"/>
  <c r="E479" i="3"/>
  <c r="E495" i="3"/>
  <c r="E511" i="3"/>
  <c r="E527" i="3"/>
  <c r="E543" i="3"/>
  <c r="E559" i="3"/>
  <c r="E575" i="3"/>
  <c r="E329" i="3"/>
  <c r="E354" i="3"/>
  <c r="E393" i="3"/>
  <c r="E418" i="3"/>
  <c r="E452" i="3"/>
  <c r="E460" i="3"/>
  <c r="E468" i="3"/>
  <c r="E476" i="3"/>
  <c r="E484" i="3"/>
  <c r="E492" i="3"/>
  <c r="E500" i="3"/>
  <c r="E508" i="3"/>
  <c r="E516" i="3"/>
  <c r="E524" i="3"/>
  <c r="E532" i="3"/>
  <c r="E544" i="3"/>
  <c r="E560" i="3"/>
  <c r="E576" i="3"/>
  <c r="E453" i="3"/>
  <c r="E469" i="3"/>
  <c r="E485" i="3"/>
  <c r="E501" i="3"/>
  <c r="E517" i="3"/>
  <c r="E533" i="3"/>
  <c r="E549" i="3"/>
  <c r="E565" i="3"/>
  <c r="E581" i="3"/>
  <c r="E454" i="3"/>
  <c r="E462" i="3"/>
  <c r="E470" i="3"/>
  <c r="E478" i="3"/>
  <c r="E486" i="3"/>
  <c r="E494" i="3"/>
  <c r="E502" i="3"/>
  <c r="E510" i="3"/>
  <c r="E518" i="3"/>
  <c r="E526" i="3"/>
  <c r="E534" i="3"/>
  <c r="E546" i="3"/>
  <c r="E562" i="3"/>
  <c r="E578" i="3"/>
  <c r="E55" i="3"/>
  <c r="E72" i="3"/>
  <c r="O6" i="3"/>
  <c r="E28" i="3"/>
  <c r="E97" i="3"/>
  <c r="E111" i="3"/>
  <c r="E143" i="3"/>
  <c r="E38" i="3"/>
  <c r="E53" i="3"/>
  <c r="E69" i="3"/>
  <c r="E80" i="3"/>
  <c r="E96" i="3"/>
  <c r="E119" i="3"/>
  <c r="E78" i="3"/>
  <c r="E109" i="3"/>
  <c r="E37" i="3"/>
  <c r="E64" i="3"/>
  <c r="E93" i="3"/>
  <c r="R6" i="3"/>
  <c r="E16" i="3"/>
  <c r="E71" i="3"/>
  <c r="E118" i="3"/>
  <c r="E147" i="3"/>
  <c r="E106" i="3"/>
  <c r="E211" i="3"/>
  <c r="E259" i="3"/>
  <c r="E430" i="3"/>
  <c r="P6" i="3"/>
  <c r="E66" i="3"/>
  <c r="E265" i="3"/>
  <c r="E327" i="3"/>
  <c r="E349" i="3"/>
  <c r="E406" i="3"/>
  <c r="E434" i="3"/>
  <c r="E442" i="3"/>
  <c r="E194" i="3"/>
  <c r="E226" i="3"/>
  <c r="E258" i="3"/>
  <c r="E326" i="3"/>
  <c r="E360" i="3"/>
  <c r="E394" i="3"/>
  <c r="E422" i="3"/>
  <c r="T6" i="3"/>
  <c r="E90" i="3"/>
  <c r="E214" i="3"/>
  <c r="E267" i="3"/>
  <c r="E171" i="3"/>
  <c r="E190" i="3"/>
  <c r="E209" i="3"/>
  <c r="E235" i="3"/>
  <c r="E254" i="3"/>
  <c r="E276" i="3"/>
  <c r="E292" i="3"/>
  <c r="E302" i="3"/>
  <c r="E355" i="3"/>
  <c r="E366" i="3"/>
  <c r="E403" i="3"/>
  <c r="E202" i="3"/>
  <c r="E234" i="3"/>
  <c r="E266" i="3"/>
  <c r="E282" i="3"/>
  <c r="E298" i="3"/>
  <c r="E316" i="3"/>
  <c r="E346" i="3"/>
  <c r="E374" i="3"/>
  <c r="E390" i="3"/>
  <c r="E423" i="3"/>
  <c r="E451" i="3"/>
  <c r="E467" i="3"/>
  <c r="E483" i="3"/>
  <c r="E499" i="3"/>
  <c r="E515" i="3"/>
  <c r="E531" i="3"/>
  <c r="E547" i="3"/>
  <c r="E563" i="3"/>
  <c r="E579" i="3"/>
  <c r="E313" i="3"/>
  <c r="E338" i="3"/>
  <c r="E377" i="3"/>
  <c r="E402" i="3"/>
  <c r="E548" i="3"/>
  <c r="E564" i="3"/>
  <c r="E580" i="3"/>
  <c r="E457" i="3"/>
  <c r="E473" i="3"/>
  <c r="E489" i="3"/>
  <c r="E505" i="3"/>
  <c r="E521" i="3"/>
  <c r="E537" i="3"/>
  <c r="E553" i="3"/>
  <c r="E569" i="3"/>
  <c r="E585" i="3"/>
  <c r="E550" i="3"/>
  <c r="E566" i="3"/>
  <c r="E582" i="3"/>
  <c r="E41" i="3"/>
  <c r="E57" i="3"/>
  <c r="S6" i="3"/>
  <c r="E30" i="3"/>
  <c r="E51" i="3"/>
  <c r="E67" i="3"/>
  <c r="E85" i="3"/>
  <c r="AL6" i="3"/>
  <c r="E23" i="3"/>
  <c r="E40" i="3"/>
  <c r="E54" i="3"/>
  <c r="E70" i="3"/>
  <c r="E123" i="3"/>
  <c r="E15" i="3"/>
  <c r="E89" i="3"/>
  <c r="E115" i="3"/>
  <c r="E43" i="3"/>
  <c r="E105" i="3"/>
  <c r="V6" i="3"/>
  <c r="E99" i="3"/>
  <c r="E113" i="3"/>
  <c r="AF6" i="3"/>
  <c r="E26" i="3"/>
  <c r="E114" i="3"/>
  <c r="E233" i="3"/>
  <c r="E275" i="3"/>
  <c r="E318" i="3"/>
  <c r="E450" i="3"/>
  <c r="AB6" i="3"/>
  <c r="E82" i="3"/>
  <c r="E217" i="3"/>
  <c r="E283" i="3"/>
  <c r="E339" i="3"/>
  <c r="E350" i="3"/>
  <c r="E426" i="3"/>
  <c r="E436" i="3"/>
  <c r="E444" i="3"/>
  <c r="E175" i="3"/>
  <c r="E197" i="3"/>
  <c r="E207" i="3"/>
  <c r="E229" i="3"/>
  <c r="E239" i="3"/>
  <c r="E261" i="3"/>
  <c r="E328" i="3"/>
  <c r="E362" i="3"/>
  <c r="E396" i="3"/>
  <c r="E18" i="3"/>
  <c r="E98" i="3"/>
  <c r="E227" i="3"/>
  <c r="E299" i="3"/>
  <c r="E174" i="3"/>
  <c r="E193" i="3"/>
  <c r="E219" i="3"/>
  <c r="E238" i="3"/>
  <c r="E257" i="3"/>
  <c r="E277" i="3"/>
  <c r="E293" i="3"/>
  <c r="E311" i="3"/>
  <c r="E333" i="3"/>
  <c r="E375" i="3"/>
  <c r="E407" i="3"/>
  <c r="E173" i="3"/>
  <c r="E183" i="3"/>
  <c r="E205" i="3"/>
  <c r="E215" i="3"/>
  <c r="E237" i="3"/>
  <c r="E247" i="3"/>
  <c r="E273" i="3"/>
  <c r="E289" i="3"/>
  <c r="E310" i="3"/>
  <c r="E348" i="3"/>
  <c r="E376" i="3"/>
  <c r="E408" i="3"/>
  <c r="E455" i="3"/>
  <c r="E471" i="3"/>
  <c r="E487" i="3"/>
  <c r="E503" i="3"/>
  <c r="E519" i="3"/>
  <c r="E535" i="3"/>
  <c r="E551" i="3"/>
  <c r="E567" i="3"/>
  <c r="E583" i="3"/>
  <c r="E322" i="3"/>
  <c r="E361" i="3"/>
  <c r="E386" i="3"/>
  <c r="E456" i="3"/>
  <c r="E464" i="3"/>
  <c r="E472" i="3"/>
  <c r="E480" i="3"/>
  <c r="E488" i="3"/>
  <c r="E496" i="3"/>
  <c r="E504" i="3"/>
  <c r="E512" i="3"/>
  <c r="E520" i="3"/>
  <c r="E528" i="3"/>
  <c r="E536" i="3"/>
  <c r="E552" i="3"/>
  <c r="E568" i="3"/>
  <c r="E584" i="3"/>
  <c r="E461" i="3"/>
  <c r="E477" i="3"/>
  <c r="E493" i="3"/>
  <c r="E509" i="3"/>
  <c r="E525" i="3"/>
  <c r="E541" i="3"/>
  <c r="E557" i="3"/>
  <c r="E573" i="3"/>
  <c r="E458" i="3"/>
  <c r="E466" i="3"/>
  <c r="E474" i="3"/>
  <c r="E482" i="3"/>
  <c r="E490" i="3"/>
  <c r="E498" i="3"/>
  <c r="E506" i="3"/>
  <c r="E514" i="3"/>
  <c r="E522" i="3"/>
  <c r="E530" i="3"/>
  <c r="E538" i="3"/>
  <c r="E554" i="3"/>
  <c r="E570" i="3"/>
  <c r="E586" i="3"/>
  <c r="E158" i="3"/>
  <c r="E385" i="3"/>
  <c r="E122" i="3"/>
  <c r="E401" i="3"/>
  <c r="E166" i="3"/>
  <c r="I6" i="3"/>
  <c r="E417" i="3"/>
  <c r="E25" i="3"/>
  <c r="E33" i="3"/>
  <c r="E150" i="3"/>
  <c r="E305" i="3"/>
  <c r="E126" i="3"/>
  <c r="E17" i="3"/>
  <c r="E138" i="3"/>
  <c r="E369" i="3"/>
  <c r="E142" i="3"/>
  <c r="E321" i="3"/>
  <c r="E170" i="3"/>
  <c r="E337" i="3"/>
  <c r="E353" i="3"/>
  <c r="E162" i="3"/>
  <c r="E154" i="3"/>
  <c r="E134" i="3"/>
  <c r="E146" i="3"/>
  <c r="E130" i="3"/>
  <c r="W7" i="36"/>
  <c r="AC7" i="36"/>
  <c r="V36" i="36" s="1"/>
  <c r="I36" i="36" s="1"/>
  <c r="J7" i="37"/>
  <c r="D69" i="43"/>
  <c r="J69" i="43"/>
  <c r="F7" i="35"/>
  <c r="M20" i="6"/>
  <c r="I20" i="6" s="1"/>
  <c r="S20" i="6" s="1"/>
  <c r="S7" i="1"/>
  <c r="M19" i="6"/>
  <c r="K27" i="6"/>
  <c r="S6" i="1"/>
  <c r="F7" i="21"/>
  <c r="D66" i="43"/>
  <c r="J66" i="43"/>
  <c r="F1" i="15"/>
  <c r="Q52" i="15"/>
  <c r="C32" i="67"/>
  <c r="C33" i="67"/>
  <c r="C32" i="82"/>
  <c r="C33" i="82"/>
  <c r="Q57" i="80"/>
  <c r="Q66" i="80"/>
  <c r="Q61" i="82"/>
  <c r="Q74" i="82"/>
  <c r="J7" i="21"/>
  <c r="D65" i="40"/>
  <c r="E63" i="40"/>
  <c r="Q73" i="67"/>
  <c r="Q60" i="67"/>
  <c r="J18" i="67"/>
  <c r="J19" i="67"/>
  <c r="Q66" i="82"/>
  <c r="Q57" i="82"/>
  <c r="F1" i="80"/>
  <c r="Q52" i="80"/>
  <c r="Q73" i="80"/>
  <c r="Q60" i="80"/>
  <c r="Q73" i="15"/>
  <c r="Q60" i="15"/>
  <c r="S16" i="71"/>
  <c r="B15" i="71"/>
  <c r="B14" i="71" s="1"/>
  <c r="B13" i="71" s="1"/>
  <c r="B12" i="71" s="1"/>
  <c r="S7" i="36"/>
  <c r="AA7" i="36"/>
  <c r="R36" i="36" s="1"/>
  <c r="J67" i="43"/>
  <c r="D67" i="43"/>
  <c r="E11" i="71"/>
  <c r="E10" i="71" s="1"/>
  <c r="E9" i="71" s="1"/>
  <c r="E8" i="71" s="1"/>
  <c r="E7" i="71" s="1"/>
  <c r="E6" i="71" s="1"/>
  <c r="E5" i="71" s="1"/>
  <c r="V12" i="71"/>
  <c r="D19" i="11"/>
  <c r="C19" i="11" s="1"/>
  <c r="D37" i="11"/>
  <c r="C37" i="11" s="1"/>
  <c r="D3" i="33"/>
  <c r="B3" i="33" s="1"/>
  <c r="D3" i="37"/>
  <c r="B3" i="37" s="1"/>
  <c r="D3" i="21"/>
  <c r="B3" i="21" s="1"/>
  <c r="L18" i="9"/>
  <c r="B14" i="74"/>
  <c r="B1" i="74" s="1"/>
  <c r="E6" i="6"/>
  <c r="M18" i="9"/>
  <c r="B118" i="9" s="1"/>
  <c r="C34" i="34"/>
  <c r="D3" i="34"/>
  <c r="C17" i="4"/>
  <c r="B4" i="52" s="1"/>
  <c r="B43" i="72" s="1"/>
  <c r="D14" i="12"/>
  <c r="Q61" i="67"/>
  <c r="Q74" i="67"/>
  <c r="J18" i="80"/>
  <c r="J19" i="80"/>
  <c r="J18" i="82"/>
  <c r="J19" i="82"/>
  <c r="Q52" i="67"/>
  <c r="F1" i="67"/>
  <c r="Q61" i="80"/>
  <c r="Q74" i="80"/>
  <c r="Q74" i="15"/>
  <c r="Q61" i="15"/>
  <c r="J7" i="33"/>
  <c r="H7" i="34"/>
  <c r="D65" i="43"/>
  <c r="J65" i="43"/>
  <c r="G33" i="6"/>
  <c r="C46" i="34" s="1"/>
  <c r="F7" i="33"/>
  <c r="J7" i="34"/>
  <c r="C34" i="69"/>
  <c r="K16" i="1"/>
  <c r="M6" i="1"/>
  <c r="Q16" i="1"/>
  <c r="E6" i="70"/>
  <c r="H16" i="1"/>
  <c r="G16" i="1"/>
  <c r="E13" i="3"/>
  <c r="AB7" i="36"/>
  <c r="T36" i="36" s="1"/>
  <c r="G36" i="36" s="1"/>
  <c r="U7" i="36"/>
  <c r="J62" i="43"/>
  <c r="D62" i="43"/>
  <c r="E61" i="43" s="1"/>
  <c r="B59" i="43" s="1"/>
  <c r="C28" i="43" s="1"/>
  <c r="H7" i="37"/>
  <c r="B2" i="77"/>
  <c r="B3" i="77" s="1"/>
  <c r="C41" i="77"/>
  <c r="J7" i="35"/>
  <c r="F1" i="82"/>
  <c r="Q52" i="82"/>
  <c r="H7" i="33"/>
  <c r="F7" i="34"/>
  <c r="D64" i="43"/>
  <c r="J64" i="43"/>
  <c r="D22" i="71"/>
  <c r="C21" i="71"/>
  <c r="T36" i="71"/>
  <c r="D36" i="71"/>
  <c r="F7" i="37"/>
  <c r="E67" i="39"/>
  <c r="D69" i="39"/>
  <c r="J63" i="43"/>
  <c r="D63" i="43"/>
  <c r="AY6" i="3"/>
  <c r="H7" i="35"/>
  <c r="H7" i="21"/>
  <c r="Q66" i="15"/>
  <c r="Q57" i="15"/>
  <c r="C33" i="80"/>
  <c r="C32" i="80"/>
  <c r="C49" i="67"/>
  <c r="C61" i="67" s="1"/>
  <c r="C49" i="82"/>
  <c r="Q73" i="82"/>
  <c r="Q60" i="82"/>
  <c r="C49" i="80"/>
  <c r="C61" i="80" s="1"/>
  <c r="C6" i="15"/>
  <c r="C17" i="15"/>
  <c r="G1" i="73"/>
  <c r="AE7" i="1"/>
  <c r="C17" i="80"/>
  <c r="C16" i="15"/>
  <c r="AE6" i="1"/>
  <c r="B40" i="1" l="1"/>
  <c r="AG6" i="1"/>
  <c r="C26" i="82"/>
  <c r="C19" i="67"/>
  <c r="C20" i="67" s="1"/>
  <c r="C26" i="67" s="1"/>
  <c r="C42" i="43"/>
  <c r="C39" i="43"/>
  <c r="T7" i="43"/>
  <c r="V7" i="43" s="1"/>
  <c r="T4" i="43"/>
  <c r="V4" i="43" s="1"/>
  <c r="T8" i="43"/>
  <c r="V8" i="43" s="1"/>
  <c r="C38" i="43"/>
  <c r="T6" i="43"/>
  <c r="V6" i="43" s="1"/>
  <c r="T12" i="43"/>
  <c r="V12" i="43" s="1"/>
  <c r="T13" i="43"/>
  <c r="V13" i="43" s="1"/>
  <c r="C40" i="43"/>
  <c r="T3" i="43"/>
  <c r="V3" i="43" s="1"/>
  <c r="T9" i="43"/>
  <c r="V9" i="43" s="1"/>
  <c r="T14" i="43"/>
  <c r="V14" i="43" s="1"/>
  <c r="T10" i="43"/>
  <c r="V10" i="43" s="1"/>
  <c r="T11" i="43"/>
  <c r="V11" i="43" s="1"/>
  <c r="C41" i="43"/>
  <c r="T16" i="43"/>
  <c r="V16" i="43" s="1"/>
  <c r="T15" i="43"/>
  <c r="V15" i="43" s="1"/>
  <c r="T2" i="43"/>
  <c r="V2" i="43" s="1"/>
  <c r="T5" i="43"/>
  <c r="V5" i="43" s="1"/>
  <c r="C37" i="43"/>
  <c r="C61" i="82"/>
  <c r="AA7" i="33"/>
  <c r="R48" i="33" s="1"/>
  <c r="S7" i="33"/>
  <c r="F34" i="34"/>
  <c r="H34" i="34"/>
  <c r="J34" i="34"/>
  <c r="S12" i="71"/>
  <c r="B11" i="71"/>
  <c r="B10" i="71" s="1"/>
  <c r="B9" i="71" s="1"/>
  <c r="B8" i="71" s="1"/>
  <c r="B7" i="71" s="1"/>
  <c r="B6" i="71" s="1"/>
  <c r="B5" i="71" s="1"/>
  <c r="U7" i="35"/>
  <c r="AB7" i="35"/>
  <c r="T38" i="35" s="1"/>
  <c r="G38" i="35" s="1"/>
  <c r="U7" i="37"/>
  <c r="AB7" i="37"/>
  <c r="T42" i="37" s="1"/>
  <c r="G42" i="37" s="1"/>
  <c r="H46" i="34"/>
  <c r="J46" i="34"/>
  <c r="F46" i="34"/>
  <c r="AB7" i="34"/>
  <c r="U7" i="34"/>
  <c r="D17" i="12"/>
  <c r="C17" i="12" s="1"/>
  <c r="C14" i="12"/>
  <c r="C16" i="12" s="1"/>
  <c r="AC7" i="21"/>
  <c r="V48" i="21" s="1"/>
  <c r="I48" i="21" s="1"/>
  <c r="W7" i="21"/>
  <c r="C31" i="67"/>
  <c r="S7" i="21"/>
  <c r="AA7" i="21"/>
  <c r="R48" i="21" s="1"/>
  <c r="T7" i="1"/>
  <c r="E7" i="70"/>
  <c r="AR7" i="1"/>
  <c r="AQ7" i="1"/>
  <c r="H6" i="3"/>
  <c r="F24" i="82"/>
  <c r="C24" i="82" s="1"/>
  <c r="F24" i="67"/>
  <c r="C24" i="67" s="1"/>
  <c r="F22" i="11"/>
  <c r="C24" i="11" s="1"/>
  <c r="F25" i="12"/>
  <c r="C26" i="12" s="1"/>
  <c r="D25" i="12" s="1"/>
  <c r="L36" i="43"/>
  <c r="F24" i="80"/>
  <c r="C24" i="80" s="1"/>
  <c r="F22" i="69"/>
  <c r="F22" i="68"/>
  <c r="F24" i="15"/>
  <c r="C24" i="15" s="1"/>
  <c r="F10" i="40"/>
  <c r="J10" i="40"/>
  <c r="H10" i="39"/>
  <c r="F10" i="39"/>
  <c r="H10" i="40"/>
  <c r="J10" i="39"/>
  <c r="M16" i="1"/>
  <c r="N16" i="1" s="1"/>
  <c r="M27" i="6"/>
  <c r="I19" i="6"/>
  <c r="J18" i="15"/>
  <c r="J19" i="15"/>
  <c r="AB7" i="21"/>
  <c r="T48" i="21" s="1"/>
  <c r="G48" i="21" s="1"/>
  <c r="U7" i="2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21" i="3"/>
  <c r="AY420" i="3"/>
  <c r="AY413" i="3"/>
  <c r="AY412" i="3"/>
  <c r="AY405" i="3"/>
  <c r="AY404" i="3"/>
  <c r="AY397"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298" i="3"/>
  <c r="AY294" i="3"/>
  <c r="AY290" i="3"/>
  <c r="AY286" i="3"/>
  <c r="AY282" i="3"/>
  <c r="AY278" i="3"/>
  <c r="AY274" i="3"/>
  <c r="AY270" i="3"/>
  <c r="AY266" i="3"/>
  <c r="AY418" i="3"/>
  <c r="AY402" i="3"/>
  <c r="AY386" i="3"/>
  <c r="AY370" i="3"/>
  <c r="AY354" i="3"/>
  <c r="AY338" i="3"/>
  <c r="AY322" i="3"/>
  <c r="AY306" i="3"/>
  <c r="AY296" i="3"/>
  <c r="AY295" i="3"/>
  <c r="AY288" i="3"/>
  <c r="AY287" i="3"/>
  <c r="AY280" i="3"/>
  <c r="AY279" i="3"/>
  <c r="AY272" i="3"/>
  <c r="AY271"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416" i="3"/>
  <c r="AY414" i="3"/>
  <c r="AY409" i="3"/>
  <c r="AY400" i="3"/>
  <c r="AY398" i="3"/>
  <c r="AY393" i="3"/>
  <c r="AY384" i="3"/>
  <c r="AY382" i="3"/>
  <c r="AY377" i="3"/>
  <c r="AY368" i="3"/>
  <c r="AY366" i="3"/>
  <c r="AY361" i="3"/>
  <c r="AY352" i="3"/>
  <c r="AY350" i="3"/>
  <c r="AY345" i="3"/>
  <c r="AY336" i="3"/>
  <c r="AY334" i="3"/>
  <c r="AY329" i="3"/>
  <c r="AY320" i="3"/>
  <c r="AY318" i="3"/>
  <c r="AY313" i="3"/>
  <c r="AY304" i="3"/>
  <c r="AY302" i="3"/>
  <c r="AY297" i="3"/>
  <c r="AY289" i="3"/>
  <c r="AY281" i="3"/>
  <c r="AY273"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170" i="3"/>
  <c r="AY410" i="3"/>
  <c r="AY394" i="3"/>
  <c r="AY378" i="3"/>
  <c r="AY362" i="3"/>
  <c r="AY346" i="3"/>
  <c r="AY330" i="3"/>
  <c r="AY314" i="3"/>
  <c r="AY300" i="3"/>
  <c r="AY299" i="3"/>
  <c r="AY292" i="3"/>
  <c r="AY291" i="3"/>
  <c r="AY284" i="3"/>
  <c r="AY283" i="3"/>
  <c r="AY276" i="3"/>
  <c r="AY275" i="3"/>
  <c r="AY268" i="3"/>
  <c r="AY267"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450" i="3"/>
  <c r="AY448" i="3"/>
  <c r="AY446" i="3"/>
  <c r="AY444" i="3"/>
  <c r="AY442" i="3"/>
  <c r="AY440" i="3"/>
  <c r="AY438" i="3"/>
  <c r="AY436" i="3"/>
  <c r="AY434" i="3"/>
  <c r="AY432" i="3"/>
  <c r="AY430" i="3"/>
  <c r="AY428" i="3"/>
  <c r="AY426" i="3"/>
  <c r="AY424" i="3"/>
  <c r="AY422" i="3"/>
  <c r="AY417" i="3"/>
  <c r="AY408" i="3"/>
  <c r="AY406" i="3"/>
  <c r="AY401" i="3"/>
  <c r="AY392" i="3"/>
  <c r="AY390" i="3"/>
  <c r="AY385" i="3"/>
  <c r="AY376" i="3"/>
  <c r="AY374" i="3"/>
  <c r="AY369" i="3"/>
  <c r="AY344" i="3"/>
  <c r="AY342" i="3"/>
  <c r="AY337" i="3"/>
  <c r="AY312" i="3"/>
  <c r="AY310" i="3"/>
  <c r="AY305" i="3"/>
  <c r="AY253" i="3"/>
  <c r="AY237" i="3"/>
  <c r="AY221" i="3"/>
  <c r="AY205" i="3"/>
  <c r="AY189" i="3"/>
  <c r="AY173" i="3"/>
  <c r="AY113" i="3"/>
  <c r="AY112" i="3"/>
  <c r="AY105" i="3"/>
  <c r="AY104" i="3"/>
  <c r="AY97" i="3"/>
  <c r="AY96" i="3"/>
  <c r="AY89" i="3"/>
  <c r="AY88" i="3"/>
  <c r="AY81" i="3"/>
  <c r="AY80" i="3"/>
  <c r="AY73" i="3"/>
  <c r="AY72" i="3"/>
  <c r="AY65" i="3"/>
  <c r="AY64" i="3"/>
  <c r="AY57" i="3"/>
  <c r="AY56" i="3"/>
  <c r="AY49" i="3"/>
  <c r="AY48" i="3"/>
  <c r="AY41" i="3"/>
  <c r="AY40" i="3"/>
  <c r="AY33" i="3"/>
  <c r="AY301" i="3"/>
  <c r="AY293" i="3"/>
  <c r="AY285" i="3"/>
  <c r="AY277" i="3"/>
  <c r="AY269" i="3"/>
  <c r="AY257" i="3"/>
  <c r="AY241" i="3"/>
  <c r="AY225" i="3"/>
  <c r="AY209" i="3"/>
  <c r="AY193" i="3"/>
  <c r="AY177" i="3"/>
  <c r="AY169" i="3"/>
  <c r="AY165" i="3"/>
  <c r="AY161" i="3"/>
  <c r="AY157" i="3"/>
  <c r="AY153" i="3"/>
  <c r="AY149" i="3"/>
  <c r="AY145" i="3"/>
  <c r="AY141" i="3"/>
  <c r="AY137" i="3"/>
  <c r="AY133" i="3"/>
  <c r="AY129" i="3"/>
  <c r="AY125" i="3"/>
  <c r="AY121" i="3"/>
  <c r="AY114" i="3"/>
  <c r="AY106" i="3"/>
  <c r="AY98" i="3"/>
  <c r="AY90" i="3"/>
  <c r="AY82" i="3"/>
  <c r="AY74" i="3"/>
  <c r="AY66" i="3"/>
  <c r="AY58" i="3"/>
  <c r="AY50" i="3"/>
  <c r="AY42" i="3"/>
  <c r="AY34" i="3"/>
  <c r="AY26" i="3"/>
  <c r="AY18" i="3"/>
  <c r="BS6" i="3"/>
  <c r="BN6" i="3"/>
  <c r="BH6" i="3"/>
  <c r="BC6" i="3"/>
  <c r="AY217" i="3"/>
  <c r="AY158" i="3"/>
  <c r="AY150" i="3"/>
  <c r="AY122" i="3"/>
  <c r="AY110" i="3"/>
  <c r="AY70" i="3"/>
  <c r="AY54" i="3"/>
  <c r="AY38" i="3"/>
  <c r="AY30" i="3"/>
  <c r="AY14" i="3"/>
  <c r="AY25" i="3"/>
  <c r="AY17" i="3"/>
  <c r="AY16" i="3"/>
  <c r="AY360" i="3"/>
  <c r="AY358" i="3"/>
  <c r="AY353" i="3"/>
  <c r="AY328" i="3"/>
  <c r="AY326" i="3"/>
  <c r="AY321" i="3"/>
  <c r="AY261" i="3"/>
  <c r="AY245" i="3"/>
  <c r="AY229" i="3"/>
  <c r="AY213" i="3"/>
  <c r="AY197" i="3"/>
  <c r="AY181"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AY13" i="3"/>
  <c r="BR6" i="3"/>
  <c r="BL6" i="3"/>
  <c r="BG6" i="3"/>
  <c r="BB6" i="3"/>
  <c r="AY233" i="3"/>
  <c r="AY166" i="3"/>
  <c r="AY162" i="3"/>
  <c r="AY154" i="3"/>
  <c r="AY142" i="3"/>
  <c r="AY130" i="3"/>
  <c r="AY126" i="3"/>
  <c r="AY102" i="3"/>
  <c r="AY46" i="3"/>
  <c r="AY22" i="3"/>
  <c r="AY32" i="3"/>
  <c r="AY24" i="3"/>
  <c r="BT6" i="3"/>
  <c r="BJ6" i="3"/>
  <c r="AY265" i="3"/>
  <c r="AY249" i="3"/>
  <c r="AY201" i="3"/>
  <c r="AY185" i="3"/>
  <c r="AY146" i="3"/>
  <c r="AY138" i="3"/>
  <c r="AY134" i="3"/>
  <c r="AY118" i="3"/>
  <c r="AY94" i="3"/>
  <c r="AY86" i="3"/>
  <c r="AY78" i="3"/>
  <c r="AY62" i="3"/>
  <c r="BP6" i="3"/>
  <c r="BK6" i="3"/>
  <c r="BF6" i="3"/>
  <c r="BO6" i="3"/>
  <c r="BD6" i="3"/>
  <c r="E69" i="39"/>
  <c r="F67" i="39"/>
  <c r="D21" i="71"/>
  <c r="C20" i="71"/>
  <c r="S7" i="34"/>
  <c r="AA7" i="34"/>
  <c r="W7" i="35"/>
  <c r="AC7" i="35"/>
  <c r="V38" i="35" s="1"/>
  <c r="I38" i="35" s="1"/>
  <c r="G40" i="36"/>
  <c r="H40" i="36" s="1"/>
  <c r="G41" i="36"/>
  <c r="H41" i="36" s="1"/>
  <c r="E2" i="70"/>
  <c r="C35" i="69"/>
  <c r="C38" i="69"/>
  <c r="W7" i="33"/>
  <c r="AC7" i="33"/>
  <c r="V48" i="33" s="1"/>
  <c r="I48" i="33" s="1"/>
  <c r="J17" i="82"/>
  <c r="D10" i="11"/>
  <c r="C10" i="11" s="1"/>
  <c r="D10" i="68"/>
  <c r="D10" i="69"/>
  <c r="D20" i="12"/>
  <c r="C20" i="12" s="1"/>
  <c r="C20" i="11"/>
  <c r="C25" i="11" s="1"/>
  <c r="R37" i="36"/>
  <c r="E36" i="36"/>
  <c r="C61" i="15"/>
  <c r="T6" i="1"/>
  <c r="S16" i="1"/>
  <c r="AR6" i="1"/>
  <c r="AQ6" i="1"/>
  <c r="AC7" i="37"/>
  <c r="V42" i="37" s="1"/>
  <c r="I42" i="37" s="1"/>
  <c r="W7" i="37"/>
  <c r="AC6" i="3"/>
  <c r="I40" i="36"/>
  <c r="J40" i="36" s="1"/>
  <c r="I41" i="36"/>
  <c r="J41" i="36" s="1"/>
  <c r="AA7" i="37"/>
  <c r="R42" i="37" s="1"/>
  <c r="S7" i="37"/>
  <c r="AB7" i="33"/>
  <c r="T48" i="33" s="1"/>
  <c r="G48" i="33" s="1"/>
  <c r="U7" i="33"/>
  <c r="F27" i="11"/>
  <c r="F27" i="68"/>
  <c r="F28" i="12"/>
  <c r="C29" i="12" s="1"/>
  <c r="D28" i="12" s="1"/>
  <c r="F27" i="69"/>
  <c r="W7" i="34"/>
  <c r="AC7" i="34"/>
  <c r="J17" i="67"/>
  <c r="E65" i="40"/>
  <c r="F63" i="40"/>
  <c r="C31" i="82"/>
  <c r="AA7" i="35"/>
  <c r="R38" i="35" s="1"/>
  <c r="S7" i="35"/>
  <c r="M11" i="80"/>
  <c r="J10" i="80" s="1"/>
  <c r="J5" i="80" s="1"/>
  <c r="M11" i="67"/>
  <c r="J10" i="67" s="1"/>
  <c r="J5" i="67" s="1"/>
  <c r="F11" i="80"/>
  <c r="M11" i="82"/>
  <c r="J10" i="82" s="1"/>
  <c r="J5" i="82" s="1"/>
  <c r="M11" i="15"/>
  <c r="J10" i="15" s="1"/>
  <c r="J5" i="15" s="1"/>
  <c r="J24" i="15" s="1"/>
  <c r="F11" i="82"/>
  <c r="F11" i="15"/>
  <c r="C53" i="15" s="1"/>
  <c r="C48" i="15" s="1"/>
  <c r="F11" i="67"/>
  <c r="C32" i="15"/>
  <c r="C33" i="15"/>
  <c r="C10" i="15"/>
  <c r="C5" i="15" s="1"/>
  <c r="M27" i="15"/>
  <c r="F41" i="15"/>
  <c r="C14" i="15"/>
  <c r="C14" i="80"/>
  <c r="F41" i="80"/>
  <c r="C38" i="15" l="1"/>
  <c r="H6" i="70"/>
  <c r="C23" i="82"/>
  <c r="C29" i="82" s="1"/>
  <c r="C57" i="82" s="1"/>
  <c r="C64" i="82" s="1"/>
  <c r="C15" i="15"/>
  <c r="C18" i="15"/>
  <c r="F69" i="15"/>
  <c r="C18" i="80"/>
  <c r="C15" i="80"/>
  <c r="F69" i="80"/>
  <c r="C60" i="15"/>
  <c r="C66" i="15"/>
  <c r="F50" i="68"/>
  <c r="F50" i="11"/>
  <c r="F50" i="69"/>
  <c r="J26" i="82"/>
  <c r="J29" i="82" s="1"/>
  <c r="J24" i="82"/>
  <c r="C47" i="69"/>
  <c r="D45" i="69" s="1"/>
  <c r="C29" i="69"/>
  <c r="D27" i="69" s="1"/>
  <c r="F45" i="69"/>
  <c r="E41" i="36"/>
  <c r="F41" i="36" s="1"/>
  <c r="E40" i="36"/>
  <c r="F40" i="36" s="1"/>
  <c r="E61" i="40"/>
  <c r="D20" i="6"/>
  <c r="H19" i="6"/>
  <c r="D8" i="6"/>
  <c r="L19" i="9"/>
  <c r="D9" i="6"/>
  <c r="D5" i="6"/>
  <c r="D28" i="6"/>
  <c r="D30" i="6" s="1"/>
  <c r="D26" i="6"/>
  <c r="R26" i="6" s="1"/>
  <c r="D25" i="6"/>
  <c r="D24" i="6"/>
  <c r="D23" i="6"/>
  <c r="R23" i="6" s="1"/>
  <c r="D22" i="6"/>
  <c r="R22" i="6" s="1"/>
  <c r="D21" i="6"/>
  <c r="D15" i="6"/>
  <c r="D11" i="6"/>
  <c r="D6" i="6"/>
  <c r="M19" i="9"/>
  <c r="C118" i="9" s="1"/>
  <c r="D14" i="6"/>
  <c r="D10" i="6"/>
  <c r="D29" i="6"/>
  <c r="H26" i="6"/>
  <c r="H25" i="6"/>
  <c r="H24" i="6"/>
  <c r="H23" i="6"/>
  <c r="H22" i="6"/>
  <c r="H21" i="6"/>
  <c r="H20" i="6"/>
  <c r="D19" i="6"/>
  <c r="D13" i="6"/>
  <c r="D12" i="6"/>
  <c r="C14" i="74"/>
  <c r="B2" i="74" s="1"/>
  <c r="C18" i="4"/>
  <c r="U10" i="40"/>
  <c r="AB10" i="40"/>
  <c r="AA10" i="40"/>
  <c r="S10" i="40"/>
  <c r="F41" i="69"/>
  <c r="C26" i="69"/>
  <c r="D22" i="69" s="1"/>
  <c r="C44" i="69"/>
  <c r="D41" i="69" s="1"/>
  <c r="C23" i="11"/>
  <c r="C22" i="11" s="1"/>
  <c r="C44" i="11"/>
  <c r="D41" i="11" s="1"/>
  <c r="C26" i="11"/>
  <c r="D22" i="11" s="1"/>
  <c r="E48" i="21"/>
  <c r="R49" i="21"/>
  <c r="AC46" i="34"/>
  <c r="W46" i="34"/>
  <c r="G42" i="35"/>
  <c r="H42" i="35" s="1"/>
  <c r="G43" i="35"/>
  <c r="H43" i="35" s="1"/>
  <c r="W34" i="34"/>
  <c r="AC34" i="34"/>
  <c r="E40" i="43"/>
  <c r="G40" i="43"/>
  <c r="I40" i="43" s="1"/>
  <c r="E38" i="43"/>
  <c r="G38" i="43"/>
  <c r="I38" i="43" s="1"/>
  <c r="G39" i="43"/>
  <c r="I39" i="43" s="1"/>
  <c r="E39" i="43"/>
  <c r="G63" i="40"/>
  <c r="F65" i="40"/>
  <c r="C53" i="80"/>
  <c r="C48" i="80" s="1"/>
  <c r="C10" i="80"/>
  <c r="C5" i="80" s="1"/>
  <c r="R39" i="35"/>
  <c r="E38" i="35"/>
  <c r="G53" i="33"/>
  <c r="H53" i="33" s="1"/>
  <c r="G52" i="33"/>
  <c r="H52" i="33" s="1"/>
  <c r="I46" i="37"/>
  <c r="J46" i="37" s="1"/>
  <c r="T16" i="1"/>
  <c r="C36" i="36"/>
  <c r="C37" i="36"/>
  <c r="I42" i="35"/>
  <c r="J42" i="35" s="1"/>
  <c r="D20" i="71"/>
  <c r="U20" i="71" s="1"/>
  <c r="T20" i="71"/>
  <c r="C19" i="71"/>
  <c r="AA10" i="39"/>
  <c r="S10" i="39"/>
  <c r="I53" i="21"/>
  <c r="J53" i="21" s="1"/>
  <c r="I52" i="21"/>
  <c r="J52" i="21" s="1"/>
  <c r="U46" i="34"/>
  <c r="AB46" i="34"/>
  <c r="AB34" i="34"/>
  <c r="U34" i="34"/>
  <c r="E48" i="33"/>
  <c r="R49" i="33"/>
  <c r="C23" i="67"/>
  <c r="C29" i="67" s="1"/>
  <c r="G37" i="43"/>
  <c r="I37" i="43" s="1"/>
  <c r="E37" i="43"/>
  <c r="G42" i="43"/>
  <c r="I42" i="43" s="1"/>
  <c r="E42" i="43"/>
  <c r="R43" i="37"/>
  <c r="E42" i="37"/>
  <c r="I47" i="37" s="1"/>
  <c r="J47" i="37" s="1"/>
  <c r="C10" i="67"/>
  <c r="C5" i="67" s="1"/>
  <c r="C38" i="67" s="1"/>
  <c r="C53" i="67"/>
  <c r="C48" i="67" s="1"/>
  <c r="C53" i="82"/>
  <c r="C48" i="82" s="1"/>
  <c r="C10" i="82"/>
  <c r="C5" i="82" s="1"/>
  <c r="C38" i="82" s="1"/>
  <c r="J26" i="67"/>
  <c r="J29" i="67" s="1"/>
  <c r="J24" i="67"/>
  <c r="V49" i="34"/>
  <c r="I49" i="34" s="1"/>
  <c r="C47" i="68"/>
  <c r="D45" i="68" s="1"/>
  <c r="F45" i="68"/>
  <c r="C29" i="68"/>
  <c r="D27" i="68" s="1"/>
  <c r="C10" i="69"/>
  <c r="C8" i="69" s="1"/>
  <c r="C5" i="69" s="1"/>
  <c r="C23" i="69" s="1"/>
  <c r="D19" i="69"/>
  <c r="I52" i="33"/>
  <c r="J52" i="33" s="1"/>
  <c r="I53" i="33"/>
  <c r="J53" i="33" s="1"/>
  <c r="G52" i="21"/>
  <c r="H52" i="21" s="1"/>
  <c r="G53" i="21"/>
  <c r="H53" i="21" s="1"/>
  <c r="I27" i="6"/>
  <c r="S19" i="6"/>
  <c r="S27" i="6" s="1"/>
  <c r="L16" i="1"/>
  <c r="C34" i="68"/>
  <c r="C34" i="11"/>
  <c r="AB10" i="39"/>
  <c r="U10" i="39"/>
  <c r="P36" i="43"/>
  <c r="Q36" i="43"/>
  <c r="O36" i="43"/>
  <c r="M36" i="43"/>
  <c r="N36" i="43"/>
  <c r="L37" i="43"/>
  <c r="G47" i="37"/>
  <c r="H47" i="37" s="1"/>
  <c r="G46" i="37"/>
  <c r="H46" i="37" s="1"/>
  <c r="S34" i="34"/>
  <c r="AA34" i="34"/>
  <c r="G41" i="43"/>
  <c r="I41" i="43" s="1"/>
  <c r="E41" i="43"/>
  <c r="J26" i="80"/>
  <c r="J29" i="80" s="1"/>
  <c r="J24" i="80"/>
  <c r="C47" i="11"/>
  <c r="D45" i="11" s="1"/>
  <c r="C29" i="11"/>
  <c r="D27" i="11" s="1"/>
  <c r="C28" i="11"/>
  <c r="C27" i="11" s="1"/>
  <c r="C10" i="68"/>
  <c r="B29" i="1" s="1"/>
  <c r="C8" i="68" s="1"/>
  <c r="D19" i="68"/>
  <c r="D37" i="68" s="1"/>
  <c r="C37" i="68" s="1"/>
  <c r="F69" i="39"/>
  <c r="G67" i="39"/>
  <c r="W10" i="39"/>
  <c r="AC10" i="39"/>
  <c r="W10" i="40"/>
  <c r="AC10" i="40"/>
  <c r="F41" i="68"/>
  <c r="C24" i="68"/>
  <c r="C26" i="68"/>
  <c r="D22" i="68" s="1"/>
  <c r="C44" i="68"/>
  <c r="D41" i="68" s="1"/>
  <c r="E6" i="3"/>
  <c r="AA46" i="34"/>
  <c r="R49" i="34" s="1"/>
  <c r="S46" i="34"/>
  <c r="C38" i="80" l="1"/>
  <c r="H7" i="70"/>
  <c r="T49" i="34"/>
  <c r="G49" i="34" s="1"/>
  <c r="G54" i="34" s="1"/>
  <c r="H54" i="34" s="1"/>
  <c r="J14" i="82"/>
  <c r="J22" i="82" s="1"/>
  <c r="J59" i="82"/>
  <c r="J60" i="82" s="1"/>
  <c r="L46" i="82" s="1"/>
  <c r="C13" i="82"/>
  <c r="Q49" i="82"/>
  <c r="C36" i="82"/>
  <c r="C19" i="80"/>
  <c r="C20" i="80" s="1"/>
  <c r="C23" i="80" s="1"/>
  <c r="C19" i="15"/>
  <c r="C20" i="15" s="1"/>
  <c r="C23" i="15" s="1"/>
  <c r="G53" i="34"/>
  <c r="H53" i="34" s="1"/>
  <c r="C35" i="11"/>
  <c r="C38" i="11"/>
  <c r="C48" i="33"/>
  <c r="C49" i="33"/>
  <c r="C18" i="12"/>
  <c r="C21" i="12" s="1"/>
  <c r="E43" i="35"/>
  <c r="F43" i="35" s="1"/>
  <c r="E42" i="35"/>
  <c r="F42" i="35" s="1"/>
  <c r="C49" i="21"/>
  <c r="C48" i="21"/>
  <c r="C31" i="11"/>
  <c r="D16" i="6"/>
  <c r="E49" i="34"/>
  <c r="I54" i="34" s="1"/>
  <c r="J54" i="34" s="1"/>
  <c r="R50" i="34"/>
  <c r="O37" i="43"/>
  <c r="Q37" i="43"/>
  <c r="N37" i="43"/>
  <c r="M37" i="43"/>
  <c r="P37" i="43"/>
  <c r="C38" i="68"/>
  <c r="C35" i="68"/>
  <c r="D37" i="69"/>
  <c r="C37" i="69" s="1"/>
  <c r="C33" i="69" s="1"/>
  <c r="C19" i="69"/>
  <c r="C24" i="69" s="1"/>
  <c r="E46" i="37"/>
  <c r="F46" i="37" s="1"/>
  <c r="E47" i="37"/>
  <c r="F47" i="37" s="1"/>
  <c r="E52" i="33"/>
  <c r="F52" i="33" s="1"/>
  <c r="E53" i="33"/>
  <c r="F53" i="33" s="1"/>
  <c r="C39" i="35"/>
  <c r="M3" i="35" s="1"/>
  <c r="C38" i="35"/>
  <c r="G65" i="40"/>
  <c r="H63" i="40"/>
  <c r="E53" i="21"/>
  <c r="F53" i="21" s="1"/>
  <c r="E52" i="21"/>
  <c r="F52" i="21" s="1"/>
  <c r="R24" i="6"/>
  <c r="H27" i="6"/>
  <c r="J13" i="82"/>
  <c r="J23" i="82" s="1"/>
  <c r="H67" i="39"/>
  <c r="G69" i="39"/>
  <c r="I53" i="34"/>
  <c r="J53" i="34" s="1"/>
  <c r="C66" i="82"/>
  <c r="C60" i="82"/>
  <c r="C59" i="82" s="1"/>
  <c r="C42" i="37"/>
  <c r="C43" i="37"/>
  <c r="C4" i="52"/>
  <c r="B45" i="72" s="1"/>
  <c r="A10" i="51"/>
  <c r="B9" i="72" s="1"/>
  <c r="A7" i="51"/>
  <c r="B7" i="72" s="1"/>
  <c r="R19" i="6"/>
  <c r="D27" i="6"/>
  <c r="D31" i="6" s="1"/>
  <c r="R21" i="6"/>
  <c r="R25" i="6"/>
  <c r="R20" i="6"/>
  <c r="R7" i="1" s="1"/>
  <c r="C66" i="67"/>
  <c r="C60" i="67"/>
  <c r="C59" i="67" s="1"/>
  <c r="Q49" i="67"/>
  <c r="J59" i="67"/>
  <c r="J60" i="67" s="1"/>
  <c r="C57" i="67"/>
  <c r="C64" i="67" s="1"/>
  <c r="C36" i="67"/>
  <c r="J14" i="67"/>
  <c r="C13" i="67"/>
  <c r="C18" i="71"/>
  <c r="D19" i="71"/>
  <c r="I43" i="35"/>
  <c r="J43" i="35" s="1"/>
  <c r="C66" i="80"/>
  <c r="C60" i="80"/>
  <c r="D7" i="74"/>
  <c r="D8" i="74"/>
  <c r="M21" i="80"/>
  <c r="F35" i="80"/>
  <c r="C33" i="11" l="1"/>
  <c r="Q48" i="82"/>
  <c r="C75" i="82"/>
  <c r="C56" i="82"/>
  <c r="C65" i="82" s="1"/>
  <c r="C58" i="82" s="1"/>
  <c r="C67" i="82" s="1"/>
  <c r="C68" i="82" s="1"/>
  <c r="C71" i="82" s="1"/>
  <c r="C37" i="82"/>
  <c r="C30" i="82" s="1"/>
  <c r="C39" i="82" s="1"/>
  <c r="Q70" i="82"/>
  <c r="C33" i="68"/>
  <c r="C42" i="68" s="1"/>
  <c r="C20" i="69"/>
  <c r="C25" i="69" s="1"/>
  <c r="C22" i="69" s="1"/>
  <c r="J16" i="82"/>
  <c r="J25" i="82" s="1"/>
  <c r="J20" i="80"/>
  <c r="J17" i="80" s="1"/>
  <c r="C34" i="80"/>
  <c r="C31" i="80" s="1"/>
  <c r="F63" i="80"/>
  <c r="C62" i="80" s="1"/>
  <c r="C59" i="80" s="1"/>
  <c r="C39" i="11"/>
  <c r="C43" i="11" s="1"/>
  <c r="C42" i="11"/>
  <c r="C39" i="69"/>
  <c r="C43" i="69" s="1"/>
  <c r="C42" i="69"/>
  <c r="E53" i="34"/>
  <c r="F53" i="34" s="1"/>
  <c r="E54" i="34"/>
  <c r="F54" i="34" s="1"/>
  <c r="C22" i="12"/>
  <c r="C30" i="12" s="1"/>
  <c r="C28" i="12" s="1"/>
  <c r="Q48" i="67"/>
  <c r="L46" i="67"/>
  <c r="H69" i="39"/>
  <c r="I67" i="39"/>
  <c r="C26" i="80"/>
  <c r="C29" i="80" s="1"/>
  <c r="R6" i="1"/>
  <c r="R27" i="6"/>
  <c r="J22" i="67"/>
  <c r="J13" i="67"/>
  <c r="J23" i="67" s="1"/>
  <c r="D18" i="71"/>
  <c r="C17" i="71"/>
  <c r="I6" i="6"/>
  <c r="G3" i="43" s="1"/>
  <c r="I5" i="6"/>
  <c r="C26" i="15"/>
  <c r="C29" i="15" s="1"/>
  <c r="C56" i="67"/>
  <c r="C65" i="67" s="1"/>
  <c r="C58" i="67" s="1"/>
  <c r="C67" i="67" s="1"/>
  <c r="C68" i="67" s="1"/>
  <c r="C71" i="67" s="1"/>
  <c r="C75" i="67"/>
  <c r="Q70" i="67"/>
  <c r="C37" i="67"/>
  <c r="C30" i="67" s="1"/>
  <c r="C39" i="67" s="1"/>
  <c r="I63" i="40"/>
  <c r="H65" i="40"/>
  <c r="C50" i="34"/>
  <c r="C49" i="34"/>
  <c r="L51" i="82"/>
  <c r="M21" i="15"/>
  <c r="F35" i="15"/>
  <c r="C28" i="69" l="1"/>
  <c r="C27" i="69" s="1"/>
  <c r="C31" i="69" s="1"/>
  <c r="C39" i="68"/>
  <c r="C43" i="68" s="1"/>
  <c r="C41" i="68" s="1"/>
  <c r="Q67" i="82"/>
  <c r="Q69" i="82"/>
  <c r="Q68" i="82" s="1"/>
  <c r="C80" i="82"/>
  <c r="C79" i="82" s="1"/>
  <c r="C40" i="82"/>
  <c r="C46" i="82" s="1"/>
  <c r="C46" i="69"/>
  <c r="C45" i="69" s="1"/>
  <c r="C41" i="69"/>
  <c r="C34" i="15"/>
  <c r="C31" i="15" s="1"/>
  <c r="F63" i="15"/>
  <c r="C62" i="15" s="1"/>
  <c r="C59" i="15" s="1"/>
  <c r="J20" i="15"/>
  <c r="J17" i="15" s="1"/>
  <c r="C40" i="67"/>
  <c r="Q69" i="67"/>
  <c r="Q68" i="67" s="1"/>
  <c r="C13" i="15"/>
  <c r="C36" i="15"/>
  <c r="J14" i="15"/>
  <c r="C57" i="15"/>
  <c r="C64" i="15" s="1"/>
  <c r="Q49" i="15"/>
  <c r="J59" i="15"/>
  <c r="J60" i="15" s="1"/>
  <c r="N94" i="46"/>
  <c r="B116" i="43"/>
  <c r="N370" i="46"/>
  <c r="G26" i="43"/>
  <c r="F26" i="43"/>
  <c r="J26" i="43"/>
  <c r="E26" i="43"/>
  <c r="Z7" i="43"/>
  <c r="H26" i="43"/>
  <c r="R16" i="1"/>
  <c r="C46" i="11"/>
  <c r="C45" i="11" s="1"/>
  <c r="I65" i="40"/>
  <c r="J63" i="40"/>
  <c r="Q49" i="80"/>
  <c r="J14" i="80"/>
  <c r="C13" i="80"/>
  <c r="C57" i="80"/>
  <c r="C64" i="80" s="1"/>
  <c r="J59" i="80"/>
  <c r="J60" i="80" s="1"/>
  <c r="C36" i="80"/>
  <c r="B2" i="34"/>
  <c r="B3" i="34"/>
  <c r="D17" i="71"/>
  <c r="C16" i="71"/>
  <c r="C27" i="12"/>
  <c r="C25" i="12" s="1"/>
  <c r="C32" i="12" s="1"/>
  <c r="B2" i="12" s="1"/>
  <c r="B3" i="12" s="1"/>
  <c r="C80" i="67"/>
  <c r="C79" i="67" s="1"/>
  <c r="J16" i="67"/>
  <c r="J25" i="67" s="1"/>
  <c r="I69" i="39"/>
  <c r="J67" i="39"/>
  <c r="C41" i="11"/>
  <c r="C49" i="11" s="1"/>
  <c r="C51" i="11" s="1"/>
  <c r="L51" i="67"/>
  <c r="C20" i="9"/>
  <c r="C19" i="9"/>
  <c r="C46" i="68" l="1"/>
  <c r="C45" i="68" s="1"/>
  <c r="C49" i="68" s="1"/>
  <c r="C51" i="68" s="1"/>
  <c r="Q65" i="82"/>
  <c r="Q75" i="82" s="1"/>
  <c r="C83" i="82"/>
  <c r="C82" i="82" s="1"/>
  <c r="Q56" i="82"/>
  <c r="Q62" i="82" s="1"/>
  <c r="C43" i="82"/>
  <c r="Q47" i="82"/>
  <c r="Q53" i="82" s="1"/>
  <c r="B2" i="82"/>
  <c r="B3" i="82" s="1"/>
  <c r="C49" i="69"/>
  <c r="C51" i="69" s="1"/>
  <c r="C52" i="69" s="1"/>
  <c r="B2" i="69" s="1"/>
  <c r="B3" i="69" s="1"/>
  <c r="C21" i="9"/>
  <c r="C102" i="9"/>
  <c r="Q67" i="67"/>
  <c r="L57" i="67"/>
  <c r="L60" i="67" s="1"/>
  <c r="C103" i="9"/>
  <c r="Q70" i="80"/>
  <c r="C37" i="80"/>
  <c r="C30" i="80" s="1"/>
  <c r="C39" i="80" s="1"/>
  <c r="C56" i="80"/>
  <c r="C65" i="80" s="1"/>
  <c r="C58" i="80" s="1"/>
  <c r="C67" i="80" s="1"/>
  <c r="C68" i="80" s="1"/>
  <c r="C75" i="80"/>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C52" i="11"/>
  <c r="B2" i="11" s="1"/>
  <c r="B3" i="11" s="1"/>
  <c r="T16" i="71"/>
  <c r="D16" i="71"/>
  <c r="C15" i="71"/>
  <c r="J13" i="80"/>
  <c r="J23" i="80" s="1"/>
  <c r="J22" i="80"/>
  <c r="J22" i="15"/>
  <c r="J13" i="15"/>
  <c r="J23" i="15" s="1"/>
  <c r="K67" i="39"/>
  <c r="J69" i="39"/>
  <c r="Q48" i="80"/>
  <c r="L46" i="80"/>
  <c r="D26" i="43"/>
  <c r="C25" i="43" s="1"/>
  <c r="Q48" i="15"/>
  <c r="L46" i="15"/>
  <c r="C45" i="67"/>
  <c r="C46" i="67" s="1"/>
  <c r="Q65" i="67"/>
  <c r="C43" i="67"/>
  <c r="D2" i="67"/>
  <c r="Q47" i="67"/>
  <c r="Q53" i="67" s="1"/>
  <c r="Q56" i="67"/>
  <c r="C83" i="67"/>
  <c r="C82" i="67" s="1"/>
  <c r="K63" i="40"/>
  <c r="J65" i="40"/>
  <c r="Q70" i="15"/>
  <c r="C37" i="15"/>
  <c r="C30" i="15" s="1"/>
  <c r="C39" i="15" s="1"/>
  <c r="C56" i="15"/>
  <c r="C65" i="15" s="1"/>
  <c r="C58" i="15" s="1"/>
  <c r="C67" i="15" s="1"/>
  <c r="C68" i="15" s="1"/>
  <c r="C71" i="15" s="1"/>
  <c r="C75" i="15"/>
  <c r="C80" i="80" l="1"/>
  <c r="C79" i="80" s="1"/>
  <c r="J16" i="15"/>
  <c r="J25" i="15" s="1"/>
  <c r="J26" i="15" s="1"/>
  <c r="J29" i="15" s="1"/>
  <c r="J16" i="80"/>
  <c r="J25" i="80" s="1"/>
  <c r="C57" i="69"/>
  <c r="C56" i="69" s="1"/>
  <c r="C71" i="80"/>
  <c r="Q66" i="67"/>
  <c r="Q75" i="67" s="1"/>
  <c r="Q57" i="67"/>
  <c r="Q62" i="67" s="1"/>
  <c r="Q69" i="15"/>
  <c r="Q68" i="15" s="1"/>
  <c r="C40" i="15"/>
  <c r="U16" i="71"/>
  <c r="M23" i="43"/>
  <c r="C33" i="43"/>
  <c r="K69" i="39"/>
  <c r="L67" i="39"/>
  <c r="C80" i="15"/>
  <c r="C79" i="15" s="1"/>
  <c r="C118" i="43"/>
  <c r="D116" i="43"/>
  <c r="K65" i="40"/>
  <c r="L63" i="40"/>
  <c r="B2" i="67"/>
  <c r="B3" i="67"/>
  <c r="C14" i="71"/>
  <c r="D15" i="71"/>
  <c r="C56" i="11"/>
  <c r="C57" i="11" s="1"/>
  <c r="Q69" i="80"/>
  <c r="Q68" i="80" s="1"/>
  <c r="C40" i="80"/>
  <c r="L51" i="15"/>
  <c r="L51" i="80"/>
  <c r="Q67" i="80" l="1"/>
  <c r="Q67" i="15"/>
  <c r="Q56" i="80"/>
  <c r="Q62" i="80" s="1"/>
  <c r="C43" i="80"/>
  <c r="B2" i="80"/>
  <c r="Q65" i="80"/>
  <c r="Q75" i="80" s="1"/>
  <c r="Q47" i="80"/>
  <c r="Q53" i="80" s="1"/>
  <c r="C83" i="80"/>
  <c r="C82" i="80" s="1"/>
  <c r="L65" i="40"/>
  <c r="M63" i="40"/>
  <c r="D14" i="71"/>
  <c r="C13" i="71"/>
  <c r="M67" i="39"/>
  <c r="L69" i="39"/>
  <c r="C34" i="43"/>
  <c r="E34" i="43" s="1"/>
  <c r="C31" i="43" s="1"/>
  <c r="E33" i="43"/>
  <c r="C30" i="43" s="1"/>
  <c r="C46" i="15"/>
  <c r="Q47" i="15"/>
  <c r="Q53" i="15" s="1"/>
  <c r="C43" i="15"/>
  <c r="Q56" i="15"/>
  <c r="Q62" i="15" s="1"/>
  <c r="B2" i="15"/>
  <c r="Q65" i="15"/>
  <c r="Q75" i="15" s="1"/>
  <c r="C83" i="15"/>
  <c r="C82" i="15" s="1"/>
  <c r="C46" i="80"/>
  <c r="AO7" i="1"/>
  <c r="AO6" i="1"/>
  <c r="E6" i="76"/>
  <c r="E2" i="76" l="1"/>
  <c r="B6" i="70"/>
  <c r="B7" i="70"/>
  <c r="B2" i="43"/>
  <c r="D13" i="71"/>
  <c r="C12" i="71"/>
  <c r="M65" i="40"/>
  <c r="N63" i="40"/>
  <c r="B3" i="15"/>
  <c r="M69" i="39"/>
  <c r="N67" i="39"/>
  <c r="B3" i="80"/>
  <c r="B6" i="76"/>
  <c r="B2" i="76" l="1"/>
  <c r="B3" i="76" s="1"/>
  <c r="O63" i="40"/>
  <c r="O65" i="40" s="1"/>
  <c r="N65" i="40"/>
  <c r="B3" i="43"/>
  <c r="O67" i="39"/>
  <c r="O69" i="39" s="1"/>
  <c r="N69" i="39"/>
  <c r="T12" i="71"/>
  <c r="D12" i="71"/>
  <c r="U12" i="71" s="1"/>
  <c r="C11" i="71"/>
  <c r="B2" i="70"/>
  <c r="D19" i="9"/>
  <c r="D21" i="9" l="1"/>
  <c r="D102" i="9"/>
  <c r="D22" i="9"/>
  <c r="G19" i="9"/>
  <c r="D11" i="71"/>
  <c r="C10" i="71"/>
  <c r="H7" i="40"/>
  <c r="J7" i="40"/>
  <c r="F7" i="40"/>
  <c r="B3" i="70"/>
  <c r="F7" i="39"/>
  <c r="H7" i="39"/>
  <c r="J7" i="39"/>
  <c r="C7" i="68"/>
  <c r="C5" i="68"/>
  <c r="D20" i="9"/>
  <c r="D103" i="9" l="1"/>
  <c r="G20" i="9"/>
  <c r="C32" i="9" s="1"/>
  <c r="C35" i="9" s="1"/>
  <c r="C34" i="9" s="1"/>
  <c r="AA7" i="39"/>
  <c r="R47" i="39" s="1"/>
  <c r="S7" i="39"/>
  <c r="AB7" i="40"/>
  <c r="T42" i="40" s="1"/>
  <c r="G42" i="40" s="1"/>
  <c r="U7" i="40"/>
  <c r="C9" i="71"/>
  <c r="D10" i="71"/>
  <c r="AB7" i="39"/>
  <c r="T47" i="39" s="1"/>
  <c r="G47" i="39" s="1"/>
  <c r="U7" i="39"/>
  <c r="W7" i="40"/>
  <c r="AC7" i="40"/>
  <c r="V42" i="40" s="1"/>
  <c r="I42" i="40" s="1"/>
  <c r="F37" i="6"/>
  <c r="F36" i="6" s="1"/>
  <c r="D14" i="74"/>
  <c r="G21" i="9"/>
  <c r="C20" i="68"/>
  <c r="C25" i="68" s="1"/>
  <c r="C23" i="68"/>
  <c r="W7" i="39"/>
  <c r="AC7" i="39"/>
  <c r="V47" i="39" s="1"/>
  <c r="I47" i="39" s="1"/>
  <c r="AA7" i="40"/>
  <c r="R42" i="40" s="1"/>
  <c r="S7" i="40"/>
  <c r="I51" i="39" l="1"/>
  <c r="J51" i="39" s="1"/>
  <c r="I46" i="40"/>
  <c r="J46" i="40" s="1"/>
  <c r="I47" i="40"/>
  <c r="J47" i="40" s="1"/>
  <c r="D9" i="71"/>
  <c r="C8" i="71"/>
  <c r="R48" i="39"/>
  <c r="E47" i="39"/>
  <c r="C22" i="68"/>
  <c r="E14" i="74"/>
  <c r="B5" i="74"/>
  <c r="G14" i="74"/>
  <c r="B6" i="74" s="1"/>
  <c r="F14" i="74"/>
  <c r="E42" i="40"/>
  <c r="R43" i="40"/>
  <c r="C28" i="68"/>
  <c r="C27" i="68" s="1"/>
  <c r="G52" i="39"/>
  <c r="H52" i="39" s="1"/>
  <c r="G51" i="39"/>
  <c r="H51" i="39" s="1"/>
  <c r="G47" i="40"/>
  <c r="H47" i="40" s="1"/>
  <c r="G46" i="40"/>
  <c r="H46" i="40" s="1"/>
  <c r="D6" i="74" l="1"/>
  <c r="E51" i="39"/>
  <c r="F51" i="39" s="1"/>
  <c r="E52" i="39"/>
  <c r="F52" i="39" s="1"/>
  <c r="C42" i="40"/>
  <c r="C43" i="40"/>
  <c r="D5" i="74"/>
  <c r="C47" i="39"/>
  <c r="C48" i="39"/>
  <c r="E46" i="40"/>
  <c r="F46" i="40" s="1"/>
  <c r="E47" i="40"/>
  <c r="F47" i="40" s="1"/>
  <c r="D8" i="71"/>
  <c r="C7" i="71"/>
  <c r="I52" i="39"/>
  <c r="J52" i="39" s="1"/>
  <c r="C31" i="68"/>
  <c r="C52" i="68" s="1"/>
  <c r="B2" i="68" l="1"/>
  <c r="B3" i="68" s="1"/>
  <c r="C57" i="68"/>
  <c r="C56" i="68" s="1"/>
  <c r="C6" i="71"/>
  <c r="D7" i="71"/>
  <c r="B59" i="39"/>
  <c r="F59" i="39" s="1"/>
  <c r="B64" i="39"/>
  <c r="F64" i="39" s="1"/>
  <c r="B63" i="39"/>
  <c r="F63" i="39" s="1"/>
  <c r="B62" i="39"/>
  <c r="F62" i="39" s="1"/>
  <c r="B58" i="39"/>
  <c r="F58" i="39" s="1"/>
  <c r="B60" i="39"/>
  <c r="F60" i="39" s="1"/>
  <c r="B61" i="39"/>
  <c r="F61" i="39" s="1"/>
  <c r="B57" i="39"/>
  <c r="F57" i="39" s="1"/>
  <c r="B56" i="39"/>
  <c r="F56" i="39" s="1"/>
  <c r="F65" i="39" s="1"/>
  <c r="B2" i="39" s="1"/>
  <c r="B3" i="39" s="1"/>
  <c r="F61" i="40"/>
  <c r="B2" i="40" s="1"/>
  <c r="B3" i="40" s="1"/>
  <c r="B54" i="40"/>
  <c r="F54" i="40" s="1"/>
  <c r="B58" i="40"/>
  <c r="F58" i="40" s="1"/>
  <c r="B57" i="40"/>
  <c r="F57" i="40" s="1"/>
  <c r="B53" i="40"/>
  <c r="F53" i="40" s="1"/>
  <c r="B52" i="40"/>
  <c r="F52" i="40" s="1"/>
  <c r="B56" i="40"/>
  <c r="F56" i="40" s="1"/>
  <c r="B60" i="40"/>
  <c r="F60" i="40" s="1"/>
  <c r="B51" i="40"/>
  <c r="F51" i="40" s="1"/>
  <c r="B59" i="40"/>
  <c r="F59" i="40" s="1"/>
  <c r="D6" i="71" l="1"/>
  <c r="C5" i="71"/>
  <c r="D5" i="71" l="1"/>
  <c r="M24" i="43"/>
  <c r="C6" i="74" l="1"/>
  <c r="B53" i="72"/>
  <c r="D52" i="9"/>
  <c r="D53" i="9"/>
  <c r="B30" i="72"/>
  <c r="H4" i="52"/>
  <c r="C104" i="9"/>
  <c r="M68" i="9"/>
  <c r="C78" i="9"/>
  <c r="C73" i="9"/>
  <c r="B20" i="72"/>
  <c r="B51" i="72"/>
  <c r="C5" i="74"/>
  <c r="E97" i="9"/>
  <c r="D8" i="52"/>
  <c r="L68" i="9"/>
  <c r="E81" i="9"/>
  <c r="B49" i="72"/>
  <c r="C68" i="9"/>
  <c r="D54" i="9"/>
  <c r="M48" i="9"/>
  <c r="L67" i="9"/>
  <c r="M67" i="9"/>
  <c r="G4" i="52"/>
  <c r="B52" i="72"/>
  <c r="D119" i="9"/>
  <c r="D5" i="52"/>
  <c r="D15" i="53"/>
  <c r="B31" i="72"/>
  <c r="D14" i="53"/>
  <c r="B32" i="72"/>
  <c r="H119" i="9"/>
  <c r="H5" i="52"/>
  <c r="P57" i="9"/>
  <c r="N58" i="9"/>
  <c r="N60" i="9"/>
  <c r="N59" i="9"/>
  <c r="N61" i="9"/>
  <c r="D4" i="52"/>
  <c r="B47" i="72"/>
  <c r="D5" i="53"/>
  <c r="D6" i="53"/>
  <c r="B22" i="72"/>
  <c r="C97" i="9"/>
  <c r="D58" i="9"/>
  <c r="D56" i="9"/>
  <c r="M54" i="9"/>
  <c r="D7" i="53"/>
  <c r="B21" i="72"/>
  <c r="F4" i="52"/>
  <c r="D123" i="9"/>
  <c r="D9" i="52"/>
  <c r="D118" i="9"/>
  <c r="I4" i="52"/>
  <c r="C105" i="9"/>
  <c r="H102" i="9"/>
  <c r="G118" i="9"/>
  <c r="F118" i="9"/>
  <c r="F119" i="9"/>
  <c r="F5" i="52"/>
  <c r="C81" i="9"/>
  <c r="C85" i="9"/>
  <c r="C95" i="9"/>
  <c r="C96" i="9"/>
  <c r="E96" i="9"/>
  <c r="D122" i="9"/>
  <c r="D13" i="53"/>
  <c r="H108" i="9"/>
  <c r="L65" i="9"/>
  <c r="M65" i="9"/>
  <c r="D55" i="9"/>
  <c r="M53" i="9"/>
  <c r="N57" i="9"/>
  <c r="C64" i="9"/>
  <c r="C63" i="9"/>
  <c r="C67" i="9"/>
  <c r="D59" i="9"/>
  <c r="M55" i="9"/>
  <c r="L64" i="9"/>
  <c r="M64" i="9"/>
  <c r="C93" i="9"/>
  <c r="C86" i="9"/>
  <c r="L66" i="9"/>
  <c r="M66" i="9"/>
  <c r="H107" i="9"/>
  <c r="M49" i="9"/>
  <c r="L63" i="9"/>
  <c r="M63" i="9"/>
  <c r="M69" i="9"/>
  <c r="N69" i="9"/>
  <c r="H101" i="9"/>
  <c r="D45" i="9"/>
  <c r="C72" i="9"/>
  <c r="C79" i="9"/>
  <c r="C80" i="9"/>
  <c r="E80" i="9"/>
  <c r="H118" i="9"/>
  <c r="I118" i="9"/>
  <c r="E118" i="9"/>
  <c r="E4" i="52"/>
  <c r="B4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tc={474E59FE-0F80-4FEA-ACEA-0A65861EC0D9}</author>
    <author>tc={354245B6-BA3A-4069-8FB6-AC1F15900081}</author>
    <author>tc={D34ADE7A-381E-44BD-9408-29873546FDEF}</author>
    <author>tc={1D405024-EB1B-4CA8-AE61-CC60B84E72CA}</author>
    <author>tc={476EF66D-E9D6-4D92-959A-C00AFDD1912F}</author>
    <author>tc={FB5B382B-FBD2-4779-95C7-6A20EFA7DF74}</author>
    <author>tc={A6C72ACB-C920-4DB8-8BA5-D079EB0AE396}</author>
  </authors>
  <commentList>
    <comment ref="J3" authorId="0">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按B1未分摊的建筑面积暂扣</t>
        </r>
      </text>
    </comment>
    <comment ref="L9" authorId="1">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 ref="L27" authorId="2">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根据国资备案表调整</t>
        </r>
      </text>
    </comment>
    <comment ref="O33" authorId="3">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季报</t>
        </r>
      </text>
    </comment>
    <comment ref="O39" authorId="4">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报道推测</t>
        </r>
      </text>
    </comment>
    <comment ref="K49" authorId="5">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12#1845.15㎡按楼层平均分摊</t>
        </r>
      </text>
    </comment>
    <comment ref="L57" authorId="6">
      <text>
        <r>
          <rPr>
            <sz val="11"/>
            <color rgb="FF000000"/>
            <rFont val="宋体"/>
            <family val="3"/>
            <charset val="134"/>
            <scheme val="minor"/>
          </rPr>
          <t>[线程批注]
你的Excel版本可读取此线程批注; 但如果在更新版本的Excel中打开文件，则对批注所作的任何改动都将被删除。了解详细信息: https://go.microsoft.com/fwlink/?linkid=870924
注释:
    公告中标价</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<sst xmlns="http://schemas.openxmlformats.org/spreadsheetml/2006/main" count="11040" uniqueCount="3401">
  <si>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</si>
  <si>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</si>
  <si>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</si>
  <si>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</si>
  <si>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</si>
  <si>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</si>
  <si>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</si>
  <si>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</si>
  <si>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</si>
  <si>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</si>
  <si>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</si>
  <si>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</si>
  <si>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</si>
  <si>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</si>
  <si>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</si>
  <si>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</si>
  <si>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</si>
  <si>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</si>
  <si>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</si>
  <si>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</si>
  <si>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</si>
  <si>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</si>
  <si>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</si>
  <si>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</si>
  <si>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</si>
  <si>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</si>
  <si>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</si>
  <si>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</si>
  <si>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</si>
  <si>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</si>
  <si>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</si>
  <si>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</si>
  <si>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</si>
  <si>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</si>
  <si>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</si>
  <si>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</si>
  <si>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</si>
  <si>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</si>
  <si>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</si>
  <si>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</si>
  <si>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</si>
  <si>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</si>
  <si>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</si>
  <si>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</si>
  <si>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</si>
  <si>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</si>
  <si>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</si>
  <si>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</si>
  <si>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</si>
  <si>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</si>
  <si>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</si>
  <si>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</si>
  <si>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</si>
  <si>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</si>
  <si>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</si>
  <si>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</si>
  <si>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</si>
  <si>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</si>
  <si>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</si>
  <si>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</si>
  <si>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</si>
  <si>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</si>
  <si>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</si>
  <si>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</si>
  <si>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</si>
  <si>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</si>
  <si>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</si>
  <si>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</si>
  <si>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</si>
  <si>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</si>
  <si>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</si>
  <si>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</si>
  <si>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</si>
  <si>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</si>
  <si>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</si>
  <si>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</si>
  <si>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</si>
  <si>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</si>
  <si>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</si>
  <si>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</si>
  <si>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</si>
  <si>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</si>
  <si>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</si>
  <si>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</si>
  <si>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</si>
  <si>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</si>
  <si>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</si>
  <si>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</si>
  <si>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</si>
  <si>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</si>
  <si>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</si>
  <si>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</si>
  <si>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</si>
  <si>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</si>
  <si>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</si>
  <si>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</si>
  <si>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</si>
  <si>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</si>
  <si>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</si>
  <si>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</si>
  <si>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</si>
  <si>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</si>
  <si>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</si>
  <si>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</si>
  <si>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</si>
  <si>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</si>
  <si>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</si>
  <si>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</si>
  <si>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</si>
  <si>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</si>
  <si>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</si>
  <si>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</si>
  <si>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</si>
  <si>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</si>
  <si>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</si>
  <si>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</si>
  <si>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</si>
  <si>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</si>
  <si>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</si>
  <si>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</si>
  <si>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</si>
  <si>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</si>
  <si>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</si>
  <si>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</si>
  <si>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</si>
  <si>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</si>
  <si>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</si>
  <si>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</si>
  <si>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</si>
  <si>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</si>
  <si>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</si>
  <si>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</si>
  <si>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</si>
  <si>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</si>
  <si>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</si>
  <si>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</si>
  <si>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</si>
  <si>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</si>
  <si>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</si>
  <si>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</si>
  <si>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</si>
  <si>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</si>
  <si>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</si>
  <si>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</si>
  <si>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</si>
  <si>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</si>
  <si>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</si>
  <si>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</si>
  <si>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</si>
  <si>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</si>
  <si>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</si>
  <si>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</si>
  <si>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</si>
  <si>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</si>
  <si>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</si>
  <si>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</si>
  <si>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</si>
  <si>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</si>
  <si>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</si>
  <si>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</si>
  <si>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</si>
  <si>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</si>
  <si>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</si>
  <si>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</si>
  <si>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</si>
  <si>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</si>
  <si>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</si>
  <si>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</si>
  <si>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</si>
  <si>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</si>
  <si>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</si>
  <si>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</si>
  <si>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</si>
  <si>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</si>
  <si>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</si>
  <si>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</si>
  <si>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</si>
  <si>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</si>
  <si>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</si>
  <si>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</si>
  <si>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</si>
  <si>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</si>
  <si>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</si>
  <si>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</si>
  <si>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</si>
  <si>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</si>
  <si>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</si>
  <si>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</si>
  <si>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</si>
  <si>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</si>
  <si>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</si>
  <si>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</si>
  <si>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</si>
  <si>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</si>
  <si>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</si>
  <si>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</si>
  <si>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</si>
  <si>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</si>
  <si>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</si>
  <si>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</si>
  <si>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</si>
  <si>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</si>
  <si>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</si>
  <si>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</si>
  <si>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</si>
  <si>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</si>
  <si>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</si>
  <si>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</si>
  <si>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</si>
  <si>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</si>
  <si>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</si>
  <si>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</si>
  <si>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</si>
  <si>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</si>
  <si>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</si>
  <si>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</si>
  <si>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</si>
  <si>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</si>
  <si>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</si>
  <si>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</si>
  <si>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</si>
  <si>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</si>
  <si>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</si>
  <si>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</si>
  <si>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</si>
  <si>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</si>
  <si>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</si>
  <si>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</si>
  <si>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</si>
  <si>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</si>
  <si>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</si>
  <si>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</si>
  <si>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</si>
  <si>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</si>
  <si>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</si>
  <si>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</si>
  <si>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</si>
  <si>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</si>
  <si>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</si>
  <si>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</si>
  <si>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</si>
  <si>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</si>
  <si>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</si>
  <si>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</si>
  <si>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</si>
  <si>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</si>
  <si>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</si>
  <si>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</si>
  <si>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</si>
  <si>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</si>
  <si>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</si>
  <si>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</si>
  <si>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</si>
  <si>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</si>
  <si>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</si>
  <si>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</si>
  <si>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</si>
  <si>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</si>
  <si>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</si>
  <si>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</si>
  <si>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</si>
  <si>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</si>
  <si>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</si>
  <si>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</si>
  <si>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</si>
  <si>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</si>
  <si>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</si>
  <si>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</si>
  <si>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</si>
  <si>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</si>
  <si>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</si>
  <si>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</si>
  <si>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</si>
  <si>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</si>
  <si>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</si>
  <si>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</si>
  <si>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</si>
  <si>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</si>
  <si>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</si>
  <si>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</si>
  <si>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</si>
  <si>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</si>
  <si>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</si>
  <si>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</si>
  <si>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</si>
  <si>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</si>
  <si>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</si>
  <si>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</si>
  <si>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</si>
  <si>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</si>
  <si>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</si>
  <si>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</si>
  <si>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</si>
  <si>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</si>
  <si>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</si>
  <si>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</si>
  <si>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</si>
  <si>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</si>
  <si>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</si>
  <si>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</si>
  <si>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</si>
  <si>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</si>
  <si>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</si>
  <si>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</si>
  <si>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</si>
  <si>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</si>
  <si>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</si>
  <si>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</si>
  <si>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</si>
  <si>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</si>
  <si>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</si>
  <si>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</si>
  <si>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</si>
  <si>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</si>
  <si>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</si>
  <si>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</si>
  <si>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</si>
  <si>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</si>
  <si>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</si>
  <si>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</si>
  <si>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</si>
  <si>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</si>
  <si>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</si>
  <si>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</si>
  <si>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</si>
  <si>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</si>
  <si>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</si>
  <si>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</si>
  <si>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</si>
  <si>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</si>
  <si>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</si>
  <si>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</si>
  <si>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</si>
  <si>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</si>
  <si>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</si>
  <si>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</si>
  <si>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</si>
  <si>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</si>
  <si>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</si>
  <si>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</si>
  <si>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</si>
  <si>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</si>
  <si>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</si>
  <si>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</si>
  <si>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</si>
  <si>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</si>
  <si>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</si>
  <si>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</si>
  <si>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</si>
  <si>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</si>
  <si>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</si>
  <si>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</si>
  <si>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</si>
  <si>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车库-收益法</t>
  </si>
  <si>
    <r>
      <rPr>
        <sz val="11"/>
        <color indexed="8"/>
        <rFont val="宋体"/>
        <family val="3"/>
        <charset val="134"/>
        <scheme val="minor"/>
      </rPr>
      <t>食堂</t>
    </r>
  </si>
  <si>
    <t>办公-收益法</t>
  </si>
  <si>
    <t>商业-收益法</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</si>
  <si>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</si>
  <si>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</si>
  <si>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</si>
  <si>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</si>
  <si>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</si>
  <si>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</si>
  <si>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</si>
  <si>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</si>
  <si>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</si>
  <si>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</si>
  <si>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</si>
  <si>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</si>
  <si>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</si>
  <si>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</si>
  <si>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</si>
  <si>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</si>
  <si>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</si>
  <si>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</si>
  <si>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</si>
  <si>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</si>
  <si>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</si>
  <si>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</si>
  <si>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</si>
  <si>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</si>
  <si>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</si>
  <si>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</si>
  <si>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</si>
  <si>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</si>
  <si>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</si>
  <si>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</si>
  <si>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</si>
  <si>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</si>
  <si>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</si>
  <si>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</si>
  <si>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</si>
  <si>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</si>
  <si>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</si>
  <si>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</si>
  <si>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</si>
  <si>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</si>
  <si>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</si>
  <si>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</si>
  <si>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</si>
  <si>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</si>
  <si>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</si>
  <si>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</si>
  <si>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</si>
  <si>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</si>
  <si>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</si>
  <si>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</si>
  <si>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</si>
  <si>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</si>
  <si>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</si>
  <si>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</si>
  <si>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</si>
  <si>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</si>
  <si>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</si>
  <si>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</si>
  <si>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</si>
  <si>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</si>
  <si>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</si>
  <si>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</si>
  <si>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</si>
  <si>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</si>
  <si>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</si>
  <si>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</si>
  <si>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</si>
  <si>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</si>
  <si>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</si>
  <si>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</si>
  <si>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</si>
  <si>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</si>
  <si>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</si>
  <si>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</si>
  <si>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</si>
  <si>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</si>
  <si>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</si>
  <si>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</si>
  <si>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</si>
  <si>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</si>
  <si>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</si>
  <si>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</si>
  <si>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</si>
  <si>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</si>
  <si>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</si>
  <si>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</si>
  <si>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</si>
  <si>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</si>
  <si>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</si>
  <si>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</si>
  <si>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</si>
  <si>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</si>
  <si>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</si>
  <si>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</si>
  <si>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</si>
  <si>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</si>
  <si>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</si>
  <si>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</si>
  <si>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</si>
  <si>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</si>
  <si>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</si>
  <si>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</si>
  <si>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</si>
  <si>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</si>
  <si>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</si>
  <si>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</si>
  <si>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</si>
  <si>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</si>
  <si>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</si>
  <si>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</si>
  <si>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</si>
  <si>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</si>
  <si>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</si>
  <si>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</si>
  <si>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</si>
  <si>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</si>
  <si>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</si>
  <si>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</si>
  <si>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</si>
  <si>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</si>
  <si>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</si>
  <si>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</si>
  <si>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</si>
  <si>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</si>
  <si>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</si>
  <si>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</si>
  <si>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</si>
  <si>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</si>
  <si>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</si>
  <si>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</si>
  <si>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</si>
  <si>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</si>
  <si>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</si>
  <si>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</si>
  <si>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</si>
  <si>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</si>
  <si>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</si>
  <si>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</si>
  <si>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</si>
  <si>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</si>
  <si>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</si>
  <si>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</si>
  <si>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</si>
  <si>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</si>
  <si>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</si>
  <si>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</si>
  <si>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</si>
  <si>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</si>
  <si>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</si>
  <si>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</si>
  <si>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</si>
  <si>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</si>
  <si>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</si>
  <si>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</si>
  <si>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</si>
  <si>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</si>
  <si>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</si>
  <si>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</si>
  <si>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</si>
  <si>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</si>
  <si>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</si>
  <si>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</si>
  <si>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</si>
  <si>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</si>
  <si>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</si>
  <si>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</si>
  <si>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</si>
  <si>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</si>
  <si>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</si>
  <si>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</si>
  <si>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</si>
  <si>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</si>
  <si>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</si>
  <si>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</si>
  <si>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</si>
  <si>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</si>
  <si>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</si>
  <si>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</si>
  <si>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</si>
  <si>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</si>
  <si>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</si>
  <si>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</si>
  <si>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</si>
  <si>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</si>
  <si>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</si>
  <si>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</si>
  <si>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</si>
  <si>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</si>
  <si>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</si>
  <si>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</si>
  <si>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</si>
  <si>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</si>
  <si>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</si>
  <si>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</si>
  <si>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</si>
  <si>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</si>
  <si>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</si>
  <si>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</si>
  <si>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</si>
  <si>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</si>
  <si>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</si>
  <si>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</si>
  <si>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</si>
  <si>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</si>
  <si>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</si>
  <si>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</si>
  <si>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</si>
  <si>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</si>
  <si>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</si>
  <si>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</si>
  <si>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</si>
  <si>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</si>
  <si>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</si>
  <si>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</si>
  <si>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</si>
  <si>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</si>
  <si>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</si>
  <si>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</si>
  <si>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</si>
  <si>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</si>
  <si>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</si>
  <si>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</si>
  <si>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</si>
  <si>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</si>
  <si>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</si>
  <si>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</si>
  <si>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</si>
  <si>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</si>
  <si>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</si>
  <si>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</si>
  <si>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</si>
  <si>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</si>
  <si>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</si>
  <si>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</si>
  <si>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</si>
  <si>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</si>
  <si>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</si>
  <si>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</si>
  <si>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</si>
  <si>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</si>
  <si>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</si>
  <si>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</si>
  <si>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</si>
  <si>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</si>
  <si>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</si>
  <si>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</si>
  <si>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</si>
  <si>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</si>
  <si>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</si>
  <si>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</si>
  <si>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</si>
  <si>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</si>
  <si>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</si>
  <si>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</si>
  <si>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</si>
  <si>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</si>
  <si>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</si>
  <si>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</si>
  <si>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</si>
  <si>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</si>
  <si>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</si>
  <si>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</si>
  <si>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</si>
  <si>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</si>
  <si>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</si>
  <si>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</si>
  <si>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</si>
  <si>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</si>
  <si>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</si>
  <si>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</si>
  <si>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</si>
  <si>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</si>
  <si>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</si>
  <si>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</si>
  <si>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</si>
  <si>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</si>
  <si>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</si>
  <si>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</si>
  <si>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</si>
  <si>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</si>
  <si>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</si>
  <si>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</si>
  <si>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</si>
  <si>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</si>
  <si>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</si>
  <si>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</si>
  <si>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</si>
  <si>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</si>
  <si>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</si>
  <si>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</si>
  <si>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</si>
  <si>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</si>
  <si>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</si>
  <si>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</si>
  <si>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</si>
  <si>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</si>
  <si>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</si>
  <si>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</si>
  <si>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</si>
  <si>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</si>
  <si>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</si>
  <si>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</si>
  <si>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</si>
  <si>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</si>
  <si>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</si>
  <si>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</si>
  <si>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</si>
  <si>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</si>
  <si>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</si>
  <si>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</si>
  <si>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</si>
  <si>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</si>
  <si>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</si>
  <si>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</si>
  <si>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</si>
  <si>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</si>
  <si>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</si>
  <si>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</si>
  <si>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</si>
  <si>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</si>
  <si>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</si>
  <si>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</si>
  <si>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</si>
  <si>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</si>
  <si>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</si>
  <si>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</si>
  <si>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</si>
  <si>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</si>
  <si>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</si>
  <si>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</si>
  <si>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</si>
  <si>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</si>
  <si>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</si>
  <si>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</si>
  <si>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</si>
  <si>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</si>
  <si>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</si>
  <si>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</si>
  <si>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</si>
  <si>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</si>
  <si>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</si>
  <si>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</si>
  <si>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</si>
  <si>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</si>
  <si>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</si>
  <si>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</si>
  <si>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sz val="10"/>
        <color indexed="8"/>
        <rFont val="Arial"/>
        <family val="2"/>
      </rPr>
      <t>2029</t>
    </r>
    <r>
      <rPr>
        <sz val="10"/>
        <color indexed="8"/>
        <rFont val="宋体"/>
        <family val="3"/>
        <charset val="134"/>
      </rPr>
      <t>年后</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</si>
  <si>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</si>
  <si>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</si>
  <si>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</si>
  <si>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</si>
  <si>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</si>
  <si>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</si>
  <si>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</si>
  <si>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</si>
  <si>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</si>
  <si>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</si>
  <si>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</si>
  <si>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</si>
  <si>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</si>
  <si>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</si>
  <si>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</si>
  <si>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</si>
  <si>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</si>
  <si>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</si>
  <si>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</si>
  <si>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</si>
  <si>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</si>
  <si>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</si>
  <si>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</si>
  <si>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</si>
  <si>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</si>
  <si>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</si>
  <si>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</si>
  <si>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</si>
  <si>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</si>
  <si>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</si>
  <si>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</si>
  <si>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</si>
  <si>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</si>
  <si>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</si>
  <si>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</si>
  <si>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</si>
  <si>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</si>
  <si>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</si>
  <si>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</si>
  <si>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</si>
  <si>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</si>
  <si>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</si>
  <si>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</si>
  <si>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</si>
  <si>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</si>
  <si>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</si>
  <si>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</si>
  <si>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</si>
  <si>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</si>
  <si>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</si>
  <si>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</si>
  <si>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</si>
  <si>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</si>
  <si>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</si>
  <si>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</si>
  <si>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</si>
  <si>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</si>
  <si>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</si>
  <si>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</si>
  <si>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</si>
  <si>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</si>
  <si>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</si>
  <si>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</si>
  <si>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</si>
  <si>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</si>
  <si>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</si>
  <si>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</si>
  <si>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</si>
  <si>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</si>
  <si>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</si>
  <si>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</si>
  <si>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</si>
  <si>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</si>
  <si>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</si>
  <si>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</si>
  <si>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</si>
  <si>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</si>
  <si>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</si>
  <si>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</si>
  <si>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</si>
  <si>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</si>
  <si>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</si>
  <si>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</si>
  <si>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</si>
  <si>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</si>
  <si>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</si>
  <si>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</si>
  <si>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</si>
  <si>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</si>
  <si>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</si>
  <si>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</si>
  <si>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</si>
  <si>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</si>
  <si>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</si>
  <si>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</si>
  <si>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</si>
  <si>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</si>
  <si>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</si>
  <si>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</si>
  <si>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</si>
  <si>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</si>
  <si>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</si>
  <si>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</si>
  <si>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</si>
  <si>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</si>
  <si>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</si>
  <si>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</si>
  <si>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</si>
  <si>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</si>
  <si>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</si>
  <si>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</si>
  <si>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</si>
  <si>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</si>
  <si>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</si>
  <si>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</si>
  <si>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</si>
  <si>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</si>
  <si>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</si>
  <si>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</si>
  <si>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</si>
  <si>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</si>
  <si>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</si>
  <si>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</si>
  <si>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</si>
  <si>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</si>
  <si>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</si>
  <si>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</si>
  <si>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</si>
  <si>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</si>
  <si>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</si>
  <si>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</si>
  <si>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</si>
  <si>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</si>
  <si>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</si>
  <si>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</si>
  <si>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</si>
  <si>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</si>
  <si>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</si>
  <si>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</si>
  <si>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</si>
  <si>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</si>
  <si>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</si>
  <si>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</si>
  <si>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</si>
  <si>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</si>
  <si>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</si>
  <si>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</si>
  <si>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</si>
  <si>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</si>
  <si>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</si>
  <si>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</si>
  <si>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</si>
  <si>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</si>
  <si>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</si>
  <si>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</si>
  <si>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</si>
  <si>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</si>
  <si>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</si>
  <si>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</si>
  <si>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</si>
  <si>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</si>
  <si>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</si>
  <si>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</si>
  <si>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</si>
  <si>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</si>
  <si>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</si>
  <si>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</si>
  <si>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</si>
  <si>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</si>
  <si>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</si>
  <si>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</si>
  <si>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</si>
  <si>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</si>
  <si>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</si>
  <si>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</si>
  <si>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</si>
  <si>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</si>
  <si>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</si>
  <si>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</si>
  <si>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</si>
  <si>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</si>
  <si>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</si>
  <si>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</si>
  <si>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</si>
  <si>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</si>
  <si>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</si>
  <si>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</si>
  <si>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</si>
  <si>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</si>
  <si>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</si>
  <si>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</si>
  <si>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</si>
  <si>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</si>
  <si>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</si>
  <si>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</si>
  <si>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</si>
  <si>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</si>
  <si>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</si>
  <si>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</si>
  <si>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</si>
  <si>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</si>
  <si>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</si>
  <si>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</si>
  <si>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</si>
  <si>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</si>
  <si>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</si>
  <si>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</si>
  <si>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</si>
  <si>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</si>
  <si>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</si>
  <si>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</si>
  <si>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</si>
  <si>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</si>
  <si>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</si>
  <si>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</si>
  <si>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</si>
  <si>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</si>
  <si>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</si>
  <si>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</si>
  <si>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</si>
  <si>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</si>
  <si>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</si>
  <si>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</si>
  <si>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</si>
  <si>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</si>
  <si>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</si>
  <si>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</si>
  <si>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</si>
  <si>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</si>
  <si>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</si>
  <si>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</si>
  <si>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</si>
  <si>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</si>
  <si>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</si>
  <si>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</si>
  <si>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</si>
  <si>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</si>
  <si>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</si>
  <si>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</si>
  <si>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</si>
  <si>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</si>
  <si>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</si>
  <si>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</si>
  <si>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</si>
  <si>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</si>
  <si>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</si>
  <si>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</si>
  <si>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</si>
  <si>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</si>
  <si>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</si>
  <si>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</si>
  <si>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</si>
  <si>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</si>
  <si>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</si>
  <si>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</si>
  <si>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</si>
  <si>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</si>
  <si>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</si>
  <si>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</si>
  <si>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</si>
  <si>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</si>
  <si>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</si>
  <si>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</si>
  <si>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</si>
  <si>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</si>
  <si>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</si>
  <si>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</si>
  <si>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</si>
  <si>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</si>
  <si>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</si>
  <si>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</si>
  <si>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</si>
  <si>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</si>
  <si>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</si>
  <si>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</si>
  <si>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</si>
  <si>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</si>
  <si>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</si>
  <si>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</si>
  <si>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</si>
  <si>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</si>
  <si>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</si>
  <si>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</si>
  <si>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</si>
  <si>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</si>
  <si>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</si>
  <si>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</si>
  <si>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</si>
  <si>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</si>
  <si>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</si>
  <si>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</si>
  <si>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</si>
  <si>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</si>
  <si>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</si>
  <si>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</si>
  <si>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</si>
  <si>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</si>
  <si>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</si>
  <si>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</si>
  <si>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</si>
  <si>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</si>
  <si>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</si>
  <si>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</si>
  <si>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</si>
  <si>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</si>
  <si>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</si>
  <si>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</si>
  <si>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</si>
  <si>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</si>
  <si>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</si>
  <si>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</si>
  <si>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</si>
  <si>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</si>
  <si>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</si>
  <si>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</si>
  <si>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</si>
  <si>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</si>
  <si>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</si>
  <si>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</si>
  <si>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</si>
  <si>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</si>
  <si>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</si>
  <si>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</si>
  <si>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</si>
  <si>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</si>
  <si>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</si>
  <si>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</si>
  <si>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</si>
  <si>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</si>
  <si>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</si>
  <si>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</si>
  <si>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</si>
  <si>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</si>
  <si>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</si>
  <si>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</si>
  <si>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</si>
  <si>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</si>
  <si>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</si>
  <si>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</si>
  <si>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</si>
  <si>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</si>
  <si>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</si>
  <si>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</si>
  <si>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</si>
  <si>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现：京(2022)朝不动产权第0073209号</t>
  </si>
  <si>
    <t>其他</t>
  </si>
  <si>
    <t>占比</t>
  </si>
  <si>
    <t>7号楼</t>
  </si>
  <si>
    <t>现：京(2023)丰不动产权第0029386号</t>
  </si>
  <si>
    <t>现：京(2024)东不动产权第0007913号</t>
  </si>
  <si>
    <t>B208~B212</t>
  </si>
  <si>
    <t>车库/车位</t>
  </si>
  <si>
    <t>B218</t>
  </si>
  <si>
    <t>B263~B267</t>
  </si>
  <si>
    <t>B226~B230</t>
  </si>
  <si>
    <t>B214</t>
  </si>
  <si>
    <t>B220</t>
  </si>
  <si>
    <t>B231</t>
  </si>
  <si>
    <t>B237~B241</t>
  </si>
  <si>
    <t>B202</t>
  </si>
  <si>
    <t>仓储</t>
  </si>
  <si>
    <t>B219</t>
  </si>
  <si>
    <t>B213</t>
  </si>
  <si>
    <t>B269</t>
  </si>
  <si>
    <t>B242~B246</t>
  </si>
  <si>
    <t>B203~B207</t>
  </si>
  <si>
    <t>B257</t>
  </si>
  <si>
    <t>B221~B225</t>
  </si>
  <si>
    <t>B247~B251</t>
  </si>
  <si>
    <t>B215~B217</t>
  </si>
  <si>
    <t>B252~B256</t>
  </si>
  <si>
    <t>B258~B262</t>
  </si>
  <si>
    <t>B201</t>
  </si>
  <si>
    <t>B232~B236</t>
  </si>
  <si>
    <t>B268</t>
  </si>
  <si>
    <t>10幢</t>
  </si>
  <si>
    <t>B1193</t>
  </si>
  <si>
    <t>现：京(2022)朝不动产权第0039377号</t>
  </si>
  <si>
    <t>B2023</t>
  </si>
  <si>
    <t>现：京(2023)朝不动产权第0022044号</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</si>
  <si>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</si>
  <si>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</si>
  <si>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</si>
  <si>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</si>
  <si>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</si>
  <si>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</si>
  <si>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</si>
  <si>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</si>
  <si>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</si>
  <si>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</si>
  <si>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</si>
  <si>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</si>
  <si>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</si>
  <si>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</si>
  <si>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</si>
  <si>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</si>
  <si>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</si>
  <si>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</si>
  <si>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</si>
  <si>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</si>
  <si>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</si>
  <si>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</si>
  <si>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</si>
  <si>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</si>
  <si>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</si>
  <si>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</si>
  <si>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</si>
  <si>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</si>
  <si>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</si>
  <si>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</si>
  <si>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</si>
  <si>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</si>
  <si>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</si>
  <si>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</si>
  <si>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</si>
  <si>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</si>
  <si>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</si>
  <si>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</si>
  <si>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</si>
  <si>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</si>
  <si>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</si>
  <si>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</si>
  <si>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</si>
  <si>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</si>
  <si>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</si>
  <si>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</si>
  <si>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</si>
  <si>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</si>
  <si>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</si>
  <si>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</si>
  <si>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</si>
  <si>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</si>
  <si>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</si>
  <si>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</si>
  <si>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</si>
  <si>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</si>
  <si>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</si>
  <si>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</si>
  <si>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</si>
  <si>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</si>
  <si>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</si>
  <si>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</si>
  <si>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</si>
  <si>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</si>
  <si>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</si>
  <si>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</si>
  <si>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</si>
  <si>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</si>
  <si>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</si>
  <si>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</si>
  <si>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</si>
  <si>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</si>
  <si>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</si>
  <si>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</si>
  <si>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</si>
  <si>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</si>
  <si>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</si>
  <si>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</si>
  <si>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</si>
  <si>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</si>
  <si>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</si>
  <si>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</si>
  <si>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</si>
  <si>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</si>
  <si>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</si>
  <si>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</si>
  <si>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</si>
  <si>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</si>
  <si>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</si>
  <si>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华远石景山大悦城7#1-14层</t>
  </si>
  <si>
    <t>石景山区京西商务园</t>
  </si>
  <si>
    <t>石景山区</t>
  </si>
  <si>
    <t>苹果园</t>
  </si>
  <si>
    <t>华远地产</t>
  </si>
  <si>
    <t>商业、办公</t>
  </si>
  <si>
    <t>外文出版社</t>
  </si>
  <si>
    <t>1-2层，F1：1058.61平方米，F2：1369.31平方米，其余为办公，商业网签价45776元/平方米，办公网签价36342元/平方米；公告4.61亿元，剩余部分为车位（未办网签）</t>
  </si>
  <si>
    <t>2022年</t>
  </si>
  <si>
    <t>网签+公告</t>
  </si>
  <si>
    <t>八里庄苏宁生活广场</t>
  </si>
  <si>
    <t>朝阳区朝阳路慈云寺北里南侧约50米；慈云寺北里118号楼「苏宁生活广场」</t>
  </si>
  <si>
    <t>朝阳区</t>
  </si>
  <si>
    <t>东四环</t>
  </si>
  <si>
    <t>苏宁</t>
  </si>
  <si>
    <t>办公、商业、地下车库</t>
  </si>
  <si>
    <t>凯德</t>
  </si>
  <si>
    <t>2023-Q1</t>
  </si>
  <si>
    <r>
      <rPr>
        <sz val="10"/>
        <rFont val="宋体"/>
        <family val="3"/>
        <charset val="134"/>
      </rPr>
      <t>办公2060-9-20，商业2050-9-20；其中商业建筑面积为40,276.30平方米（B1-F6，其中B1层9951.43平方米（含人防80.79平方米）），办公建筑面积为26,023.99平方米，地下车库建筑面积为18,496.12平方米，邮局建筑面积为359.69平方米。净可出租面积为52,600平方米，</t>
    </r>
    <r>
      <rPr>
        <b/>
        <sz val="10"/>
        <color rgb="FFFF0000"/>
        <rFont val="宋体"/>
        <family val="3"/>
        <charset val="134"/>
      </rPr>
      <t>改造后，可出租办公面积将增加30,800平方米，达到55,000平方米。同时，在负一层和一层将保留6,500平方米的零售空间作为配套，以满足办公楼租户和周边居民的需求。该项目将为市场带来一个独特的办公楼产品，包括开放式办公空间、极具社群氛围的公共区域和一个户外花园。项目周边在建中的22号地铁线也将于2024年通车。</t>
    </r>
  </si>
  <si>
    <t>2015年</t>
  </si>
  <si>
    <t>股权交易</t>
  </si>
  <si>
    <t>公告</t>
  </si>
  <si>
    <t>管庄西一里1幢1至3层、2幢1层</t>
  </si>
  <si>
    <t>朝阳区管庄西一里1幢1至3层、2幢1层，北临管庄西里路，东临管庄路</t>
  </si>
  <si>
    <t>管庄</t>
  </si>
  <si>
    <t>北京嘉合荣元酒店管理有限公司</t>
  </si>
  <si>
    <t>北京净润科技有限公司</t>
  </si>
  <si>
    <t>2048年11月23日，2幢门房33.9平方米。依据估价委托人提供的《房屋租赁合同》复印件、影印件，单位建筑面积日租金2.3-6.7元/㎡,租赁期限终止日最早为2024年6月4日（荣通超市），最晚为2030年5月7日（红柚酒店）</t>
  </si>
  <si>
    <t>1988年(约)</t>
  </si>
  <si>
    <t>拍卖</t>
  </si>
  <si>
    <t>西城区莲花池东路1号楼甲1、1号楼部分（1-2、1-4、1-6、1-8）（顺峰）</t>
  </si>
  <si>
    <t>西城区莲花池东路1号楼2幢</t>
  </si>
  <si>
    <t>西城区</t>
  </si>
  <si>
    <t>西客站</t>
  </si>
  <si>
    <t>顺峰饮食酒店管理股份有限公司</t>
  </si>
  <si>
    <t>个人</t>
  </si>
  <si>
    <t>住宿餐饮用地土地终止日期2040-1-24，甲1号楼4436.10平方米（1-7层），1号楼1-2（1层，171.7平方米）、1-4（2层，135.9平方米）、1-6（6层，322.6平方米）、1-8（-1层，191.9平方米）</t>
  </si>
  <si>
    <t>1984、1994</t>
  </si>
  <si>
    <t xml:space="preserve"> 琉璃厂东街22、24号1幢1至2层2幢1至2层3幢1至2层4幢1至2层5幢1层</t>
  </si>
  <si>
    <t>宣武门</t>
  </si>
  <si>
    <t>中国工艺艺术北京发展中心</t>
  </si>
  <si>
    <t>北京状元街控股有限公司</t>
  </si>
  <si>
    <r>
      <rPr>
        <sz val="10"/>
        <rFont val="宋体"/>
        <family val="3"/>
        <charset val="134"/>
      </rPr>
      <t>1幢1至2层建筑面积为68.54平方米；2幢1至2层建筑面积为271.22平方米；3幢1至2层建筑面积为23.04平方米；4幢1至2层建筑面积为504.04平方米；5幢1层建筑面积为188.54平方米，共计1055.38平方米。房屋结构为混合结构，规划用途为商业，房屋性质为商品房；</t>
    </r>
    <r>
      <rPr>
        <b/>
        <sz val="10"/>
        <color rgb="FFFF0000"/>
        <rFont val="宋体"/>
        <family val="3"/>
        <charset val="134"/>
      </rPr>
      <t>5幢2层房屋未办理不动产登记</t>
    </r>
  </si>
  <si>
    <t>1990(约)</t>
  </si>
  <si>
    <t>中国抽纱交流中心</t>
  </si>
  <si>
    <t>朝阳区惠新东街19号（西院）（原北土城宾馆）</t>
  </si>
  <si>
    <t>亚奥</t>
  </si>
  <si>
    <t>中国抽纱品进出口（集团）有限公司</t>
  </si>
  <si>
    <t>办公/商业、地下车位</t>
  </si>
  <si>
    <t>招商局公路网络科技控股股份有限公司</t>
  </si>
  <si>
    <t xml:space="preserve"> 建筑高度：45米、停车位约200个;中心共分为ABC三座,地下3层，地上12层（A座6层，B座12层，C座9层），</t>
  </si>
  <si>
    <t>2020年（约）</t>
  </si>
  <si>
    <t>季报</t>
  </si>
  <si>
    <t>北京远洋未来广场、53个产权车位、人防工程及相关附属设施</t>
  </si>
  <si>
    <t>朝阳区北四环东路73号院1号楼</t>
  </si>
  <si>
    <t>远洋</t>
  </si>
  <si>
    <t>商业、车库</t>
  </si>
  <si>
    <t>居然之家</t>
  </si>
  <si>
    <t>地下车位53个产权车位，另有人防工程16691平方米；土地年期至2047年3月1日；收购价含3.48亿优先收购权，16.04亿主体商业、0.1亿产权车位</t>
  </si>
  <si>
    <t>2013年</t>
  </si>
  <si>
    <t>股权+资产+人防工程使用权</t>
  </si>
  <si>
    <t>乐华大厦（原望京华樾中心二期）B座</t>
  </si>
  <si>
    <t>朝阳区创远路28号院1号楼，望京地铁14号线善各庄站C口</t>
  </si>
  <si>
    <t>望京</t>
  </si>
  <si>
    <t>首开/金地</t>
  </si>
  <si>
    <t>办公、商业</t>
  </si>
  <si>
    <t>乐华娱乐</t>
  </si>
  <si>
    <r>
      <rPr>
        <sz val="10"/>
        <rFont val="宋体"/>
        <family val="3"/>
        <charset val="134"/>
      </rP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</si>
  <si>
    <t>2022年（约）</t>
  </si>
  <si>
    <t>公告+网签</t>
  </si>
  <si>
    <t>锦鸿阁-b座B101、B102、B103、B105、B106、B107、B108、B201、B202、B203、B205号共计11套不动产</t>
  </si>
  <si>
    <t>朝阳区青年沟路8号楼的B座B101、B102、B103、B105、B106、B107、B108、B201、B202、B203、B205号共计11套不动产</t>
  </si>
  <si>
    <t>和平里</t>
  </si>
  <si>
    <t>金政房开</t>
  </si>
  <si>
    <t>贵州博定耀科技有限公司</t>
  </si>
  <si>
    <t>目前存在占用情况，后续可能腾退时间较长；地上1-2层</t>
  </si>
  <si>
    <t>2006年</t>
  </si>
  <si>
    <t>东坝生活广场102</t>
  </si>
  <si>
    <t>朝阳区朝新嘉园东里五区18号楼1-3层102号</t>
  </si>
  <si>
    <t>东坝</t>
  </si>
  <si>
    <t>北京佳之兴商业有限公司</t>
  </si>
  <si>
    <t>房屋所有权人自己分割改建了四层，第四层非证载面积：802平方米（未办理房屋产权证）。</t>
  </si>
  <si>
    <t>首开锦鲤7#楼(工人文化宫)配套楼101及地下-101</t>
  </si>
  <si>
    <t>朝阳区东坝乡驹子房1106-720地块f1住宅混合公建用地</t>
  </si>
  <si>
    <t>北京共泰房地产开发有限公司</t>
  </si>
  <si>
    <t>_</t>
  </si>
  <si>
    <t>地上10层，地下1层</t>
  </si>
  <si>
    <t>网签</t>
  </si>
  <si>
    <t>联宝公寓（7#楼、甲5号楼配套商业及地下车库</t>
  </si>
  <si>
    <t>朝阳区幸福一村西里</t>
  </si>
  <si>
    <t>三里屯</t>
  </si>
  <si>
    <t>首开</t>
  </si>
  <si>
    <t>住宅、商业、地下车库</t>
  </si>
  <si>
    <r>
      <rPr>
        <sz val="10"/>
        <rFont val="宋体"/>
        <family val="3"/>
        <charset val="134"/>
      </rPr>
      <t>住宅至2056-1-23，</t>
    </r>
    <r>
      <rPr>
        <b/>
        <sz val="10"/>
        <color rgb="FFFF0000"/>
        <rFont val="宋体"/>
        <family val="3"/>
        <charset val="134"/>
      </rPr>
      <t>车库未缴纳出让金；</t>
    </r>
    <r>
      <rPr>
        <sz val="10"/>
        <rFont val="宋体"/>
        <family val="3"/>
        <charset val="134"/>
      </rPr>
      <t>7号楼地下1层，地上18层，甲5配套楼地上3层地下1层；</t>
    </r>
    <r>
      <rPr>
        <b/>
        <sz val="10"/>
        <color rgb="FFFF0000"/>
        <rFont val="宋体"/>
        <family val="3"/>
        <charset val="134"/>
      </rPr>
      <t>地下车位8617.05平方米，规划173个，其中5个不能使用</t>
    </r>
  </si>
  <si>
    <t>1997年</t>
  </si>
  <si>
    <t>上市公告</t>
  </si>
  <si>
    <t>大悦时代广场(悦荣中心)1号楼</t>
  </si>
  <si>
    <t>丰台区槐房西路9号院1号楼</t>
  </si>
  <si>
    <t>丰台区</t>
  </si>
  <si>
    <t>新宫</t>
  </si>
  <si>
    <t>中粮</t>
  </si>
  <si>
    <t>酒店、商业餐饮</t>
  </si>
  <si>
    <t>地上11层，其中底商494.07平方米(网签价59999元/平方米，酒店32185元/平方米)；临地铁，临街；商业2057-6-26</t>
  </si>
  <si>
    <t>2021年</t>
  </si>
  <si>
    <t>昆泰嘉华酒店裙房底商12-5</t>
  </si>
  <si>
    <t>朝阳区朝外大街乙12号酒店裙房商铺、餐饮1层05</t>
  </si>
  <si>
    <t>朝外</t>
  </si>
  <si>
    <t>北京清大国源环境科技有限公司</t>
  </si>
  <si>
    <t>现房产有租赁，租期自2018年10月16日至2028年10月15日，租金标准为15.75元/日/㎡，第三年起每两年递增5%。</t>
  </si>
  <si>
    <t>2005年</t>
  </si>
  <si>
    <t>南四环西路188号一区30号楼1层101（KFC总部基地穿梭餐厅）</t>
  </si>
  <si>
    <t>丰台区南四环西路188号一区30号楼1层101</t>
  </si>
  <si>
    <t>总部基地</t>
  </si>
  <si>
    <t>中关村丰台园道丰科技商务园</t>
  </si>
  <si>
    <t>租赁期限为：自2015年4月1日至2035年3月31日止；土地终止日期2054.7.27；钢混结构，层高4米，现状为2层，1层部分及2层存在加建；</t>
  </si>
  <si>
    <t>双井凯德Mall（原家乐福双井店）</t>
  </si>
  <si>
    <t>朝阳区双井街道广渠路31号</t>
  </si>
  <si>
    <t>双井</t>
  </si>
  <si>
    <t xml:space="preserve">凯德中国信托（CLCT） </t>
  </si>
  <si>
    <t>鄂尔多斯企业</t>
  </si>
  <si>
    <t>2023-Q4</t>
  </si>
  <si>
    <t>土地终止日期2042-7-10；2006年购置价4.14亿元；B1-L3</t>
  </si>
  <si>
    <t>2004年（约）</t>
  </si>
  <si>
    <t>大悦时代广场(悦荣中心)7号楼</t>
  </si>
  <si>
    <t>丰台区槐房西路9号院7号楼</t>
  </si>
  <si>
    <t>办公（首层商业）</t>
  </si>
  <si>
    <t>地上1-10层，F1商业298.06平方米；商业2057-6-26；办公2067-6-26；首层层高6米，办公层高4.2米</t>
  </si>
  <si>
    <t>恒兴大厦2层</t>
  </si>
  <si>
    <t>海淀区中关村东路89号2层整层</t>
  </si>
  <si>
    <t>海淀区</t>
  </si>
  <si>
    <t>中关村</t>
  </si>
  <si>
    <t>北京中奥启天实业有限公司</t>
  </si>
  <si>
    <t>商业（现状办公）</t>
  </si>
  <si>
    <t>北京航阳商贸实业有限公司</t>
  </si>
  <si>
    <t>商住两用的公寓楼</t>
  </si>
  <si>
    <t>2002年</t>
  </si>
  <si>
    <t>恒兴大厦1层E</t>
  </si>
  <si>
    <t>海淀区中关村东路89号1层E</t>
  </si>
  <si>
    <t>北京坤阳丰伟科技有限公司</t>
  </si>
  <si>
    <t>恒兴大厦1层D</t>
  </si>
  <si>
    <t>海淀区中关村东路89号1层D</t>
  </si>
  <si>
    <t>北京民治则正科技有限公司</t>
  </si>
  <si>
    <t>恒盛华庭（欧洲公馆）5号楼</t>
  </si>
  <si>
    <t>海淀区金沟河路16号院5号楼</t>
  </si>
  <si>
    <t>五棵松</t>
  </si>
  <si>
    <t>永和地产</t>
  </si>
  <si>
    <t>地上:3 地下:1</t>
  </si>
  <si>
    <t>2019年</t>
  </si>
  <si>
    <t>华业国际中心一层、地上16层、20层3套及负一层部分共272处</t>
  </si>
  <si>
    <t>朝阳区东四环中路39号</t>
  </si>
  <si>
    <t>泛CBD</t>
  </si>
  <si>
    <t>高盛华房地产开发公司</t>
  </si>
  <si>
    <t>商业用房、办公用房、车位、便民超市</t>
  </si>
  <si>
    <t>北京铭信嘉和商业运营管理有限公司</t>
  </si>
  <si>
    <t>地上办公16层和20层3套共2318.04平方米，地上1层商业7685.24平方米；地下配套超市、餐厅7904.78平方米,219个车位</t>
  </si>
  <si>
    <t>2011年</t>
  </si>
  <si>
    <t>网签价66462.87万元</t>
  </si>
  <si>
    <t>东四十二条15号</t>
  </si>
  <si>
    <t>东城区东四十二条15号</t>
  </si>
  <si>
    <t>东城区</t>
  </si>
  <si>
    <t>东四</t>
  </si>
  <si>
    <t>北京君道成投资咨询有限公司</t>
  </si>
  <si>
    <t>及增建地下室264.57平方米、采光顶333.87平方米；土地终止日期2045-3-15</t>
  </si>
  <si>
    <t>橡树澜湾限竞房（澜湾2035）丰茂大厦16#楼</t>
  </si>
  <si>
    <t>丰台区张仪村路18号院16号楼</t>
  </si>
  <si>
    <t>小屯</t>
  </si>
  <si>
    <t>电建/华润</t>
  </si>
  <si>
    <t>含103-104、203-204、301、401、501</t>
  </si>
  <si>
    <t>方恒时尚中心1#楼104、-105</t>
  </si>
  <si>
    <t>海淀区北三环西路，大钟寺地铁站西北三百米处</t>
  </si>
  <si>
    <t>北三环</t>
  </si>
  <si>
    <t>方恒集团</t>
  </si>
  <si>
    <t>1#楼104、B1-105</t>
  </si>
  <si>
    <t>新街高和（原为星街坊购物中心）</t>
  </si>
  <si>
    <t>西城区新街口北大街3号</t>
  </si>
  <si>
    <t>新街口</t>
  </si>
  <si>
    <t>高和资本</t>
  </si>
  <si>
    <t>长城人寿</t>
  </si>
  <si>
    <t>2023年Q4</t>
  </si>
  <si>
    <r>
      <rPr>
        <sz val="10"/>
        <rFont val="宋体"/>
        <family val="3"/>
        <charset val="134"/>
      </rP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</si>
  <si>
    <t>2008年</t>
  </si>
  <si>
    <t>公告+新闻+备案表</t>
  </si>
  <si>
    <t>丽金置地中心B座1-3层商业</t>
  </si>
  <si>
    <t>海淀区魏公村地铁站西侧200米</t>
  </si>
  <si>
    <t>金力</t>
  </si>
  <si>
    <t>蚂蚁金服</t>
  </si>
  <si>
    <t>2023-Q2</t>
  </si>
  <si>
    <t>办公、地下车库：2053年10月21日；F1层1413.18平方米，F2层4073.23平方米，F3层4596.53平方米，其他信息不详，仅供参考；2024年4月网签</t>
  </si>
  <si>
    <t>2023年</t>
  </si>
  <si>
    <t>朝阳区辛庄一街9号楼1至2层101及104配套商业，-1层-101、-104及-105戊类库房</t>
  </si>
  <si>
    <t>朝阳区辛庄一街9号楼</t>
  </si>
  <si>
    <t>朝阳公园</t>
  </si>
  <si>
    <t>泛海</t>
  </si>
  <si>
    <t>商业、地下仓储</t>
  </si>
  <si>
    <t>大城县新晨商贸有限公司</t>
  </si>
  <si>
    <t>地上2层、地下1层；毛坯，1层层高约5.3米、2层层高约4.7米;102-103及地下1层102-103为不可分摊的配电室、开闭所；2044年08月30日止</t>
  </si>
  <si>
    <t>2016年</t>
  </si>
  <si>
    <t>朝阳区辛庄一街11号楼1至2层101号</t>
  </si>
  <si>
    <t>大城县永建商贸有限公司</t>
  </si>
  <si>
    <t>精装,该房屋存在租赁，作售楼处使用，租赁期至2025年3月17日，有租金收益。2044年08月30日止</t>
  </si>
  <si>
    <t>中海学府里S1楼1-3层</t>
  </si>
  <si>
    <t>石景山区张仪村路，西四环外的衙门口区域，莲石东路南侧1公里，临近11号线二期鲁谷大街站</t>
  </si>
  <si>
    <t>衙门口</t>
  </si>
  <si>
    <t>中海</t>
  </si>
  <si>
    <t>地上1-3层，期房</t>
  </si>
  <si>
    <t>2026年</t>
  </si>
  <si>
    <t>国兴家园裙楼1-3层部分</t>
  </si>
  <si>
    <t>海淀区首体南路甲20号103、105、106、202、302</t>
  </si>
  <si>
    <t>甘家口</t>
  </si>
  <si>
    <t>北京能源房地产开发有限责任公司</t>
  </si>
  <si>
    <t>资阳空港投资集团有限公司</t>
  </si>
  <si>
    <t>地上1-3层，F1层2471.58平方米，F2层3639.89平方米，F3层3837.67㎡，附属139.35平方米，有租赁（现状租赁给正院、工行）；商业及配套商业为 2039年07月01日</t>
  </si>
  <si>
    <t>2001年</t>
  </si>
  <si>
    <t>绿城沁园（指导价）（沁园中心）12-13#</t>
  </si>
  <si>
    <t>朝阳区豆各庄乡孙家坡村1306-638地块，北距7号线地铁黄厂站约500m，南距京津高速约400m</t>
  </si>
  <si>
    <t>豆各庄</t>
  </si>
  <si>
    <t>绿城/金茂</t>
  </si>
  <si>
    <t>中国平安</t>
  </si>
  <si>
    <t>13#楼地上16层，12#地上22层；其中地上1-2层为商业，建筑面积3865.83平方米</t>
  </si>
  <si>
    <t>玉泉商业中心</t>
  </si>
  <si>
    <t>海淀区玉泉北里一区9号楼</t>
  </si>
  <si>
    <t>田村</t>
  </si>
  <si>
    <t>北京玉泉新城房地产开发有限公司（北京城建/复地集团）</t>
  </si>
  <si>
    <t>商业及地下车库</t>
  </si>
  <si>
    <t>玉泉商业中心项目为玉泉北里一区A9回迁楼下的大型底商，所属建筑物地上15层、地下2层，本次交易部分位于地上3层、地下2层，B1商业11163.79平方米，地下库房1452.53平方米，地下车库11693.43平方米（223个车位）；F1：7105.94平方米，F2:8652.92平方米，F3:8785.31㎡；尚余104商业、-126、-127车库；约在2009-2010年拿地</t>
  </si>
  <si>
    <t>崇文门外大街18-15号1幢（裙房）（国瑞购物中心侧面）</t>
  </si>
  <si>
    <t>东城区崇文门外大街18-15号1幢（裙房）1层101、1层102、2层201、3层301商业房地产、-3层-301、-3层-302、-4层-401车库房地产及-4层-402号附属用房房地产</t>
  </si>
  <si>
    <t>崇文门</t>
  </si>
  <si>
    <t>国瑞</t>
  </si>
  <si>
    <t>宁波雅戈尔服饰有限公司</t>
  </si>
  <si>
    <t>（其中商业：3761.79㎡（其中F1:905.95㎡，F2:1428.02㎡，F3:1427.82㎡）、车库：5279.3㎡、附属用房：834.24㎡）；东城区崇文门外大街18-15号1幢（裙房）与国瑞购物中心相连，总楼层7层，地上3层、地下4层；101、102、201、301为业、-301、-302、-401为车库、-402号为附属用房，有租赁；商业2044.8.28；车库：2054.8.28</t>
  </si>
  <si>
    <t>2009年</t>
  </si>
  <si>
    <t>昆仑公寓5层商业及两个车位</t>
  </si>
  <si>
    <t>朝阳区新源南路甲2号(推广名：昆仑公寓)5层052-05商业房地产及不可拆除移动的装饰装修、-4层-04B-4-09车位、-4层-04B-4-36车位整体</t>
  </si>
  <si>
    <t>燕莎</t>
  </si>
  <si>
    <t>北京为雄科技有限公司</t>
  </si>
  <si>
    <t>实际用途为商办公寓</t>
  </si>
  <si>
    <t>2007年</t>
  </si>
  <si>
    <t>世奥国际中心5层601</t>
  </si>
  <si>
    <t>朝阳区芍药居北里101号1幢5层601房</t>
  </si>
  <si>
    <t>芍药居</t>
  </si>
  <si>
    <t>北京宜华时代家具有限公司</t>
  </si>
  <si>
    <t>北京亦蜂亦客科技有限公司</t>
  </si>
  <si>
    <t>5层601与6层704二套不动产套内之间存在上下相通的楼梯应予拆除并浇板隔断，规范施工所需的一切费用约40,000元。上述房地产价值未扣除该费用;至2054年8月30日止；房屋总层数 28(-4)层。</t>
  </si>
  <si>
    <t>新街口西里三区2号2-4、2-7（-1至1层）</t>
  </si>
  <si>
    <t>西城区新街口西里三区2号楼-1至1层2-4、2号楼-1至1层2-7</t>
  </si>
  <si>
    <t>锦程天际（北京）咨询有限公司</t>
  </si>
  <si>
    <t>北京新沅顺兴科技有限公司</t>
  </si>
  <si>
    <r>
      <rPr>
        <sz val="10"/>
        <rFont val="宋体"/>
        <family val="3"/>
        <charset val="134"/>
      </rPr>
      <t>B1-1\8；2号楼2-4房地产的-1层、2号楼2-7房地产的-1层作为“途悦客栈”经营，共45间客房；2号楼2-4房地产的1层处于空置状态。</t>
    </r>
    <r>
      <rPr>
        <b/>
        <sz val="10"/>
        <color rgb="FFFF0000"/>
        <rFont val="宋体"/>
        <family val="3"/>
        <charset val="134"/>
      </rPr>
      <t>2-4房地产的-1层、2号楼2-7房地产的有租约（租赁面积1132.18平方米，2016-1-19至2031-1-18；带装修出租（装修费200万元，一次性支付）前5年每年租金50万，第5年起每两年递增8%）</t>
    </r>
  </si>
  <si>
    <t>2003年</t>
  </si>
  <si>
    <t>新景商务楼</t>
  </si>
  <si>
    <t>东城区广渠门内大街125号院1号楼</t>
  </si>
  <si>
    <t>广渠门</t>
  </si>
  <si>
    <t>新世界</t>
  </si>
  <si>
    <t>商业、办公、车库、储藏室</t>
  </si>
  <si>
    <t>长江商学院</t>
  </si>
  <si>
    <t>地上10层、地下3层，地下商业2104.51㎡，地下储藏室113.42平方米，地下车库4452.24平方米；地上1、2层、4层部分为商业（7455.79平方米）</t>
  </si>
  <si>
    <t>网签+报道</t>
  </si>
  <si>
    <t>观巢裙楼101室</t>
  </si>
  <si>
    <t>朝阳区慧忠里122号楼101室</t>
  </si>
  <si>
    <t>亚运村</t>
  </si>
  <si>
    <t>北京休休有容商业管理有限公司</t>
  </si>
  <si>
    <t>地上1-3层</t>
  </si>
  <si>
    <t>观巢裙楼102、103、104室</t>
  </si>
  <si>
    <t>朝阳区慧忠里122号楼102、103、104室</t>
  </si>
  <si>
    <t>济南泰银丰六号企业管理合伙企业（有限合伙）</t>
  </si>
  <si>
    <r>
      <rPr>
        <sz val="10"/>
        <rFont val="宋体"/>
        <family val="3"/>
        <charset val="134"/>
      </rPr>
      <t>地上1-3层；</t>
    </r>
    <r>
      <rPr>
        <b/>
        <sz val="10"/>
        <color rgb="FFFF0000"/>
        <rFont val="宋体"/>
        <family val="3"/>
        <charset val="134"/>
      </rPr>
      <t>9-20成交后（5510.3445）悔拍后再次拍卖</t>
    </r>
  </si>
  <si>
    <t>观巢裙楼201室</t>
  </si>
  <si>
    <t>朝阳区慧忠里122号楼201室</t>
  </si>
  <si>
    <t>北京游目骋怀商业管理有限公司</t>
  </si>
  <si>
    <t>观巢裙楼202室</t>
  </si>
  <si>
    <t>朝阳区慧忠里122号楼202室</t>
  </si>
  <si>
    <t>北京精妙绝伦商业管理有限公司</t>
  </si>
  <si>
    <t>观巢裙楼301室</t>
  </si>
  <si>
    <t>朝阳区慧忠里122号楼301室</t>
  </si>
  <si>
    <t>北京嘉利汇成商业管理有限公司</t>
  </si>
  <si>
    <t>都市网景2号楼（现状出租做北岸轻居酒店）</t>
  </si>
  <si>
    <t xml:space="preserve"> 海淀区中关村东路123号2号楼1至3层一层南侧、二至三层房屋及土地使用权</t>
  </si>
  <si>
    <t>北京中佰乐投资有限公
司</t>
  </si>
  <si>
    <t>商业办公</t>
  </si>
  <si>
    <t>北京千辉物业管理有限公司</t>
  </si>
  <si>
    <t>2049年3月29日，净高：一层2.81米，二、三层2.60米；总层数26层，估价对象位于1-3层。</t>
  </si>
  <si>
    <t>2000年</t>
  </si>
  <si>
    <t>润枫水尚配套商业楼</t>
  </si>
  <si>
    <t>朝阳区青年路西里5号院16号楼-2层-201号等9套配套商业用房</t>
  </si>
  <si>
    <t>青年路</t>
  </si>
  <si>
    <t>润丰地产</t>
  </si>
  <si>
    <t>配套商业</t>
  </si>
  <si>
    <t>朔州市宇享工贸有限公司</t>
  </si>
  <si>
    <t>101-104、-101（1432.04㎡）、-201（874.94㎡）、201-203；地上1层2052.5㎡、地上2层2233.14㎡；地下2层地上2层；2044-11-23；有租约</t>
  </si>
  <si>
    <t>西坝河西里甲18号-1至4层房产</t>
  </si>
  <si>
    <t>朝阳区西坝河西里甲18号-1至4层房产；西至七圣路，北至小区道路，东至西坝河西里20#，南至西坝河西里19#</t>
  </si>
  <si>
    <t>三元桥</t>
  </si>
  <si>
    <t>威邦物管</t>
  </si>
  <si>
    <t>商业楼（现状办公）</t>
  </si>
  <si>
    <t>北京中胜鸿壹酒店管理有限公司</t>
  </si>
  <si>
    <t>2039/12/26；地下1层地上4层，混合结构，其中附房71.8平方米</t>
  </si>
  <si>
    <t>望京华樾中心(一期启华大厦)</t>
  </si>
  <si>
    <t>朝阳区创远路26号院1号楼，紧邻望京地铁14号线善各庄站C口</t>
  </si>
  <si>
    <t>办公、商业、车库</t>
  </si>
  <si>
    <t>B3-12层，地下商业1626.48平方米（1.5万/分㎡），地下车位70个合计3246.49平方米（15万/个）；地上办公单价46500元/平方米</t>
  </si>
  <si>
    <t>当代moma部分</t>
  </si>
  <si>
    <t>东城区香河园街1号院北区3号楼、6号楼、7号楼、8号楼、12号楼共计42套房地产</t>
  </si>
  <si>
    <t>东直门</t>
  </si>
  <si>
    <t>当代</t>
  </si>
  <si>
    <t>商业配套</t>
  </si>
  <si>
    <t>北京灏晟企业管理咨询有限公司（世纪金源）</t>
  </si>
  <si>
    <r>
      <rPr>
        <sz val="10"/>
        <rFont val="宋体"/>
        <family val="3"/>
        <charset val="134"/>
      </rPr>
      <t>2044-6-29；地上部分规划用途为配套公建空中连廊、6#楼地下部分为洗衣房、员工休息室、更衣室等；</t>
    </r>
    <r>
      <rPr>
        <b/>
        <sz val="10"/>
        <color rgb="FFFF0000"/>
        <rFont val="宋体"/>
        <family val="3"/>
        <charset val="134"/>
      </rPr>
      <t>6-7楼部分（5302.87㎡）连廊租赁给酒店（2034年终止）、12号办公（1845.15㎡）租赁至2040年</t>
    </r>
  </si>
  <si>
    <t>2008-2010年</t>
  </si>
  <si>
    <t>利锦府小区配套楼</t>
  </si>
  <si>
    <t>朝阳区红松园北里18号院9号9-1、9-2、9-3；11号11-1、11-2共5套非配套商业</t>
  </si>
  <si>
    <t>利锦荣房地产开发</t>
  </si>
  <si>
    <t>非配套商业</t>
  </si>
  <si>
    <t>北京鑫福鸿顺科技有限公司</t>
  </si>
  <si>
    <t>位于1层，2052-1-12；</t>
  </si>
  <si>
    <t>元嘉国际公寓底商</t>
  </si>
  <si>
    <t>东城区东中街40号1号楼1层07号</t>
  </si>
  <si>
    <t>东二环</t>
  </si>
  <si>
    <t>芝麻商贸（保定）有限公司</t>
  </si>
  <si>
    <t>位于1/11,租约（20230715至20290914，租金9元/㎡*天，每3年上浮3%）；终止日期2051年10月21日，</t>
  </si>
  <si>
    <t>冠城大通启辰中心6#楼1-9层</t>
  </si>
  <si>
    <t xml:space="preserve">	海淀区德政路16号院6号楼</t>
  </si>
  <si>
    <t>西北旺</t>
  </si>
  <si>
    <t>冠城大通</t>
  </si>
  <si>
    <t>办公、首层商业</t>
  </si>
  <si>
    <t>1-9层,其中1层商业1015.62平方米</t>
  </si>
  <si>
    <t>约2023年</t>
  </si>
  <si>
    <t>网签数据</t>
  </si>
  <si>
    <t>安慧北里安园8号楼1-5层房产</t>
  </si>
  <si>
    <t>朝阳区安慧北里安园8号楼1-5层房产</t>
  </si>
  <si>
    <t>香河茂顺商贸有限公司</t>
  </si>
  <si>
    <t>北京白菊电器有限公司</t>
  </si>
  <si>
    <r>
      <rPr>
        <sz val="10"/>
        <rFont val="宋体"/>
        <family val="3"/>
        <charset val="134"/>
      </rPr>
      <t>北京市朝阳区安慧北里安园8号楼，房屋用途为商业，结构为混合，证载房屋总层数为5层，建成年代为1997年；土地面积为2139.18平方米，权属性质为国有土地使用权，使用权类型为出让，终止日期为2040年11月14日；有租约;</t>
    </r>
    <r>
      <rPr>
        <b/>
        <sz val="10"/>
        <color rgb="FFFF0000"/>
        <rFont val="宋体"/>
        <family val="3"/>
        <charset val="134"/>
      </rPr>
      <t>2019年4月2.42亿香河茂顺拍卖取得</t>
    </r>
  </si>
  <si>
    <r>
      <rPr>
        <sz val="10"/>
        <rFont val="宋体"/>
        <family val="3"/>
        <charset val="134"/>
      </rPr>
      <t>1</t>
    </r>
    <r>
      <rPr>
        <sz val="10"/>
        <rFont val="宋体"/>
        <family val="3"/>
        <charset val="134"/>
      </rPr>
      <t>997年</t>
    </r>
  </si>
  <si>
    <t>北京西站南路80号院6号楼1层101-9、101-10、101-11、101-12四套商业不动产</t>
  </si>
  <si>
    <t>西城区北京西站南路80号院6号楼1层，东邻领域青年社区、南临丽园路、西临北京西站南路辅路、北邻北京西站希尔顿花园酒店</t>
  </si>
  <si>
    <t>北京西站</t>
  </si>
  <si>
    <t>长安责任保险股份有限公司</t>
  </si>
  <si>
    <t>石家庄舜腾科技有限公司</t>
  </si>
  <si>
    <t>标的物现状合并打通使用及部分办公室，已无法分辨原状界限，为企业内部员工宿舍，无租赁；终止日期2044-3-21</t>
  </si>
  <si>
    <t>中海金融中心3号楼2-12层、7#101、104，8幢B1-B2</t>
  </si>
  <si>
    <t>西城区骡马市大街20号院一区，骡马市大街与菜市口大街东南角3号楼2-12层、7#101、104，8幢B1-B2</t>
  </si>
  <si>
    <t>菜市口</t>
  </si>
  <si>
    <t>地下商业（B1-B2）4567.65平方米（B1网签价50000元/㎡,B2网签价27000元/㎡），首层商业1194.53平方米（网签价83000元/㎡）；办公29080.98平方米（网签价76900元/㎡）</t>
  </si>
  <si>
    <t>2024年（约）</t>
  </si>
  <si>
    <t>五路居甲16号院（美丽星苑）4号楼部分</t>
  </si>
  <si>
    <t>海淀区五路居甲16号院4号楼1层01、02，2层03号；所属楼宇紧邻五路居南街</t>
  </si>
  <si>
    <t>五路居</t>
  </si>
  <si>
    <t>二建房开</t>
  </si>
  <si>
    <t>综合超市、再生资源回收站、社区菜市场（实际用途为商业）</t>
  </si>
  <si>
    <r>
      <rPr>
        <sz val="10"/>
        <rFont val="宋体"/>
        <family val="3"/>
        <charset val="134"/>
      </rPr>
      <t>173.38+12.93+364.83（F2-03），所属楼宇1-2层;</t>
    </r>
    <r>
      <rPr>
        <b/>
        <sz val="10"/>
        <color rgb="FFFF0000"/>
        <rFont val="宋体"/>
        <family val="3"/>
        <charset val="134"/>
      </rPr>
      <t>划拨用地，有出租</t>
    </r>
  </si>
  <si>
    <t>2012年</t>
  </si>
  <si>
    <t>首程时代中心（立项名首鼎大厦）A区（含A1A2A3号地上地下建筑）)</t>
  </si>
  <si>
    <t>石景山区古城南街东侧（首钢园区东南区）1612-769地块B4综合性商业金融服务业用地</t>
  </si>
  <si>
    <t>首钢南</t>
  </si>
  <si>
    <t>北京璟鑫达房地产开发有限公司（首钢集团与新加坡金鹰集团）</t>
  </si>
  <si>
    <t>商业、办公、地下车库</t>
  </si>
  <si>
    <t>国家开放大学</t>
  </si>
  <si>
    <t>拟作为国家开放大学（国家老年大学）教学科研综合楼（含A1A2A3号地上地下建筑）；B1层3套商业5705.23平方米，其余为地下车库553个车位；T1办公、商业楼1层至17层全部房屋；T2办公、商业楼（扣除3层302，4层402，5层502，6层602，7层702，8层802）；T3办公、商业楼（扣除2层203，3层303，4层403，5层503）；地下部分（扣除-1层-104至-108，-2层-201至-212，-3层-301至-315，-4层-401至-402）</t>
  </si>
  <si>
    <t>鲲意熙园（1#酒店楼101；2#酒店楼101；3#酒店楼101；4#酒店楼101；5#酒店楼101；S1#商业楼101；S2#商业楼101，-1层-101；S3#商业楼101，-1层-101、-102；地下车库-1层-1001至-1248）</t>
  </si>
  <si>
    <t>朝阳区来广营东路与电子城大街交叉口西南角</t>
  </si>
  <si>
    <t>崔各庄</t>
  </si>
  <si>
    <t>朝阳城开/中建</t>
  </si>
  <si>
    <t>酒店、商业、地下办公、车库</t>
  </si>
  <si>
    <t>1-5酒店楼地上7-25层（80197.22㎡）、S1#101、S2#-101、101、S3#101、-101、-102及248个车位（8154.96平方米，平均12万/个）；地下商业1849.29平方米，地下办公187.24平方米</t>
  </si>
  <si>
    <t>2027年（约）</t>
  </si>
  <si>
    <t>弘燕山水文园底商</t>
  </si>
  <si>
    <t>朝阳区弘燕山水文园4号楼1层商业1等26套不动产</t>
  </si>
  <si>
    <t>十里河</t>
  </si>
  <si>
    <t>山水文园凯亚房地产开发有限公司</t>
  </si>
  <si>
    <t>商业、地下仓储（实际为商业）</t>
  </si>
  <si>
    <t>北京淞晟商业运营管理有限公司</t>
  </si>
  <si>
    <t>4号楼1层商业1-商业7（不含商业4，1434.1㎡），-1层库房1至库房10（1710.76㎡）,5号楼1层商业1至商业8（1966.86㎡），-1层商业9（932.31㎡）、-1层库房（1314.6㎡）；商业2044-8-30，地下车库2054-8-30；有租约</t>
  </si>
  <si>
    <t>玉泉西里二区12号楼-1至1层商业06（大有健身）</t>
  </si>
  <si>
    <t>石景山区玉泉西里二区12号楼-1至1层商业06（现为大有健身）</t>
  </si>
  <si>
    <t>鲁谷</t>
  </si>
  <si>
    <t>有租约</t>
  </si>
  <si>
    <t>起租</t>
  </si>
  <si>
    <t>完租</t>
  </si>
  <si>
    <t>月租金</t>
  </si>
  <si>
    <t>日租金</t>
  </si>
  <si>
    <t>时点</t>
  </si>
  <si>
    <t>1.北京华润大厦租赁合同 1 Contract Office 7 75.50 2024/1/1 2028/12/31 ¥ / SM / Month 3 49,595 3 32,948 4 29</t>
  </si>
  <si>
    <t>2.北京华润大厦租赁合同 1 Contract Office 2 0.00 2024/3/1 2027/2/28 ¥ / SM / Month 2 ,486 2 ,368 1 18</t>
  </si>
  <si>
    <t>3.北京华润大厦租赁合同 1 Contract Office 5 3.25 2024/3/1 2027/2/28 ¥ / SM / Month 6 ,620 6 ,305 1 18</t>
  </si>
  <si>
    <t>4.北京华润大厦租赁合同 1 Contract Office 1 2.16 2024/3/1 2027/2/28 ¥ / SM / Month 1 ,512 1 ,440 1 18</t>
  </si>
  <si>
    <t>5.北京华润大厦租赁合同 1 Contract Office 1 56.77 2024/5/15 2027/5/14 ¥ / SM / Month 1 8,812 1 7,917 1 14</t>
  </si>
  <si>
    <t>6.北京华润大厦租赁合同 1 Contract Office 8 8.80 2025/4/1 2030/3/31 ¥ / SM / Month 9 ,768 9 ,303 1 05</t>
  </si>
  <si>
    <t>7.北京华润大厦租赁合同 1 Contract Office 8 7.02 2025/2/17 2030/2/16 ¥ / SM / Month - - -</t>
  </si>
  <si>
    <t>8.北京华润大厦租赁合同 3 Contract Office 3 ,122.16 2024/11/1 2026/12/31 ¥ / SM / Month 8 87,911 8 45,630 2 71</t>
  </si>
  <si>
    <t>9.北京华润大厦租赁合同 3 Contract Office 8 0.00 2024/11/1 2026/12/31 ¥ / SM / Month 2 2,751 2 1,668 2 71</t>
  </si>
  <si>
    <t>10.北京华润大厦租赁合同 3 Contract Office 1 ,000.00 2024/11/1 2026/12/31 ¥ / SM / Month 2 84,390 2 70,848 2 71</t>
  </si>
  <si>
    <t>11.北京华润大厦租赁合同 5 Contract Office 1 13.20 2025/3/1 2028/2/29 ¥ / SM / Month 2 9,432 2 8,030 2 48</t>
  </si>
  <si>
    <t>12.北京华润大厦租赁合同 5 Contract Office 4 31.85 2025/1/12 2028/1/21 ¥ / SM / Month 1 02,521 9 7,639 2 26</t>
  </si>
  <si>
    <t>13.北京华润大厦租赁合同 5 Contract Office 2 .20 2025/1/12 2028/1/21 ¥ / SM / Month 5 22 4 97 2 26</t>
  </si>
  <si>
    <t>14.北京华润大厦租赁合同 5 Contract Office 7 .80 2025/1/12 2028/1/21 ¥ / SM / Month 1 ,852 1 ,764 2 26</t>
  </si>
  <si>
    <t>15.北京华润大厦租赁合同 5 Contract Office 6 64.34 2025/1/12 2028/1/21 ¥ / SM / Month 1 57,714 1 50,204 2 26</t>
  </si>
  <si>
    <t>16.北京华润大厦租赁合同 5 Contract Office 2 .20 2025/1/22 2028/1/21 ¥ / SM / Month 5 22 4 97 2 26</t>
  </si>
  <si>
    <t>17.北京华润大厦租赁合同 5 Contract Office 4 0.70 2025/1/12 2028/1/21 ¥ / SM / Month 9 ,662 9 ,202 2 26</t>
  </si>
  <si>
    <t>18.北京华润大厦租赁合同 6 Contract Office 1 50.14 2025/3/12 2028/3/11 ¥ / SM / Month 5 1,794 4 9,327 3 29</t>
  </si>
  <si>
    <t>19.北京华润大厦租赁合同 6 Contract Office 2 62.70 2022/6/1 2028/5/31 ¥ / SM / Month 9 4,073 8 9,593 3 41</t>
  </si>
  <si>
    <t>20.北京华润大厦租赁合同 6 Contract Office 3 21.31 2022/6/1 2028/5/31 ¥ / SM / Month 1 15,061 1 09,582 3 41</t>
  </si>
  <si>
    <t>21.北京华润大厦租赁合同 6 Contract Office 1 36.70 2025/1/1 2025/6/30 ¥ / SM / Month 4 8,952 4 6,621 3 41</t>
  </si>
  <si>
    <t>22.北京华润大厦租赁合同 6 Contract Office 1 0.00 2022/6/1 2028/5/31 ¥ / SM / Month 3 ,581 3 ,410 3 41</t>
  </si>
  <si>
    <t>23.北京华润大厦租赁合同 7 Contract Office 6 32.17 2024/8/1 2027/7/31 ¥ / SM / Month 2 16,518 2 06,208 3 26</t>
  </si>
  <si>
    <t>24.北京华润大厦租赁合同 7 Contract Office 3 04.20 2024/8/1 2027/7/31 ¥ / SM / Month 1 04,189 9 9,227 3 26</t>
  </si>
  <si>
    <t>25.北京华润大厦租赁合同 7 Contract Office 3 27.97 2022/5/10 2028/5/9 ¥ / SM / Month 1 24,629 1 18,694 3 62 12</t>
  </si>
  <si>
    <t>26.北京华润大厦租赁合同 4 Contract Office 2 ,568.67 2022/9/1 2028/6/30 ¥ / SM / Month 6 16,481 5 87,125 2 29</t>
  </si>
  <si>
    <t>27.北京华润大厦租赁合同 8 Contract Office 1 ,877.91 2020/7/1 2028/6/30 ¥ / SM / Month 6 76,048 6 43,855 3 43</t>
  </si>
  <si>
    <t>28.北京华润大厦租赁合同 9 Contract Office 1 ,877.91 2020/7/1 2028/6/30 ¥ / SM / Month 6 76,048 6 43,855 3 43</t>
  </si>
  <si>
    <t>29.北京华润大厦租赁合同 15 Contract Office 1 ,877.91 2020/7/1 2028/6/30 ¥ / SM / Month 6 76,048 6 43,855 3 43</t>
  </si>
  <si>
    <t>30.北京华润大厦租赁合同 16 Contract Office 1 ,877.91 2020/7/1 2028/6/30 ¥ / SM / Month 6 76,048 6 43,855 3 43</t>
  </si>
  <si>
    <t>31.北京华润大厦租赁合同 11 Contract Office 3 63.29 2025/3/1 2028/2/29 ¥ / SM / Month 1 07,225 1 02,119 2 81</t>
  </si>
  <si>
    <t>32.北京华润大厦租赁合同 11 Contract Office 1 89.91 2025/3/1 2028/2/29 ¥ / SM / Month 5 6,052 5 3,383 2 81</t>
  </si>
  <si>
    <t>33.北京华润大厦租赁合同 11 Contract Office 9 68.50 2025/3/1 2028/2/29 ¥ / SM / Month 2 85,853 2 72,241 2 81 0.5</t>
  </si>
  <si>
    <t>34.北京华润大厦租赁合同 11 Contract Office 1 5.00 2025/3/1 2028/2/29 ¥ / SM / Month 4 ,427 4 ,216 2 81</t>
  </si>
  <si>
    <t>35.北京华润大厦租赁合同 11 Contract Office 3 41.21 2025/3/1 2028/2/29 ¥ / SM / Month 1 00,708 9 5,913 2 81</t>
  </si>
  <si>
    <t>36.北京华润大厦租赁合同 12 Contract Office 1 ,877.92 2024/5/23 2027/5/22 ¥ / SM / Month 4 28,166 4 07,777 2 17</t>
  </si>
  <si>
    <t>37.北京华润大厦租赁合同 23 Contract Office 6 36.12 2024/9/1 2028/11/30 ¥ / SM / Month 1 51,397 1 44,187 2 27</t>
  </si>
  <si>
    <t>38.北京华润大厦租赁合同 17 Contract Office 9 31.25 2024/7/16 2029/7/15 ¥ / SM / Month 2 14,188 2 03,988 2 19</t>
  </si>
  <si>
    <t>39.北京华润大厦租赁合同 17 Contract Office 2 0.00 2024/7/16 2029/7/15 ¥ / SM / Month 4 ,600 4 ,381 2 19</t>
  </si>
  <si>
    <t>40.北京华润大厦租赁合同 17 Contract Office 2 0.00 2024/7/16 2029/7/15 ¥ / SM / Month 4 ,600 4 ,381 2 19</t>
  </si>
  <si>
    <r>
      <rPr>
        <sz val="11"/>
        <color theme="1"/>
        <rFont val="宋体"/>
        <family val="3"/>
        <charset val="134"/>
        <scheme val="minor"/>
      </rPr>
      <t>4</t>
    </r>
    <r>
      <rPr>
        <sz val="11"/>
        <color theme="1"/>
        <rFont val="宋体"/>
        <family val="3"/>
        <charset val="134"/>
        <scheme val="minor"/>
      </rPr>
      <t>1.北京华润大厦租赁合同 17 Contract Office 3 10.56 2022/7/1 2025/6/30 ¥ / SM / Month 1 16,351 1 10,811 3 57</t>
    </r>
  </si>
  <si>
    <t>42.北京华润大厦租赁合同 25 Contract Office 1 ,717.00 2024/9/1 2029/12/31 ¥ / SM / Month 3 94,910 3 76,105 2 19</t>
  </si>
  <si>
    <t>43.北京华润大厦租赁合同 22 Contract Office 1 ,767.00 2024/9/1 2029/12/31 ¥ / SM / Month 4 06,410 3 87,057 2 19</t>
  </si>
  <si>
    <t>44.北京华润大厦租赁合同 20 Contract Office 1 ,744.05 2024/9/1 2029/12/31 ¥ / SM / Month 4 01,132 3 82,030 2 19</t>
  </si>
  <si>
    <t>45.北京华润大厦租赁合同 26 Contract Office 1 ,767.00 2024/9/1 2029/12/31 ¥ / SM / Month 4 06,410 3 87,057 2 19</t>
  </si>
  <si>
    <t>46.北京华润大厦租赁合同 18 Contract Office 1 ,877.92 2024/9/1 2029/12/31 ¥ / SM / Month 4 31,922 4 11,354 2 19</t>
  </si>
  <si>
    <t>47.北京华润大厦租赁合同 2 Contract Office 2 ,712.96 2024/9/1 2029/12/31 ¥ / SM / Month 6 23,981 5 94,267 2 19</t>
  </si>
  <si>
    <t>48.北京华润大厦租赁合同 2 Contract Office 2 ,045.60 2024/9/1 2029/12/31 ¥ / SM / Month 4 70,488 4 48,084 2 19</t>
  </si>
  <si>
    <t>49.北京华润大厦租赁合同 2 Contract Office 1 0.00 2024/9/1 2029/12/31 ¥ / SM / Month 2 ,300 2 ,190 2 19</t>
  </si>
  <si>
    <t>50.北京华润大厦租赁合同 25 Contract Office 5 0.00 2024/9/1 2029/12/31 ¥ / SM / Month 1 1,500 1 0,952 2 19</t>
  </si>
  <si>
    <t>51.北京华润大厦租赁合同 19 Contract Office 1 5.00 2024/7/16 2026/8/15 ¥ / SM / Month 4 ,628 4 ,408 2 94</t>
  </si>
  <si>
    <t>52.北京华润大厦租赁合同 19 Contract Office 8 40.17 2024/7/16 2026/8/15 ¥ / SM / Month 2 59,226 2 46,882 2 94</t>
  </si>
  <si>
    <t>53.北京华润大厦租赁合同 19 Contract Office 1 5.00 2024/7/16 2026/8/15 ¥ / SM / Month 4 ,628 4 ,408 2 94</t>
  </si>
  <si>
    <t>54.北京华润大厦租赁合同 21 Contract Office 1 ,247.96 2025/1/1 2027/12/31 ¥ / SM / Month 2 75,799 2 62,666 2 10</t>
  </si>
  <si>
    <t>55.北京华润大厦租赁合同 21 Contract Office 2 96.36 2023/7/15 2026/7/14 ¥ / SM / Month 1 10,015 1 04,776 3 54</t>
  </si>
  <si>
    <t>56.北京华润大厦租赁合同 23 Contract Office 1 84.29 2023/10/1 2026/9/30 ¥ / SM / Month 7 4,942 7 1,373 3 87</t>
  </si>
  <si>
    <t>57.北京华润大厦租赁合同 23 Contract Office 4 03.49 2024/4/22 2027/4/21 ¥ / SM / Month 1 11,896 1 06,567 2 64</t>
  </si>
  <si>
    <t>58.北京华润大厦租赁合同 23 Contract Office 1 42.26 2024/10/1 2026/10/31 ¥ / SM / Month 3 2,720 3 1,162 2 19</t>
  </si>
  <si>
    <t>59.北京华润大厦租赁合同 23 Contract Office 1 83.03 2025/5/1 2030/4/30 ¥ / SM / Month 4 1,182 3 9,221 2 14</t>
  </si>
  <si>
    <t>60.北京华润大厦租赁合同 27 Contract Office 1 ,767.09 2025/1/1 2027/12/31 ¥ / SM / Month 7 00,916 6 67,539 3 78</t>
  </si>
  <si>
    <t>61.北京华润大厦租赁合同 1 Contract Office 3 16.25 2025/1/1 2027/12/31 ¥ / SM / Month 1 25,441 1 19,467 3 78</t>
  </si>
  <si>
    <t>62.北京华润大厦租赁合同 10 Contract Office 1 ,369.43 2025/7/1 2031/1/31 ¥ / SM / Month 2 85,115 2 71,538 1 98</t>
  </si>
  <si>
    <t>63.北京华润大厦租赁合同 17 Contract Office 4 01.81 2025/7/16 2029/7/15 ¥ / SM / Month 9 2,416 8 8,016 2 19</t>
  </si>
  <si>
    <t xml:space="preserve">64.空置   1 Vacant Office 7 75.50                                           </t>
  </si>
  <si>
    <t xml:space="preserve">65.空置   1 Vacant Office 4 6.26                                            </t>
  </si>
  <si>
    <t xml:space="preserve">66.空置   5 Vacant Office 6 7.46                                            </t>
  </si>
  <si>
    <t xml:space="preserve">67.空置   5 Vacant Office 2 17.94                                           </t>
  </si>
  <si>
    <t xml:space="preserve">68.空置   5 Vacant Office 1 39.94                                           </t>
  </si>
  <si>
    <t xml:space="preserve">69.空置   5 Vacant Office 1 45.80                                           </t>
  </si>
  <si>
    <t xml:space="preserve">70.空置   6 Vacant Office 3 45.36                                           </t>
  </si>
  <si>
    <t xml:space="preserve">71.空置   6 Vacant Office 3 16.07                                           </t>
  </si>
  <si>
    <t xml:space="preserve">72.空置   6 Vacant Office 1 37.67                                           </t>
  </si>
  <si>
    <t xml:space="preserve">73.空置   6 Vacant Office 2 16.59                                           </t>
  </si>
  <si>
    <t xml:space="preserve">74.空置   7 Vacant Office 6 32.20                                           </t>
  </si>
  <si>
    <t xml:space="preserve">75.空置   10 Vacant Office 5 08.48                                          </t>
  </si>
  <si>
    <t xml:space="preserve">76.空置   17 Vacant Office 2 08.24                                          </t>
  </si>
  <si>
    <t xml:space="preserve">77.空置   19 Vacant Office 9 84.44                                          </t>
  </si>
  <si>
    <t xml:space="preserve">78.空置   21 Vacant Office 2 98.40                                          </t>
  </si>
  <si>
    <t xml:space="preserve">79.空置   23 Vacant Office 2 17.93                                          </t>
  </si>
  <si>
    <t>80.北京华润大厦租赁合同 3 Contract Office 8 0.40 2024/8/31 2026/12/31 ¥ / SM / Month 2 1,438.66 2 0,418 2 54</t>
  </si>
  <si>
    <t>剩余租赁期</t>
  </si>
  <si>
    <t>平均日租金</t>
  </si>
  <si>
    <t>收益期内总收益</t>
  </si>
  <si>
    <t>估价对象总面积</t>
  </si>
  <si>
    <t>市调租金</t>
  </si>
  <si>
    <t>市调增长率</t>
  </si>
  <si>
    <t>租期结束后日租金</t>
  </si>
  <si>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</si>
  <si>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</si>
  <si>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</si>
  <si>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</si>
  <si>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</si>
  <si>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</si>
  <si>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</si>
  <si>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</si>
  <si>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</si>
  <si>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</si>
  <si>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</si>
  <si>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</si>
  <si>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</si>
  <si>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</si>
  <si>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</si>
  <si>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</si>
  <si>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</si>
  <si>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</si>
  <si>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</si>
  <si>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</si>
  <si>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</si>
  <si>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</si>
  <si>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</si>
  <si>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</si>
  <si>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</si>
  <si>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</si>
  <si>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</si>
  <si>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</si>
  <si>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</si>
  <si>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</si>
  <si>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</si>
  <si>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</si>
  <si>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</si>
  <si>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</si>
  <si>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</si>
  <si>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</si>
  <si>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</si>
  <si>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</si>
  <si>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</si>
  <si>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</si>
  <si>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</si>
  <si>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</si>
  <si>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</si>
  <si>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</si>
  <si>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</si>
  <si>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快速路</t>
  </si>
  <si>
    <t>主干道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</si>
  <si>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</si>
  <si>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</si>
  <si>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</si>
  <si>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</si>
  <si>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</si>
  <si>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</si>
  <si>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</si>
  <si>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</si>
  <si>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</si>
  <si>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</si>
  <si>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</si>
  <si>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</si>
  <si>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</si>
  <si>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</si>
  <si>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</si>
  <si>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</si>
  <si>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</si>
  <si>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</si>
  <si>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</si>
  <si>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</si>
  <si>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</si>
  <si>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</si>
  <si>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</si>
  <si>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</si>
  <si>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</si>
  <si>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</si>
  <si>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</si>
  <si>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</si>
  <si>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</si>
  <si>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</si>
  <si>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</si>
  <si>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</si>
  <si>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</si>
  <si>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</si>
  <si>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</si>
  <si>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</si>
  <si>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</si>
  <si>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</si>
  <si>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</si>
  <si>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</si>
  <si>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</si>
  <si>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</si>
  <si>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</si>
  <si>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</si>
  <si>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普通装修</t>
  </si>
  <si>
    <t>简单装修</t>
  </si>
  <si>
    <t>毛坯</t>
  </si>
  <si>
    <t>乙级</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</si>
  <si>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</si>
  <si>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</si>
  <si>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</si>
  <si>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</si>
  <si>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</si>
  <si>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</si>
  <si>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</si>
  <si>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</si>
  <si>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</si>
  <si>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</si>
  <si>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</si>
  <si>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</si>
  <si>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</si>
  <si>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</si>
  <si>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</si>
  <si>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</si>
  <si>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</si>
  <si>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</si>
  <si>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</si>
  <si>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</si>
  <si>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</si>
  <si>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</si>
  <si>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</si>
  <si>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</si>
  <si>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</si>
  <si>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</si>
  <si>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</si>
  <si>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</si>
  <si>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</si>
  <si>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</si>
  <si>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</si>
  <si>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</si>
  <si>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</si>
  <si>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</si>
  <si>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</si>
  <si>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</si>
  <si>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</si>
  <si>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</si>
  <si>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</si>
  <si>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</si>
  <si>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</si>
  <si>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</si>
  <si>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</si>
  <si>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</si>
  <si>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</si>
  <si>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</si>
  <si>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</si>
  <si>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</si>
  <si>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</si>
  <si>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</si>
  <si>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</si>
  <si>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</si>
  <si>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</si>
  <si>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</si>
  <si>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</si>
  <si>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</si>
  <si>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</si>
  <si>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</si>
  <si>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</si>
  <si>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</si>
  <si>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</si>
  <si>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</si>
  <si>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</si>
  <si>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</si>
  <si>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</si>
  <si>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</si>
  <si>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</si>
  <si>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</si>
  <si>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</si>
  <si>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</si>
  <si>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</si>
  <si>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</si>
  <si>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</si>
  <si>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</si>
  <si>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</si>
  <si>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</si>
  <si>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</si>
  <si>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</si>
  <si>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</si>
  <si>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</si>
  <si>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</si>
  <si>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</si>
  <si>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</si>
  <si>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</si>
  <si>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</si>
  <si>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</si>
  <si>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</si>
  <si>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</si>
  <si>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</si>
  <si>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</si>
  <si>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</si>
  <si>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</si>
  <si>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</si>
  <si>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</si>
  <si>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</si>
  <si>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</si>
  <si>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</si>
  <si>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</si>
  <si>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</si>
  <si>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</si>
  <si>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</si>
  <si>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</si>
  <si>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</si>
  <si>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</si>
  <si>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</si>
  <si>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</si>
  <si>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</si>
  <si>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</si>
  <si>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</si>
  <si>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</si>
  <si>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</si>
  <si>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</si>
  <si>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</si>
  <si>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</si>
  <si>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</si>
  <si>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</si>
  <si>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</si>
  <si>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</si>
  <si>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</si>
  <si>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</si>
  <si>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</si>
  <si>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</si>
  <si>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</si>
  <si>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</si>
  <si>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</si>
  <si>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</si>
  <si>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</si>
  <si>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</si>
  <si>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</si>
  <si>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</si>
  <si>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</si>
  <si>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</si>
  <si>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</si>
  <si>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</si>
  <si>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</si>
  <si>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</si>
  <si>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</si>
  <si>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</si>
  <si>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</si>
  <si>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</si>
  <si>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</si>
  <si>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</si>
  <si>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</si>
  <si>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</si>
  <si>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</si>
  <si>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</si>
  <si>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</si>
  <si>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</si>
  <si>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</si>
  <si>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</si>
  <si>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</si>
  <si>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</si>
  <si>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</si>
  <si>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</si>
  <si>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</si>
  <si>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</si>
  <si>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</si>
  <si>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</si>
  <si>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</si>
  <si>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</si>
  <si>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</si>
  <si>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</si>
  <si>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</si>
  <si>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</si>
  <si>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</si>
  <si>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</si>
  <si>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</si>
  <si>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</si>
  <si>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</si>
  <si>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</si>
  <si>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</si>
  <si>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</si>
  <si>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</si>
  <si>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</si>
  <si>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</si>
  <si>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</si>
  <si>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</si>
  <si>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</si>
  <si>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</si>
  <si>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</si>
  <si>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</si>
  <si>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</si>
  <si>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</si>
  <si>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</si>
  <si>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</si>
  <si>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</si>
  <si>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</si>
  <si>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</si>
  <si>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</si>
  <si>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</si>
  <si>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</si>
  <si>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</si>
  <si>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</si>
  <si>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</si>
  <si>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</si>
  <si>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</si>
  <si>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</si>
  <si>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</si>
  <si>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</si>
  <si>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</si>
  <si>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</si>
  <si>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</si>
  <si>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</si>
  <si>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</si>
  <si>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</si>
  <si>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</si>
  <si>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</si>
  <si>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</si>
  <si>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</si>
  <si>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</si>
  <si>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</si>
  <si>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</si>
  <si>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</si>
  <si>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</si>
  <si>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</si>
  <si>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</si>
  <si>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</si>
  <si>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</si>
  <si>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</si>
  <si>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</si>
  <si>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</si>
  <si>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</si>
  <si>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</si>
  <si>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</si>
  <si>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</si>
  <si>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</si>
  <si>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</si>
  <si>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</si>
  <si>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</si>
  <si>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</si>
  <si>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</si>
  <si>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</si>
  <si>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</si>
  <si>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</si>
  <si>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</si>
  <si>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</si>
  <si>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</si>
  <si>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</si>
  <si>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</si>
  <si>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</si>
  <si>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</si>
  <si>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</si>
  <si>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</si>
  <si>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</si>
  <si>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</si>
  <si>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</si>
  <si>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</si>
  <si>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</si>
  <si>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</si>
  <si>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</si>
  <si>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</si>
  <si>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</si>
  <si>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</si>
  <si>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</si>
  <si>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</si>
  <si>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</si>
  <si>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</si>
  <si>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</si>
  <si>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</si>
  <si>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</si>
  <si>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</si>
  <si>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</si>
  <si>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</si>
  <si>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</si>
  <si>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</si>
  <si>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</si>
  <si>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</si>
  <si>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</si>
  <si>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</si>
  <si>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</si>
  <si>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</si>
  <si>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</si>
  <si>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</si>
  <si>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</si>
  <si>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</si>
  <si>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</si>
  <si>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</si>
  <si>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</si>
  <si>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</si>
  <si>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</si>
  <si>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</si>
  <si>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</si>
  <si>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</si>
  <si>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</si>
  <si>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</si>
  <si>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</si>
  <si>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</si>
  <si>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</si>
  <si>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</si>
  <si>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</si>
  <si>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</si>
  <si>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</si>
  <si>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</si>
  <si>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</si>
  <si>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</si>
  <si>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</si>
  <si>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</si>
  <si>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</si>
  <si>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</si>
  <si>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</si>
  <si>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</si>
  <si>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</si>
  <si>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</si>
  <si>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</si>
  <si>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</si>
  <si>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</si>
  <si>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</si>
  <si>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</si>
  <si>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</si>
  <si>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</si>
  <si>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</si>
  <si>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</si>
  <si>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</si>
  <si>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</si>
  <si>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</si>
  <si>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</si>
  <si>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</si>
  <si>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</si>
  <si>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</si>
  <si>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</si>
  <si>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</si>
  <si>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</si>
  <si>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</si>
  <si>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</si>
  <si>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</si>
  <si>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</si>
  <si>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</si>
  <si>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</si>
  <si>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</si>
  <si>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</si>
  <si>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</si>
  <si>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</si>
  <si>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</si>
  <si>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</si>
  <si>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</si>
  <si>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</si>
  <si>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</si>
  <si>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</si>
  <si>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</si>
  <si>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</si>
  <si>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</si>
  <si>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</si>
  <si>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</si>
  <si>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</si>
  <si>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</si>
  <si>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</si>
  <si>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</si>
  <si>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</si>
  <si>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</si>
  <si>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</si>
  <si>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</si>
  <si>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</si>
  <si>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</si>
  <si>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</si>
  <si>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</si>
  <si>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</si>
  <si>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</si>
  <si>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</si>
  <si>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</si>
  <si>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</si>
  <si>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</si>
  <si>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</si>
  <si>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</si>
  <si>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</si>
  <si>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</si>
  <si>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</si>
  <si>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</si>
  <si>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</si>
  <si>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</si>
  <si>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</si>
  <si>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</si>
  <si>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</si>
  <si>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</si>
  <si>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</si>
  <si>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</si>
  <si>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</si>
  <si>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</si>
  <si>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</si>
  <si>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</si>
  <si>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</si>
  <si>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</si>
  <si>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</si>
  <si>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</si>
  <si>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</si>
  <si>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</si>
  <si>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</si>
  <si>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</si>
  <si>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</si>
  <si>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</si>
  <si>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</si>
  <si>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</si>
  <si>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</si>
  <si>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</si>
  <si>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</si>
  <si>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</si>
  <si>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</si>
  <si>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</si>
  <si>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</si>
  <si>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</si>
  <si>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</si>
  <si>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</si>
  <si>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</si>
  <si>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</si>
  <si>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</si>
  <si>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</si>
  <si>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</si>
  <si>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</si>
  <si>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</si>
  <si>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</si>
  <si>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</si>
  <si>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</si>
  <si>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</si>
  <si>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</si>
  <si>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</si>
  <si>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</si>
  <si>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</si>
  <si>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</si>
  <si>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</si>
  <si>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</si>
  <si>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</si>
  <si>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</si>
  <si>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</si>
  <si>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</si>
  <si>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</si>
  <si>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</si>
  <si>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</si>
  <si>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</si>
  <si>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</si>
  <si>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</si>
  <si>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</si>
  <si>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</si>
  <si>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</si>
  <si>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</si>
  <si>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</si>
  <si>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</si>
  <si>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</si>
  <si>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</si>
  <si>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</si>
  <si>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</si>
  <si>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</si>
  <si>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</si>
  <si>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</si>
  <si>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</si>
  <si>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</si>
  <si>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</si>
  <si>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</si>
  <si>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</si>
  <si>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</si>
  <si>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</si>
  <si>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</si>
  <si>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</si>
  <si>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</si>
  <si>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</si>
  <si>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</si>
  <si>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</si>
  <si>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</si>
  <si>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</si>
  <si>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</si>
  <si>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</si>
  <si>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</si>
  <si>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</si>
  <si>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</si>
  <si>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</si>
  <si>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</si>
  <si>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</si>
  <si>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</si>
  <si>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</si>
  <si>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</si>
  <si>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</si>
  <si>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</si>
  <si>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</si>
  <si>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</si>
  <si>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</si>
  <si>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</si>
  <si>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</si>
  <si>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</si>
  <si>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</si>
  <si>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</si>
  <si>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</si>
  <si>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</si>
  <si>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</si>
  <si>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</si>
  <si>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</si>
  <si>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</si>
  <si>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</si>
  <si>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</si>
  <si>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</si>
  <si>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</si>
  <si>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</si>
  <si>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</si>
  <si>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</si>
  <si>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</si>
  <si>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</si>
  <si>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</si>
  <si>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</si>
  <si>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</si>
  <si>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</si>
  <si>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</si>
  <si>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</si>
  <si>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</si>
  <si>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</si>
  <si>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</si>
  <si>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</si>
  <si>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</si>
  <si>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</si>
  <si>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</si>
  <si>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</si>
  <si>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</si>
  <si>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</si>
  <si>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</si>
  <si>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</si>
  <si>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</si>
  <si>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</si>
  <si>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</si>
  <si>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</si>
  <si>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</si>
  <si>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</si>
  <si>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</si>
  <si>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</si>
  <si>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</si>
  <si>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</si>
  <si>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</si>
  <si>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</si>
  <si>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</si>
  <si>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</si>
  <si>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</si>
  <si>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</si>
  <si>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</si>
  <si>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</si>
  <si>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</si>
  <si>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</si>
  <si>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</si>
  <si>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</si>
  <si>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</si>
  <si>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</si>
  <si>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</si>
  <si>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</si>
  <si>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</si>
  <si>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</si>
  <si>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</si>
  <si>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</si>
  <si>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</si>
  <si>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</si>
  <si>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</si>
  <si>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</si>
  <si>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</si>
  <si>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</si>
  <si>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</si>
  <si>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</si>
  <si>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</si>
  <si>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</si>
  <si>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</si>
  <si>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</si>
  <si>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</si>
  <si>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</si>
  <si>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</si>
  <si>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</si>
  <si>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</si>
  <si>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</si>
  <si>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</si>
  <si>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</si>
  <si>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</si>
  <si>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</si>
  <si>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</si>
  <si>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</si>
  <si>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</si>
  <si>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</si>
  <si>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</si>
  <si>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</si>
  <si>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</si>
  <si>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</si>
  <si>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</si>
  <si>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</si>
  <si>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</si>
  <si>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</si>
  <si>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</si>
  <si>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</si>
  <si>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</si>
  <si>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</si>
  <si>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</si>
  <si>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</si>
  <si>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</si>
  <si>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</si>
  <si>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</si>
  <si>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</si>
  <si>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</si>
  <si>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</si>
  <si>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</si>
  <si>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</si>
  <si>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</si>
  <si>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</si>
  <si>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</si>
  <si>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</si>
  <si>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</si>
  <si>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</si>
  <si>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</si>
  <si>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</si>
  <si>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</si>
  <si>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</si>
  <si>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</si>
  <si>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</si>
  <si>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</si>
  <si>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</si>
  <si>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</si>
  <si>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</si>
  <si>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</si>
  <si>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</si>
  <si>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</si>
  <si>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</si>
  <si>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</si>
  <si>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</si>
  <si>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</si>
  <si>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</si>
  <si>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</si>
  <si>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</si>
  <si>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</si>
  <si>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</si>
  <si>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</si>
  <si>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</si>
  <si>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</si>
  <si>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</si>
  <si>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</si>
  <si>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</si>
  <si>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</si>
  <si>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</si>
  <si>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</si>
  <si>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</si>
  <si>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</si>
  <si>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</si>
  <si>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</si>
  <si>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</si>
  <si>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</si>
  <si>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</si>
  <si>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</si>
  <si>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</si>
  <si>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</si>
  <si>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</si>
  <si>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</si>
  <si>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</si>
  <si>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</si>
  <si>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</si>
  <si>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</si>
  <si>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</si>
  <si>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</si>
  <si>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</si>
  <si>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</si>
  <si>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</si>
  <si>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</si>
  <si>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</si>
  <si>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</si>
  <si>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</si>
  <si>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</si>
  <si>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</si>
  <si>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</si>
  <si>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</si>
  <si>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</si>
  <si>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</si>
  <si>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</si>
  <si>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</si>
  <si>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</si>
  <si>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</si>
  <si>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</si>
  <si>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</si>
  <si>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</si>
  <si>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</si>
  <si>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</si>
  <si>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</si>
  <si>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</si>
  <si>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</si>
  <si>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</si>
  <si>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</si>
  <si>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</si>
  <si>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</si>
  <si>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</si>
  <si>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</si>
  <si>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</si>
  <si>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</si>
  <si>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</si>
  <si>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</si>
  <si>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</si>
  <si>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</si>
  <si>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</si>
  <si>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</si>
  <si>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</si>
  <si>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</si>
  <si>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</si>
  <si>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</si>
  <si>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</si>
  <si>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</si>
  <si>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</si>
  <si>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</si>
  <si>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</si>
  <si>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</si>
  <si>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</si>
  <si>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</si>
  <si>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</si>
  <si>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</si>
  <si>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</si>
  <si>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</si>
  <si>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</si>
  <si>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</si>
  <si>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</si>
  <si>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</si>
  <si>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</si>
  <si>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</si>
  <si>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</si>
  <si>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</si>
  <si>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</si>
  <si>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</si>
  <si>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</si>
  <si>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</si>
  <si>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</si>
  <si>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</si>
  <si>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</si>
  <si>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</si>
  <si>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</si>
  <si>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</si>
  <si>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</si>
  <si>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</si>
  <si>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</si>
  <si>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</si>
  <si>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</si>
  <si>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</si>
  <si>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</si>
  <si>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</si>
  <si>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</si>
  <si>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</si>
  <si>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</si>
  <si>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</si>
  <si>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</si>
  <si>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</si>
  <si>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</si>
  <si>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</si>
  <si>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</si>
  <si>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</si>
  <si>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</si>
  <si>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</si>
  <si>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</si>
  <si>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</si>
  <si>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</si>
  <si>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</si>
  <si>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</si>
  <si>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</si>
  <si>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</si>
  <si>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</si>
  <si>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</si>
  <si>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</si>
  <si>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</si>
  <si>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</si>
  <si>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</si>
  <si>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</si>
  <si>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</si>
  <si>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</si>
  <si>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</si>
  <si>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</si>
  <si>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</si>
  <si>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</si>
  <si>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</si>
  <si>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</si>
  <si>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</si>
  <si>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</si>
  <si>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</si>
  <si>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</si>
  <si>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</si>
  <si>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</si>
  <si>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</si>
  <si>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</si>
  <si>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</si>
  <si>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</si>
  <si>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</si>
  <si>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</si>
  <si>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</si>
  <si>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</si>
  <si>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</si>
  <si>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</si>
  <si>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</si>
  <si>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</si>
  <si>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</si>
  <si>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</si>
  <si>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</si>
  <si>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</si>
  <si>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</si>
  <si>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</si>
  <si>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</si>
  <si>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</si>
  <si>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</si>
  <si>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</si>
  <si>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</si>
  <si>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</si>
  <si>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</si>
  <si>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</si>
  <si>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</si>
  <si>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</si>
  <si>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</si>
  <si>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</si>
  <si>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</si>
  <si>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</si>
  <si>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</si>
  <si>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</si>
  <si>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</si>
  <si>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</si>
  <si>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</si>
  <si>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</si>
  <si>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</si>
  <si>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</si>
  <si>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</si>
  <si>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</si>
  <si>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</si>
  <si>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</si>
  <si>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</si>
  <si>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</si>
  <si>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</si>
  <si>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</si>
  <si>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</si>
  <si>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</si>
  <si>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</si>
  <si>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</si>
  <si>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</si>
  <si>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</si>
  <si>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</si>
  <si>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</si>
  <si>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</si>
  <si>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</si>
  <si>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</si>
  <si>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</si>
  <si>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</si>
  <si>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</si>
  <si>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</si>
  <si>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</si>
  <si>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</si>
  <si>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</si>
  <si>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</si>
  <si>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</si>
  <si>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</si>
  <si>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</si>
  <si>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</si>
  <si>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</si>
  <si>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</si>
  <si>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</si>
  <si>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</si>
  <si>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</si>
  <si>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</si>
  <si>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</si>
  <si>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</si>
  <si>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</si>
  <si>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</si>
  <si>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</si>
  <si>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</si>
  <si>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</si>
  <si>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</si>
  <si>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</si>
  <si>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</si>
  <si>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</si>
  <si>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</si>
  <si>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</si>
  <si>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</si>
  <si>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</si>
  <si>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</si>
  <si>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</si>
  <si>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</si>
  <si>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</si>
  <si>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</si>
  <si>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</si>
  <si>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</si>
  <si>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</si>
  <si>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</si>
  <si>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</si>
  <si>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</si>
  <si>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</si>
  <si>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</si>
  <si>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</si>
  <si>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</si>
  <si>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</si>
  <si>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</si>
  <si>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</si>
  <si>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</si>
  <si>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</si>
  <si>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</si>
  <si>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</si>
  <si>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</si>
  <si>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</si>
  <si>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</si>
  <si>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</si>
  <si>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</si>
  <si>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</si>
  <si>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</si>
  <si>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</si>
  <si>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</si>
  <si>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</si>
  <si>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</si>
  <si>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</si>
  <si>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</si>
  <si>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</si>
  <si>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</si>
  <si>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</si>
  <si>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</si>
  <si>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</si>
  <si>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</si>
  <si>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</si>
  <si>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</si>
  <si>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</si>
  <si>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</si>
  <si>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</si>
  <si>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</si>
  <si>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</si>
  <si>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</si>
  <si>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</si>
  <si>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</si>
  <si>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</si>
  <si>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</si>
  <si>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</si>
  <si>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</si>
  <si>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</si>
  <si>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</si>
  <si>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</si>
  <si>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</si>
  <si>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</si>
  <si>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</si>
  <si>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</si>
  <si>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</si>
  <si>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</si>
  <si>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</si>
  <si>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</si>
  <si>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</si>
  <si>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</si>
  <si>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</si>
  <si>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</si>
  <si>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</si>
  <si>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</si>
  <si>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</si>
  <si>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</si>
  <si>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</si>
  <si>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</si>
  <si>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</si>
  <si>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</si>
  <si>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</si>
  <si>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</si>
  <si>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</si>
  <si>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</si>
  <si>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</si>
  <si>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</si>
  <si>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</si>
  <si>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</si>
  <si>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</si>
  <si>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</si>
  <si>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</si>
  <si>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</si>
  <si>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</si>
  <si>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</si>
  <si>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</si>
  <si>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</si>
  <si>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</si>
  <si>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</si>
  <si>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</si>
  <si>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</si>
  <si>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</si>
  <si>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</si>
  <si>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</si>
  <si>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</si>
  <si>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</si>
  <si>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</si>
  <si>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</si>
  <si>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</si>
  <si>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</si>
  <si>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</si>
  <si>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</si>
  <si>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</si>
  <si>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</si>
  <si>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</si>
  <si>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</si>
  <si>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</si>
  <si>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</si>
  <si>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</si>
  <si>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</si>
  <si>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</si>
  <si>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</si>
  <si>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</si>
  <si>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</si>
  <si>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</si>
  <si>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</si>
  <si>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</si>
  <si>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</si>
  <si>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</si>
  <si>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</si>
  <si>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</si>
  <si>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</si>
  <si>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</si>
  <si>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</si>
  <si>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</si>
  <si>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</si>
  <si>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</si>
  <si>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</si>
  <si>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</si>
  <si>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</si>
  <si>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</si>
  <si>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</si>
  <si>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</si>
  <si>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</si>
  <si>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</si>
  <si>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</si>
  <si>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</si>
  <si>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</si>
  <si>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</si>
  <si>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</si>
  <si>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</si>
  <si>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</si>
  <si>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</si>
  <si>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</si>
  <si>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</si>
  <si>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</si>
  <si>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</si>
  <si>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</si>
  <si>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</si>
  <si>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</si>
  <si>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</si>
  <si>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</si>
  <si>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</si>
  <si>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</si>
  <si>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</si>
  <si>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</si>
  <si>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</si>
  <si>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</si>
  <si>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</si>
  <si>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</si>
  <si>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</si>
  <si>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</si>
  <si>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</si>
  <si>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</si>
  <si>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</si>
  <si>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</si>
  <si>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</si>
  <si>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</si>
  <si>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</si>
  <si>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</si>
  <si>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</si>
  <si>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</si>
  <si>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</si>
  <si>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</si>
  <si>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</si>
  <si>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</si>
  <si>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</si>
  <si>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</si>
  <si>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</si>
  <si>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</si>
  <si>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</si>
  <si>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</si>
  <si>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</si>
  <si>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</si>
  <si>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</si>
  <si>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</si>
  <si>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</si>
  <si>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</si>
  <si>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</si>
  <si>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</si>
  <si>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</si>
  <si>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</si>
  <si>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</si>
  <si>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</si>
  <si>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</si>
  <si>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</si>
  <si>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</si>
  <si>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</si>
  <si>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</si>
  <si>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</si>
  <si>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</si>
  <si>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</si>
  <si>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</si>
  <si>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</si>
  <si>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</si>
  <si>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</si>
  <si>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</si>
  <si>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</si>
  <si>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</si>
  <si>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</si>
  <si>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</si>
  <si>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</si>
  <si>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</si>
  <si>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</si>
  <si>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</si>
  <si>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</si>
  <si>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</si>
  <si>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</si>
  <si>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</si>
  <si>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</si>
  <si>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</si>
  <si>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</si>
  <si>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</si>
  <si>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</si>
  <si>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</si>
  <si>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</si>
  <si>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</si>
  <si>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</si>
  <si>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</si>
  <si>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</si>
  <si>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</si>
  <si>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</si>
  <si>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</si>
  <si>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</si>
  <si>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</si>
  <si>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</si>
  <si>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</si>
  <si>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</si>
  <si>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</si>
  <si>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</si>
  <si>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</si>
  <si>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</si>
  <si>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</si>
  <si>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</si>
  <si>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</si>
  <si>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</si>
  <si>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</si>
  <si>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</si>
  <si>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</si>
  <si>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</si>
  <si>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</si>
  <si>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</si>
  <si>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</si>
  <si>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</si>
  <si>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</si>
  <si>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</si>
  <si>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</si>
  <si>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</si>
  <si>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</si>
  <si>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</si>
  <si>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</si>
  <si>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</si>
  <si>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</si>
  <si>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</si>
  <si>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</si>
  <si>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</si>
  <si>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</si>
  <si>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</si>
  <si>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</si>
  <si>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</si>
  <si>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</si>
  <si>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</si>
  <si>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</si>
  <si>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</si>
  <si>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</si>
  <si>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</si>
  <si>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</si>
  <si>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</si>
  <si>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</si>
  <si>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</si>
  <si>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</si>
  <si>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</si>
  <si>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</si>
  <si>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</si>
  <si>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</si>
  <si>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</si>
  <si>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</si>
  <si>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</si>
  <si>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</si>
  <si>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</si>
  <si>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</si>
  <si>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</si>
  <si>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</si>
  <si>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</si>
  <si>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</si>
  <si>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</si>
  <si>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</si>
  <si>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</si>
  <si>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</si>
  <si>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</si>
  <si>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</si>
  <si>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</si>
  <si>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</si>
  <si>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</si>
  <si>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</si>
  <si>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</si>
  <si>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</si>
  <si>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</si>
  <si>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</si>
  <si>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</si>
  <si>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</si>
  <si>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</si>
  <si>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</si>
  <si>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</si>
  <si>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</si>
  <si>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</si>
  <si>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</si>
  <si>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</si>
  <si>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</si>
  <si>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</si>
  <si>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</si>
  <si>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</si>
  <si>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</si>
  <si>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</si>
  <si>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</si>
  <si>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</si>
  <si>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</si>
  <si>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</si>
  <si>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</si>
  <si>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</si>
  <si>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</si>
  <si>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</si>
  <si>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</si>
  <si>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</si>
  <si>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</si>
  <si>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</si>
  <si>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</si>
  <si>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</si>
  <si>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</si>
  <si>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</si>
  <si>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</si>
  <si>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</si>
  <si>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</si>
  <si>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</si>
  <si>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</si>
  <si>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</si>
  <si>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</si>
  <si>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</si>
  <si>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</si>
  <si>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</si>
  <si>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</si>
  <si>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</si>
  <si>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</si>
  <si>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</si>
  <si>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</si>
  <si>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</si>
  <si>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</si>
  <si>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</si>
  <si>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</si>
  <si>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</si>
  <si>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</si>
  <si>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</si>
  <si>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</si>
  <si>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</si>
  <si>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</si>
  <si>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</si>
  <si>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</si>
  <si>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</si>
  <si>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</si>
  <si>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</si>
  <si>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</si>
  <si>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</si>
  <si>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</si>
  <si>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</si>
  <si>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</si>
  <si>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</si>
  <si>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</si>
  <si>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</si>
  <si>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</si>
  <si>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</si>
  <si>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</si>
  <si>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</si>
  <si>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</si>
  <si>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</si>
  <si>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</si>
  <si>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</si>
  <si>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</si>
  <si>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</si>
  <si>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</si>
  <si>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</si>
  <si>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</si>
  <si>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</si>
  <si>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</si>
  <si>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</si>
  <si>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</si>
  <si>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</si>
  <si>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</si>
  <si>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</si>
  <si>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</si>
  <si>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</si>
  <si>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</si>
  <si>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</si>
  <si>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</si>
  <si>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</si>
  <si>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</si>
  <si>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</si>
  <si>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</si>
  <si>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</si>
  <si>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</si>
  <si>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</si>
  <si>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</si>
  <si>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</si>
  <si>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</si>
  <si>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</si>
  <si>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</si>
  <si>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</si>
  <si>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</si>
  <si>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</si>
  <si>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</si>
  <si>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</si>
  <si>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</si>
  <si>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</si>
  <si>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</si>
  <si>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</si>
  <si>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</si>
  <si>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</si>
  <si>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</si>
  <si>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</si>
  <si>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</si>
  <si>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</si>
  <si>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</si>
  <si>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</si>
  <si>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</si>
  <si>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</si>
  <si>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</si>
  <si>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</si>
  <si>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</si>
  <si>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</si>
  <si>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</si>
  <si>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</si>
  <si>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</si>
  <si>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</si>
  <si>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</si>
  <si>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</si>
  <si>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</si>
  <si>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</si>
  <si>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</si>
  <si>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</si>
  <si>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</si>
  <si>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</si>
  <si>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</si>
  <si>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</si>
  <si>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</si>
  <si>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</si>
  <si>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</si>
  <si>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</si>
  <si>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</si>
  <si>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</si>
  <si>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</si>
  <si>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</si>
  <si>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</si>
  <si>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</si>
  <si>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</si>
  <si>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</si>
  <si>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</si>
  <si>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</si>
  <si>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</si>
  <si>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</si>
  <si>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</si>
  <si>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</si>
  <si>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</si>
  <si>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</si>
  <si>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</si>
  <si>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</si>
  <si>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</si>
  <si>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</si>
  <si>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</si>
  <si>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</si>
  <si>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</si>
  <si>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</si>
  <si>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</si>
  <si>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</si>
  <si>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</si>
  <si>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</si>
  <si>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</si>
  <si>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</si>
  <si>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</si>
  <si>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</si>
  <si>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</si>
  <si>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</si>
  <si>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</si>
  <si>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</si>
  <si>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</si>
  <si>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</si>
  <si>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</si>
  <si>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</si>
  <si>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</si>
  <si>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</si>
  <si>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</si>
  <si>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</si>
  <si>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</si>
  <si>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</si>
  <si>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</si>
  <si>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</si>
  <si>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</si>
  <si>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</si>
  <si>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</si>
  <si>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</si>
  <si>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</si>
  <si>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</si>
  <si>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</si>
  <si>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</si>
  <si>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</si>
  <si>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</si>
  <si>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</si>
  <si>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</si>
  <si>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</si>
  <si>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</si>
  <si>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</si>
  <si>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</si>
  <si>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</si>
  <si>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</si>
  <si>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</si>
  <si>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</si>
  <si>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</si>
  <si>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</si>
  <si>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</si>
  <si>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</si>
  <si>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</si>
  <si>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</si>
  <si>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</si>
  <si>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</si>
  <si>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</si>
  <si>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</si>
  <si>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</si>
  <si>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</si>
  <si>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</si>
  <si>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</si>
  <si>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</si>
  <si>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</si>
  <si>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</si>
  <si>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</si>
  <si>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</si>
  <si>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</si>
  <si>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</si>
  <si>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</si>
  <si>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</si>
  <si>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</si>
  <si>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</si>
  <si>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</si>
  <si>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</si>
  <si>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</si>
  <si>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</si>
  <si>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</si>
  <si>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</si>
  <si>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</si>
  <si>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</si>
  <si>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</si>
  <si>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</si>
  <si>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</si>
  <si>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</si>
  <si>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</si>
  <si>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</si>
  <si>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</si>
  <si>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</si>
  <si>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</si>
  <si>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</si>
  <si>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</si>
  <si>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</si>
  <si>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</si>
  <si>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</si>
  <si>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</si>
  <si>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</si>
  <si>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</si>
  <si>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</si>
  <si>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</si>
  <si>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</si>
  <si>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</si>
  <si>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</si>
  <si>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</si>
  <si>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</si>
  <si>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</si>
  <si>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</si>
  <si>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</si>
  <si>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</si>
  <si>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</si>
  <si>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</si>
  <si>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</si>
  <si>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</si>
  <si>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</si>
  <si>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</si>
  <si>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</si>
  <si>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</si>
  <si>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</si>
  <si>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</si>
  <si>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</si>
  <si>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</si>
  <si>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</si>
  <si>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</si>
  <si>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</si>
  <si>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</si>
  <si>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</si>
  <si>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</si>
  <si>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</si>
  <si>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</si>
  <si>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</si>
  <si>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</si>
  <si>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</si>
  <si>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</si>
  <si>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</si>
  <si>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</si>
  <si>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</si>
  <si>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</si>
  <si>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</si>
  <si>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</si>
  <si>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</si>
  <si>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</si>
  <si>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</si>
  <si>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</si>
  <si>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</si>
  <si>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</si>
  <si>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</si>
  <si>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</si>
  <si>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</si>
  <si>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</si>
  <si>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</si>
  <si>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</si>
  <si>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</si>
  <si>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</si>
  <si>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</si>
  <si>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</si>
  <si>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</si>
  <si>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</si>
  <si>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</si>
  <si>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</si>
  <si>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</si>
  <si>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</si>
  <si>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</si>
  <si>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</si>
  <si>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</si>
  <si>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</si>
  <si>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</si>
  <si>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</si>
  <si>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</si>
  <si>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</si>
  <si>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</si>
  <si>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</si>
  <si>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</si>
  <si>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</si>
  <si>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</si>
  <si>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</si>
  <si>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</si>
  <si>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</si>
  <si>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</si>
  <si>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</si>
  <si>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</si>
  <si>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</si>
  <si>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</si>
  <si>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</si>
  <si>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</si>
  <si>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</si>
  <si>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</si>
  <si>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</si>
  <si>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</si>
  <si>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</si>
  <si>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</si>
  <si>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</si>
  <si>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</si>
  <si>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</si>
  <si>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</si>
  <si>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</si>
  <si>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</si>
  <si>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</si>
  <si>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</si>
  <si>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</si>
  <si>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</si>
  <si>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</si>
  <si>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</si>
  <si>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</si>
  <si>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</si>
  <si>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</si>
  <si>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</si>
  <si>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</si>
  <si>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</si>
  <si>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</si>
  <si>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</si>
  <si>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</si>
  <si>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</si>
  <si>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</si>
  <si>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</si>
  <si>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</si>
  <si>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</si>
  <si>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</si>
  <si>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</si>
  <si>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</si>
  <si>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</si>
  <si>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</si>
  <si>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</si>
  <si>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</si>
  <si>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</si>
  <si>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</si>
  <si>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</si>
  <si>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</si>
  <si>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</si>
  <si>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</si>
  <si>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</si>
  <si>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</si>
  <si>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</si>
  <si>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</si>
  <si>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</si>
  <si>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</si>
  <si>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</si>
  <si>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</si>
  <si>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</si>
  <si>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</si>
  <si>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</si>
  <si>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</si>
  <si>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</si>
  <si>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</si>
  <si>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</si>
  <si>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</si>
  <si>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</si>
  <si>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</si>
  <si>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</si>
  <si>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</si>
  <si>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</si>
  <si>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</si>
  <si>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</si>
  <si>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</si>
  <si>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</si>
  <si>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</si>
  <si>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</si>
  <si>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</si>
  <si>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</si>
  <si>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</si>
  <si>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</si>
  <si>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</si>
  <si>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</si>
  <si>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</si>
  <si>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</si>
  <si>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</si>
  <si>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</si>
  <si>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</si>
  <si>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</si>
  <si>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</si>
  <si>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</si>
  <si>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</si>
  <si>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</si>
  <si>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</si>
  <si>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</si>
  <si>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</si>
  <si>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</si>
  <si>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</si>
  <si>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</si>
  <si>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</si>
  <si>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</si>
  <si>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</si>
  <si>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</si>
  <si>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</si>
  <si>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</si>
  <si>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</si>
  <si>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</si>
  <si>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</si>
  <si>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</si>
  <si>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</si>
  <si>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</si>
  <si>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</si>
  <si>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</si>
  <si>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</si>
  <si>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</si>
  <si>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</si>
  <si>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</si>
  <si>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</si>
  <si>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</si>
  <si>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</si>
  <si>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</si>
  <si>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</si>
  <si>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</si>
  <si>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</si>
  <si>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</si>
  <si>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建成年代</t>
    <phoneticPr fontId="228" type="noConversion"/>
  </si>
  <si>
    <t>40-50</t>
  </si>
  <si>
    <t>40-50</t>
    <phoneticPr fontId="228" type="noConversion"/>
  </si>
  <si>
    <t>地下用途</t>
    <phoneticPr fontId="228" type="noConversion"/>
  </si>
  <si>
    <t>商业、车位</t>
    <phoneticPr fontId="228" type="noConversion"/>
  </si>
  <si>
    <t>办公、车位</t>
    <phoneticPr fontId="228" type="noConversion"/>
  </si>
  <si>
    <t>商业、车位</t>
    <phoneticPr fontId="228" type="noConversion"/>
  </si>
  <si>
    <t>商业</t>
    <phoneticPr fontId="228" type="noConversion"/>
  </si>
  <si>
    <t>商业</t>
    <phoneticPr fontId="228" type="noConversion"/>
  </si>
  <si>
    <t>无</t>
    <phoneticPr fontId="228" type="noConversion"/>
  </si>
  <si>
    <t>车位</t>
    <phoneticPr fontId="228" type="noConversion"/>
  </si>
  <si>
    <t>车位</t>
    <phoneticPr fontId="228" type="noConversion"/>
  </si>
  <si>
    <t>0-5%</t>
  </si>
  <si>
    <t>5-10%</t>
  </si>
  <si>
    <t>10-15%</t>
  </si>
  <si>
    <t>15-20%</t>
  </si>
  <si>
    <t>20-25%</t>
  </si>
  <si>
    <t>15-20%</t>
    <phoneticPr fontId="228" type="noConversion"/>
  </si>
  <si>
    <t>0-5%</t>
    <phoneticPr fontId="228" type="noConversion"/>
  </si>
  <si>
    <t>20-25%</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</si>
</sst>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0.00_ "/>
    <numFmt numFmtId="195" formatCode="[$-F800]dddd\,\ mmmm\ dd\,\ yyyy"/>
    <numFmt numFmtId="196" formatCode="0;_쐀"/>
    <numFmt numFmtId="197" formatCode="0.0000_);[Red]\(0.0000\)"/>
    <numFmt numFmtId="198" formatCode="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11"/>
      <color theme="1"/>
      <name val="宋体"/>
      <family val="3"/>
      <charset val="134"/>
      <scheme val="minor"/>
    </font>
    <font>
      <sz val="10"/>
      <name val="宋体"/>
      <family val="3"/>
      <charset val="134"/>
    </font>
    <font>
      <sz val="8"/>
      <color rgb="FF666666"/>
      <name val="宋体"/>
      <family val="3"/>
      <charset val="134"/>
    </font>
    <font>
      <sz val="12"/>
      <color theme="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name val="宋体"/>
      <family val="3"/>
      <charset val="134"/>
    </font>
    <font>
      <vertAlign val="subscript"/>
      <sz val="10"/>
      <color theme="1"/>
      <name val="Arial"/>
      <family val="2"/>
    </font>
    <font>
      <b/>
      <sz val="10"/>
      <color indexed="53"/>
      <name val="宋体"/>
      <family val="3"/>
      <charset val="134"/>
    </font>
    <font>
      <sz val="11"/>
      <color theme="1"/>
      <name val="宋体"/>
      <family val="3"/>
      <charset val="134"/>
    </font>
    <font>
      <b/>
      <sz val="10"/>
      <color indexed="10"/>
      <name val="宋体"/>
      <family val="3"/>
      <charset val="134"/>
    </font>
    <font>
      <sz val="12"/>
      <color indexed="8"/>
      <name val="宋体"/>
      <family val="3"/>
      <charset val="134"/>
    </font>
    <font>
      <b/>
      <sz val="10"/>
      <color indexed="8"/>
      <name val="宋体"/>
      <family val="3"/>
      <charset val="134"/>
    </font>
    <font>
      <b/>
      <sz val="14"/>
      <color rgb="FFFF0000"/>
      <name val="宋体"/>
      <family val="3"/>
      <charset val="134"/>
    </font>
    <font>
      <b/>
      <sz val="11"/>
      <color indexed="8"/>
      <name val="宋体"/>
      <family val="3"/>
      <charset val="134"/>
    </font>
    <font>
      <b/>
      <sz val="11"/>
      <color rgb="FFFF0000"/>
      <name val="宋体"/>
      <family val="3"/>
      <charset val="134"/>
    </font>
    <font>
      <sz val="10"/>
      <color indexed="8"/>
      <name val="楷体_GB2312"/>
      <family val="3"/>
      <charset val="134"/>
    </font>
    <font>
      <b/>
      <sz val="16"/>
      <color indexed="10"/>
      <name val="宋体"/>
      <family val="3"/>
      <charset val="134"/>
    </font>
    <font>
      <b/>
      <sz val="12"/>
      <color rgb="FF000000"/>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8"/>
      <color indexed="10"/>
      <name val="΢ȭхڬˎ̥"/>
      <charset val="134"/>
    </font>
    <font>
      <b/>
      <sz val="14"/>
      <color theme="1"/>
      <name val="宋体"/>
      <family val="3"/>
      <charset val="134"/>
    </font>
    <font>
      <sz val="10"/>
      <color theme="9" tint="-0.249977111117893"/>
      <name val="宋体"/>
      <family val="3"/>
      <charset val="134"/>
    </font>
    <font>
      <b/>
      <sz val="11"/>
      <color theme="1"/>
      <name val="宋体"/>
      <family val="3"/>
      <charset val="134"/>
    </font>
    <font>
      <sz val="8"/>
      <color indexed="8"/>
      <name val="仿宋_GB2312"/>
      <family val="3"/>
      <charset val="134"/>
    </font>
    <font>
      <sz val="12"/>
      <color theme="1"/>
      <name val="宋体"/>
      <family val="3"/>
      <charset val="134"/>
    </font>
    <font>
      <b/>
      <sz val="11"/>
      <color indexed="10"/>
      <name val="宋体"/>
      <family val="3"/>
      <charset val="134"/>
    </font>
    <font>
      <b/>
      <vertAlign val="subscript"/>
      <sz val="10"/>
      <name val="宋体"/>
      <family val="3"/>
      <charset val="134"/>
    </font>
    <font>
      <sz val="14"/>
      <color theme="1"/>
      <name val="宋体"/>
      <family val="3"/>
      <charset val="134"/>
    </font>
    <font>
      <vertAlign val="superscript"/>
      <sz val="10"/>
      <color theme="1"/>
      <name val="Arial"/>
      <family val="2"/>
    </font>
    <font>
      <sz val="10"/>
      <color indexed="10"/>
      <name val="宋体"/>
      <family val="3"/>
      <charset val="134"/>
    </font>
    <font>
      <i/>
      <sz val="10"/>
      <color indexed="8"/>
      <name val="宋体"/>
      <family val="3"/>
      <charset val="134"/>
    </font>
    <font>
      <b/>
      <vertAlign val="subscript"/>
      <sz val="10"/>
      <name val="楷体_GB2312"/>
      <family val="3"/>
      <charset val="134"/>
    </font>
    <font>
      <b/>
      <sz val="14"/>
      <color rgb="FF000000"/>
      <name val="宋体"/>
      <family val="3"/>
      <charset val="134"/>
    </font>
    <font>
      <sz val="12"/>
      <color rgb="FF000000"/>
      <name val="宋体"/>
      <family val="3"/>
      <charset val="134"/>
    </font>
    <font>
      <b/>
      <vertAlign val="subscript"/>
      <sz val="10"/>
      <name val="Arial"/>
      <family val="2"/>
    </font>
    <font>
      <b/>
      <sz val="11"/>
      <color theme="9" tint="-0.249977111117893"/>
      <name val="Arial"/>
      <family val="2"/>
    </font>
    <font>
      <b/>
      <sz val="11"/>
      <color theme="9" tint="-0.249977111117893"/>
      <name val="宋体"/>
      <family val="3"/>
      <charset val="134"/>
    </font>
    <font>
      <sz val="11"/>
      <color indexed="10"/>
      <name val="宋体"/>
      <family val="3"/>
      <charset val="134"/>
    </font>
    <font>
      <b/>
      <i/>
      <sz val="11"/>
      <color theme="3" tint="0.39991454817346722"/>
      <name val="宋体"/>
      <family val="3"/>
      <charset val="134"/>
    </font>
    <font>
      <sz val="14"/>
      <color theme="9" tint="-0.249977111117893"/>
      <name val="宋体"/>
      <family val="3"/>
      <charset val="134"/>
    </font>
    <font>
      <sz val="9"/>
      <color indexed="8"/>
      <name val="宋体"/>
      <family val="3"/>
      <charset val="134"/>
    </font>
    <font>
      <b/>
      <sz val="12"/>
      <color indexed="8"/>
      <name val="宋体"/>
      <family val="3"/>
      <charset val="134"/>
    </font>
    <font>
      <sz val="11"/>
      <color indexed="53"/>
      <name val="宋体"/>
      <family val="3"/>
      <charset val="134"/>
    </font>
    <font>
      <i/>
      <sz val="11"/>
      <color theme="3" tint="0.39991454817346722"/>
      <name val="宋体"/>
      <family val="3"/>
      <charset val="134"/>
    </font>
    <font>
      <sz val="10"/>
      <color rgb="FF707070"/>
      <name val="宋体"/>
      <family val="3"/>
      <charset val="134"/>
    </font>
    <font>
      <i/>
      <sz val="10"/>
      <name val="楷体_GB2312"/>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i/>
      <sz val="10"/>
      <name val="宋体"/>
      <family val="3"/>
      <charset val="134"/>
    </font>
    <font>
      <sz val="8"/>
      <color indexed="8"/>
      <name val="宋体"/>
      <family val="3"/>
      <charset val="134"/>
    </font>
    <font>
      <sz val="9"/>
      <color indexed="8"/>
      <name val="仿宋_GB2312"/>
      <family val="3"/>
      <charset val="134"/>
    </font>
    <font>
      <sz val="12"/>
      <color theme="9" tint="-0.249977111117893"/>
      <name val="宋体"/>
      <family val="3"/>
      <charset val="134"/>
    </font>
    <font>
      <b/>
      <i/>
      <sz val="10"/>
      <color rgb="FFFF0000"/>
      <name val="宋体"/>
      <family val="3"/>
      <charset val="134"/>
    </font>
    <font>
      <vertAlign val="superscript"/>
      <sz val="10"/>
      <color theme="1"/>
      <name val="宋体"/>
      <family val="3"/>
      <charset val="134"/>
    </font>
    <font>
      <vertAlign val="superscript"/>
      <sz val="10"/>
      <color indexed="8"/>
      <name val="Arial"/>
      <family val="2"/>
    </font>
    <font>
      <vertAlign val="subscript"/>
      <sz val="10"/>
      <color indexed="8"/>
      <name val="宋体"/>
      <family val="3"/>
      <charset val="134"/>
    </font>
    <font>
      <i/>
      <sz val="14"/>
      <color theme="3" tint="0.39991454817346722"/>
      <name val="宋体"/>
      <family val="3"/>
      <charset val="134"/>
    </font>
    <font>
      <b/>
      <sz val="10"/>
      <color indexed="10"/>
      <name val="楷体_GB2312"/>
      <family val="3"/>
      <charset val="134"/>
    </font>
    <font>
      <b/>
      <sz val="14"/>
      <color indexed="10"/>
      <name val="宋体"/>
      <family val="3"/>
      <charset val="134"/>
      <scheme val="minor"/>
    </font>
    <font>
      <b/>
      <sz val="16"/>
      <color indexed="10"/>
      <name val="楷体_GB2312"/>
      <family val="3"/>
      <charset val="134"/>
    </font>
    <font>
      <b/>
      <i/>
      <sz val="14"/>
      <color theme="3" tint="0.39991454817346722"/>
      <name val="宋体"/>
      <family val="3"/>
      <charset val="134"/>
    </font>
    <font>
      <b/>
      <sz val="18"/>
      <color theme="1"/>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1"/>
      <color rgb="FF000000"/>
      <name val="宋体"/>
      <family val="3"/>
      <charset val="134"/>
      <scheme val="minor"/>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105" fillId="0" borderId="0" applyFont="0" applyFill="0" applyBorder="0" applyAlignment="0" applyProtection="0">
      <alignment vertical="center"/>
    </xf>
    <xf numFmtId="9" fontId="98" fillId="0" borderId="0" applyFont="0" applyFill="0" applyBorder="0" applyAlignment="0" applyProtection="0">
      <alignment vertical="center"/>
    </xf>
    <xf numFmtId="9" fontId="105" fillId="0" borderId="0" applyFont="0" applyFill="0" applyBorder="0" applyAlignment="0" applyProtection="0">
      <alignment vertical="center"/>
    </xf>
    <xf numFmtId="0" fontId="108" fillId="0" borderId="0"/>
    <xf numFmtId="0" fontId="105" fillId="0" borderId="0"/>
    <xf numFmtId="176"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105" fillId="0" borderId="0">
      <alignment vertical="center"/>
    </xf>
    <xf numFmtId="0" fontId="98" fillId="0" borderId="0"/>
    <xf numFmtId="0" fontId="105" fillId="0" borderId="0">
      <alignment vertical="center"/>
    </xf>
    <xf numFmtId="0" fontId="105" fillId="0" borderId="0"/>
    <xf numFmtId="0" fontId="155" fillId="0" borderId="0">
      <alignment vertical="center"/>
    </xf>
    <xf numFmtId="0" fontId="155" fillId="0" borderId="0">
      <alignment vertical="center"/>
    </xf>
    <xf numFmtId="0" fontId="155" fillId="0" borderId="0">
      <alignment vertical="center"/>
    </xf>
    <xf numFmtId="0" fontId="105" fillId="0" borderId="0">
      <alignment vertical="center"/>
    </xf>
    <xf numFmtId="0" fontId="155" fillId="0" borderId="0">
      <alignment vertical="center"/>
    </xf>
    <xf numFmtId="0" fontId="105" fillId="0" borderId="0"/>
    <xf numFmtId="43" fontId="105" fillId="0" borderId="0" applyFont="0" applyFill="0" applyBorder="0" applyAlignment="0" applyProtection="0">
      <alignment vertical="center"/>
    </xf>
  </cellStyleXfs>
  <cellXfs count="3583">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6"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6"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1"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8"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8"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8"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2" applyNumberFormat="1" applyFont="1" applyAlignment="1">
      <alignment horizontal="left" vertical="center"/>
    </xf>
    <xf numFmtId="186" fontId="56" fillId="2" borderId="3"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xf>
    <xf numFmtId="186" fontId="56" fillId="2" borderId="4" xfId="12" applyNumberFormat="1" applyFont="1" applyFill="1" applyBorder="1" applyAlignment="1">
      <alignment horizontal="left" vertical="center" wrapText="1"/>
    </xf>
    <xf numFmtId="186" fontId="56" fillId="2" borderId="6" xfId="12" applyNumberFormat="1" applyFont="1" applyFill="1" applyBorder="1" applyAlignment="1">
      <alignment horizontal="left" vertical="center"/>
    </xf>
    <xf numFmtId="186" fontId="57" fillId="2" borderId="7" xfId="12" applyNumberFormat="1" applyFont="1" applyFill="1" applyBorder="1" applyAlignment="1">
      <alignment horizontal="left" vertical="center"/>
    </xf>
    <xf numFmtId="186" fontId="56" fillId="2" borderId="6" xfId="12" applyNumberFormat="1" applyFont="1" applyFill="1" applyBorder="1" applyAlignment="1">
      <alignment horizontal="left" vertical="center" wrapText="1"/>
    </xf>
    <xf numFmtId="0" fontId="58" fillId="0" borderId="53" xfId="12" applyFont="1" applyBorder="1">
      <alignment vertical="center"/>
    </xf>
    <xf numFmtId="186" fontId="56" fillId="2" borderId="29" xfId="12" applyNumberFormat="1" applyFont="1" applyFill="1" applyBorder="1" applyAlignment="1">
      <alignment horizontal="left" vertical="center"/>
    </xf>
    <xf numFmtId="186" fontId="56" fillId="2" borderId="30" xfId="12" applyNumberFormat="1" applyFont="1" applyFill="1" applyBorder="1" applyAlignment="1">
      <alignment horizontal="left" vertical="center"/>
    </xf>
    <xf numFmtId="186" fontId="57" fillId="2" borderId="8" xfId="12"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12" applyNumberFormat="1" applyFont="1" applyFill="1" applyBorder="1" applyAlignment="1">
      <alignment horizontal="left" vertical="center" wrapText="1"/>
    </xf>
    <xf numFmtId="186" fontId="57" fillId="2" borderId="10" xfId="12" applyNumberFormat="1" applyFont="1" applyFill="1" applyBorder="1" applyAlignment="1">
      <alignment horizontal="left" vertical="center"/>
    </xf>
    <xf numFmtId="186" fontId="57" fillId="2" borderId="11" xfId="12"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9"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9" applyFont="1" applyFill="1" applyBorder="1" applyAlignment="1" applyProtection="1">
      <alignment horizontal="center" vertical="center" wrapText="1"/>
      <protection locked="0"/>
    </xf>
    <xf numFmtId="0" fontId="63" fillId="2" borderId="4" xfId="9" applyFont="1" applyFill="1" applyBorder="1" applyAlignment="1" applyProtection="1">
      <alignment vertical="center" wrapText="1"/>
      <protection locked="0"/>
    </xf>
    <xf numFmtId="0" fontId="63" fillId="2" borderId="110" xfId="9" applyFont="1" applyFill="1" applyBorder="1" applyProtection="1">
      <alignment vertical="center"/>
      <protection locked="0"/>
    </xf>
    <xf numFmtId="0" fontId="63" fillId="2" borderId="5" xfId="0" applyFont="1" applyFill="1" applyBorder="1" applyAlignment="1">
      <alignment vertical="center" wrapText="1"/>
    </xf>
    <xf numFmtId="0" fontId="63" fillId="2" borderId="6" xfId="9" applyFont="1" applyFill="1" applyBorder="1" applyAlignment="1">
      <alignment horizontal="center" vertical="center" wrapText="1"/>
    </xf>
    <xf numFmtId="10" fontId="63"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9" applyFont="1" applyFill="1" applyBorder="1" applyAlignment="1">
      <alignment horizontal="center" vertical="center" wrapText="1"/>
    </xf>
    <xf numFmtId="10" fontId="63"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4" xfId="9" applyFont="1" applyFill="1" applyBorder="1" applyAlignment="1" applyProtection="1">
      <alignment horizontal="center" vertical="center" wrapText="1"/>
      <protection locked="0"/>
    </xf>
    <xf numFmtId="0" fontId="63"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7" fillId="2" borderId="7" xfId="9" applyFont="1" applyFill="1" applyBorder="1" applyAlignment="1">
      <alignment horizontal="left" vertical="center" wrapText="1"/>
    </xf>
    <xf numFmtId="0" fontId="47" fillId="0" borderId="7" xfId="9" applyFont="1" applyBorder="1" applyAlignment="1" applyProtection="1">
      <alignment horizontal="center" vertical="center" wrapText="1"/>
      <protection locked="0"/>
    </xf>
    <xf numFmtId="0" fontId="47"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3" borderId="0" xfId="9" applyFont="1" applyFill="1" applyAlignment="1">
      <alignment horizontal="center" vertical="center" wrapText="1"/>
    </xf>
    <xf numFmtId="0" fontId="63" fillId="2" borderId="0" xfId="9" applyFont="1" applyFill="1" applyAlignment="1" applyProtection="1">
      <alignment horizontal="center" vertical="center" wrapText="1"/>
      <protection locked="0"/>
    </xf>
    <xf numFmtId="0" fontId="63" fillId="13"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3"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63"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2"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73" fillId="14" borderId="114" xfId="0" applyNumberFormat="1" applyFont="1" applyFill="1" applyBorder="1" applyAlignment="1" applyProtection="1">
      <alignment horizontal="right"/>
      <protection locked="0"/>
    </xf>
    <xf numFmtId="49" fontId="48" fillId="2" borderId="0" xfId="8" applyNumberFormat="1" applyFont="1" applyFill="1" applyAlignment="1">
      <alignment horizontal="right" vertical="center"/>
    </xf>
    <xf numFmtId="0" fontId="33" fillId="3" borderId="13" xfId="8" applyFont="1" applyFill="1" applyBorder="1" applyProtection="1">
      <alignment vertical="center"/>
      <protection locked="0"/>
    </xf>
    <xf numFmtId="0" fontId="48" fillId="2" borderId="13" xfId="8" applyFont="1" applyFill="1" applyBorder="1" applyAlignment="1">
      <alignment horizontal="right" vertical="center"/>
    </xf>
    <xf numFmtId="0" fontId="48" fillId="2" borderId="14" xfId="8" applyFont="1" applyFill="1" applyBorder="1">
      <alignment vertical="center"/>
    </xf>
    <xf numFmtId="0" fontId="48"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68" fillId="3" borderId="8" xfId="8"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74"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75" fillId="2" borderId="53" xfId="0" applyNumberFormat="1" applyFont="1" applyFill="1" applyBorder="1" applyAlignment="1"/>
    <xf numFmtId="0" fontId="74" fillId="2" borderId="0" xfId="0" applyFont="1" applyFill="1" applyAlignment="1">
      <alignment horizontal="center" vertical="center"/>
    </xf>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4" fillId="2" borderId="0" xfId="0" applyFont="1" applyFill="1" applyProtection="1">
      <alignment vertical="center"/>
      <protection locked="0"/>
    </xf>
    <xf numFmtId="0" fontId="33" fillId="2" borderId="7" xfId="8" applyFont="1" applyFill="1" applyBorder="1">
      <alignment vertical="center"/>
    </xf>
    <xf numFmtId="0" fontId="76"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7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15" xfId="0" applyNumberFormat="1" applyFont="1" applyFill="1" applyBorder="1">
      <alignment vertical="center"/>
    </xf>
    <xf numFmtId="0" fontId="77"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6" fillId="2" borderId="31" xfId="0" applyNumberFormat="1" applyFont="1" applyFill="1" applyBorder="1" applyAlignment="1">
      <alignment horizontal="center" vertical="center"/>
    </xf>
    <xf numFmtId="49" fontId="76" fillId="2" borderId="116" xfId="0" applyNumberFormat="1" applyFont="1" applyFill="1" applyBorder="1">
      <alignment vertical="center"/>
    </xf>
    <xf numFmtId="49" fontId="54" fillId="2" borderId="117" xfId="0" applyNumberFormat="1" applyFont="1" applyFill="1" applyBorder="1">
      <alignment vertical="center"/>
    </xf>
    <xf numFmtId="0" fontId="54" fillId="2" borderId="11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19" xfId="0" applyNumberFormat="1" applyFont="1" applyFill="1" applyBorder="1" applyAlignment="1">
      <alignment horizontal="center" vertical="center"/>
    </xf>
    <xf numFmtId="49" fontId="76" fillId="2" borderId="11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1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5"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5"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88"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29" fillId="2" borderId="0" xfId="0" applyFont="1" applyFill="1" applyProtection="1">
      <alignment vertical="center"/>
      <protection locked="0"/>
    </xf>
    <xf numFmtId="0" fontId="7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6" fillId="2" borderId="120"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15"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6" fillId="2" borderId="111" xfId="0" applyNumberFormat="1" applyFont="1" applyFill="1" applyBorder="1" applyAlignment="1">
      <alignment horizontal="center" vertical="center"/>
    </xf>
    <xf numFmtId="0" fontId="54" fillId="2" borderId="121" xfId="0" applyFont="1" applyFill="1" applyBorder="1">
      <alignment vertical="center"/>
    </xf>
    <xf numFmtId="181"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1" xfId="0" applyFont="1" applyFill="1" applyBorder="1" applyAlignment="1">
      <alignment horizontal="left" vertical="center"/>
    </xf>
    <xf numFmtId="0" fontId="54" fillId="2" borderId="122" xfId="0" applyFont="1" applyFill="1" applyBorder="1">
      <alignment vertical="center"/>
    </xf>
    <xf numFmtId="0" fontId="54" fillId="2" borderId="123"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8" fillId="13" borderId="124"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25" xfId="0" applyFont="1" applyFill="1" applyBorder="1" applyAlignment="1">
      <alignment horizontal="center" vertical="center"/>
    </xf>
    <xf numFmtId="0" fontId="23" fillId="2" borderId="125"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6"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6"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1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20" xfId="0" applyFont="1" applyFill="1" applyBorder="1">
      <alignment vertical="center"/>
    </xf>
    <xf numFmtId="189" fontId="23" fillId="2" borderId="20" xfId="0" applyNumberFormat="1" applyFont="1" applyFill="1" applyBorder="1" applyAlignment="1">
      <alignmen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76" fillId="2" borderId="133"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34" xfId="0" applyFont="1" applyFill="1" applyBorder="1" applyAlignment="1" applyProtection="1">
      <alignment vertical="center" wrapText="1"/>
      <protection locked="0"/>
    </xf>
    <xf numFmtId="0" fontId="54" fillId="15" borderId="135"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3"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8"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6" xfId="0"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38" xfId="0" applyNumberFormat="1" applyFont="1" applyBorder="1" applyAlignment="1" applyProtection="1">
      <alignment horizontal="center" vertical="center" wrapText="1"/>
      <protection locked="0"/>
    </xf>
    <xf numFmtId="0" fontId="54" fillId="0" borderId="138" xfId="0" applyFont="1" applyBorder="1" applyAlignment="1" applyProtection="1">
      <alignment horizontal="center" vertical="center"/>
      <protection locked="0"/>
    </xf>
    <xf numFmtId="0" fontId="54" fillId="0" borderId="141" xfId="0" applyFont="1" applyBorder="1" applyAlignment="1" applyProtection="1">
      <alignment horizontal="center" vertical="center"/>
      <protection locked="0"/>
    </xf>
    <xf numFmtId="0" fontId="54"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2" xfId="0" applyFont="1" applyFill="1" applyBorder="1" applyAlignment="1">
      <alignment horizontal="right" vertical="center"/>
    </xf>
    <xf numFmtId="0" fontId="73" fillId="2" borderId="0" xfId="0" applyFont="1" applyFill="1" applyAlignment="1">
      <alignment horizontal="center" vertical="center"/>
    </xf>
    <xf numFmtId="0" fontId="73" fillId="2" borderId="52" xfId="0" applyFont="1" applyFill="1" applyBorder="1">
      <alignment vertical="center"/>
    </xf>
    <xf numFmtId="0" fontId="85" fillId="2" borderId="52" xfId="0" applyFont="1" applyFill="1" applyBorder="1">
      <alignment vertical="center"/>
    </xf>
    <xf numFmtId="178"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35"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7" fillId="2" borderId="124" xfId="0" applyFont="1" applyFill="1" applyBorder="1" applyAlignment="1">
      <alignment vertical="center" wrapText="1"/>
    </xf>
    <xf numFmtId="0" fontId="87"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1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16"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35"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3"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8"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29" fillId="2" borderId="6" xfId="8"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115"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73" fillId="2" borderId="52" xfId="0" applyNumberFormat="1" applyFont="1" applyFill="1" applyBorder="1" applyAlignment="1">
      <alignment horizontal="center" vertical="center"/>
    </xf>
    <xf numFmtId="181" fontId="73" fillId="2" borderId="52" xfId="0" applyNumberFormat="1" applyFont="1" applyFill="1" applyBorder="1">
      <alignment vertical="center"/>
    </xf>
    <xf numFmtId="0" fontId="73" fillId="2" borderId="52" xfId="0" applyFont="1" applyFill="1" applyBorder="1" applyAlignment="1">
      <alignment horizontal="center" vertical="center"/>
    </xf>
    <xf numFmtId="190"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3"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7" fillId="2" borderId="113" xfId="0" applyFont="1" applyFill="1" applyBorder="1">
      <alignment vertical="center"/>
    </xf>
    <xf numFmtId="0" fontId="87" fillId="2" borderId="108" xfId="0" applyFont="1" applyFill="1" applyBorder="1">
      <alignment vertical="center"/>
    </xf>
    <xf numFmtId="0" fontId="71" fillId="2" borderId="98" xfId="0" applyFont="1" applyFill="1" applyBorder="1" applyAlignment="1">
      <alignment horizontal="center" vertical="center" wrapText="1"/>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45"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14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1"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4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63" fillId="0" borderId="14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63" fillId="0" borderId="119"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63" fillId="2" borderId="119"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119"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46" xfId="0" applyFont="1" applyFill="1" applyBorder="1" applyAlignment="1">
      <alignment horizontal="left" vertical="center" wrapText="1"/>
    </xf>
    <xf numFmtId="0" fontId="71"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119" xfId="0" applyFont="1" applyFill="1" applyBorder="1" applyAlignment="1">
      <alignment horizontal="center" vertical="center" wrapText="1"/>
    </xf>
    <xf numFmtId="0" fontId="82" fillId="2" borderId="8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1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2" borderId="121" xfId="0" applyFont="1" applyFill="1" applyBorder="1">
      <alignment vertical="center"/>
    </xf>
    <xf numFmtId="0" fontId="73" fillId="14" borderId="12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22" xfId="0" applyFont="1" applyFill="1" applyBorder="1" applyProtection="1">
      <alignment vertical="center"/>
      <protection locked="0"/>
    </xf>
    <xf numFmtId="0" fontId="73" fillId="3" borderId="12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5" fillId="2" borderId="122" xfId="0" applyFont="1" applyFill="1" applyBorder="1">
      <alignment vertical="center"/>
    </xf>
    <xf numFmtId="0" fontId="73" fillId="2" borderId="122" xfId="0" applyFont="1" applyFill="1" applyBorder="1">
      <alignment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33" fillId="3" borderId="105" xfId="8" applyFont="1" applyFill="1" applyBorder="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7" fillId="2" borderId="113" xfId="0" applyFont="1" applyFill="1" applyBorder="1" applyAlignment="1">
      <alignment vertical="center" wrapText="1"/>
    </xf>
    <xf numFmtId="0" fontId="87"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73" fillId="2" borderId="122" xfId="0" applyNumberFormat="1" applyFont="1" applyFill="1" applyBorder="1" applyAlignment="1">
      <alignment horizontal="center" vertical="center"/>
    </xf>
    <xf numFmtId="181" fontId="73" fillId="2" borderId="122" xfId="0" applyNumberFormat="1" applyFont="1" applyFill="1" applyBorder="1">
      <alignment vertical="center"/>
    </xf>
    <xf numFmtId="0" fontId="73" fillId="2" borderId="122"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5"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3" fillId="2" borderId="145" xfId="0" applyFont="1" applyFill="1" applyBorder="1" applyAlignment="1">
      <alignment horizontal="center" vertical="center" wrapText="1"/>
    </xf>
    <xf numFmtId="0" fontId="63" fillId="0" borderId="0" xfId="0" applyFont="1" applyAlignment="1">
      <alignment horizontal="center" vertical="center"/>
    </xf>
    <xf numFmtId="0" fontId="63" fillId="2" borderId="147" xfId="0" applyFont="1" applyFill="1" applyBorder="1" applyAlignment="1">
      <alignment horizontal="center" vertical="center" wrapText="1"/>
    </xf>
    <xf numFmtId="0" fontId="71" fillId="0" borderId="146" xfId="0" applyFont="1" applyBorder="1" applyAlignment="1" applyProtection="1">
      <alignment horizontal="left" vertical="center" wrapText="1"/>
      <protection locked="0"/>
    </xf>
    <xf numFmtId="0" fontId="71"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5" fillId="2" borderId="122" xfId="0" applyFont="1" applyFill="1" applyBorder="1" applyProtection="1">
      <alignment vertical="center"/>
      <protection locked="0"/>
    </xf>
    <xf numFmtId="0" fontId="73" fillId="2" borderId="122" xfId="0" applyFont="1" applyFill="1" applyBorder="1" applyProtection="1">
      <alignment vertical="center"/>
      <protection locked="0"/>
    </xf>
    <xf numFmtId="0" fontId="87"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9"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64" fillId="2" borderId="12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15"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4" fillId="2" borderId="135"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73" fillId="2" borderId="122" xfId="0" applyNumberFormat="1" applyFont="1" applyFill="1" applyBorder="1" applyAlignment="1" applyProtection="1">
      <alignment horizontal="center" vertical="center"/>
      <protection locked="0"/>
    </xf>
    <xf numFmtId="181" fontId="73" fillId="2" borderId="122" xfId="0" applyNumberFormat="1" applyFont="1" applyFill="1" applyBorder="1" applyProtection="1">
      <alignment vertical="center"/>
      <protection locked="0"/>
    </xf>
    <xf numFmtId="0" fontId="73" fillId="2" borderId="122" xfId="0" applyFont="1" applyFill="1" applyBorder="1" applyAlignment="1" applyProtection="1">
      <alignment horizontal="center" vertical="center"/>
      <protection locked="0"/>
    </xf>
    <xf numFmtId="0" fontId="73" fillId="2" borderId="150" xfId="0" applyFont="1" applyFill="1" applyBorder="1" applyAlignment="1">
      <alignment horizontal="center" vertical="center"/>
    </xf>
    <xf numFmtId="0" fontId="73"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22"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3" fillId="2" borderId="121" xfId="0" applyFont="1" applyFill="1" applyBorder="1" applyAlignment="1">
      <alignment horizontal="right" vertical="center"/>
    </xf>
    <xf numFmtId="0" fontId="73" fillId="3" borderId="118" xfId="0" applyFont="1" applyFill="1" applyBorder="1" applyProtection="1">
      <alignment vertical="center"/>
      <protection locked="0"/>
    </xf>
    <xf numFmtId="0" fontId="48" fillId="2" borderId="0" xfId="0" applyFont="1" applyFill="1">
      <alignment vertical="center"/>
    </xf>
    <xf numFmtId="0" fontId="74" fillId="2" borderId="0" xfId="0" applyFont="1" applyFill="1" applyAlignment="1" applyProtection="1">
      <alignment horizontal="center" vertical="center"/>
      <protection locked="0"/>
    </xf>
    <xf numFmtId="0" fontId="71" fillId="14" borderId="115" xfId="0" applyFont="1" applyFill="1" applyBorder="1" applyAlignment="1" applyProtection="1">
      <alignment horizontal="center" vertical="center" wrapText="1"/>
      <protection locked="0"/>
    </xf>
    <xf numFmtId="17" fontId="82" fillId="0" borderId="86" xfId="0" applyNumberFormat="1"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3" fillId="2" borderId="15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0" borderId="152" xfId="0" applyFont="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7" fillId="2" borderId="0" xfId="0" applyFont="1" applyFill="1" applyAlignment="1">
      <alignment vertical="center" wrapText="1"/>
    </xf>
    <xf numFmtId="0" fontId="73" fillId="2" borderId="151"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9"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7"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8"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6" fillId="0" borderId="0" xfId="13" applyFont="1" applyAlignment="1">
      <alignment horizontal="left"/>
    </xf>
    <xf numFmtId="0" fontId="96" fillId="0" borderId="0" xfId="13" applyFont="1" applyAlignment="1" applyProtection="1">
      <alignment horizontal="left"/>
      <protection locked="0"/>
    </xf>
    <xf numFmtId="0" fontId="97" fillId="0" borderId="0" xfId="13" applyFont="1" applyAlignment="1" applyProtection="1">
      <alignment horizontal="left"/>
      <protection locked="0"/>
    </xf>
    <xf numFmtId="0" fontId="97" fillId="0" borderId="0" xfId="13" applyFont="1" applyAlignment="1" applyProtection="1">
      <alignment horizontal="left" vertical="center"/>
      <protection locked="0"/>
    </xf>
    <xf numFmtId="49" fontId="75" fillId="2" borderId="53" xfId="13" applyNumberFormat="1" applyFont="1" applyFill="1" applyBorder="1"/>
    <xf numFmtId="0" fontId="74"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180" fontId="76"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6"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76"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54" fillId="0" borderId="10" xfId="13" applyFont="1" applyBorder="1" applyAlignment="1" applyProtection="1">
      <alignment horizontal="left" vertical="center"/>
      <protection locked="0"/>
    </xf>
    <xf numFmtId="0" fontId="2" fillId="2" borderId="92" xfId="13" applyFont="1" applyFill="1" applyBorder="1" applyAlignment="1">
      <alignment vertical="center"/>
    </xf>
    <xf numFmtId="0" fontId="33" fillId="0" borderId="102" xfId="13" applyFont="1" applyBorder="1" applyAlignment="1" applyProtection="1">
      <alignment horizontal="left" vertical="center"/>
      <protection locked="0"/>
    </xf>
    <xf numFmtId="0" fontId="33" fillId="2" borderId="107" xfId="13" applyFont="1" applyFill="1" applyBorder="1" applyAlignment="1">
      <alignment vertical="center"/>
    </xf>
    <xf numFmtId="0" fontId="33" fillId="2" borderId="109" xfId="13" applyFont="1" applyFill="1" applyBorder="1" applyAlignment="1">
      <alignment vertical="center"/>
    </xf>
    <xf numFmtId="0" fontId="33" fillId="0" borderId="0" xfId="13" applyFont="1" applyAlignment="1" applyProtection="1">
      <alignment vertical="center"/>
      <protection locked="0"/>
    </xf>
    <xf numFmtId="0" fontId="33" fillId="2" borderId="116"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106" xfId="13" applyFont="1" applyFill="1" applyBorder="1" applyAlignment="1">
      <alignment horizontal="left" vertical="center"/>
    </xf>
    <xf numFmtId="180" fontId="33" fillId="2" borderId="105"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112"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6"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24" xfId="13" applyFont="1" applyFill="1" applyBorder="1" applyAlignment="1">
      <alignment vertical="center"/>
    </xf>
    <xf numFmtId="0" fontId="33" fillId="2" borderId="112" xfId="13" applyFont="1" applyFill="1" applyBorder="1" applyAlignment="1">
      <alignment horizontal="left" vertical="center"/>
    </xf>
    <xf numFmtId="0" fontId="33" fillId="2" borderId="158"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8"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8"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8"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8"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8"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8"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8"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6"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6" fontId="29" fillId="0" borderId="23" xfId="13" applyNumberFormat="1" applyFont="1" applyBorder="1" applyAlignment="1" applyProtection="1">
      <alignment horizontal="left" vertical="center"/>
      <protection locked="0"/>
    </xf>
    <xf numFmtId="186" fontId="29" fillId="0" borderId="159" xfId="13" applyNumberFormat="1" applyFont="1" applyBorder="1" applyAlignment="1" applyProtection="1">
      <alignment horizontal="left" vertical="center"/>
      <protection locked="0"/>
    </xf>
    <xf numFmtId="186" fontId="29" fillId="0" borderId="99" xfId="13" applyNumberFormat="1" applyFont="1" applyBorder="1" applyAlignment="1" applyProtection="1">
      <alignment horizontal="left" vertical="center"/>
      <protection locked="0"/>
    </xf>
    <xf numFmtId="186"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113"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3"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8"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110"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9" fillId="0" borderId="97"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7" fillId="0" borderId="0" xfId="13" applyFont="1" applyAlignment="1">
      <alignment horizontal="left"/>
    </xf>
    <xf numFmtId="187" fontId="76"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77"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92" fillId="13" borderId="0" xfId="0" applyFont="1" applyFill="1" applyProtection="1">
      <alignment vertical="center"/>
      <protection locked="0"/>
    </xf>
    <xf numFmtId="0" fontId="87" fillId="0" borderId="0" xfId="0" applyFont="1" applyProtection="1">
      <alignment vertical="center"/>
      <protection locked="0"/>
    </xf>
    <xf numFmtId="0" fontId="71" fillId="13" borderId="0" xfId="0" applyFont="1" applyFill="1" applyProtection="1">
      <alignment vertical="center"/>
      <protection locked="0"/>
    </xf>
    <xf numFmtId="0" fontId="82" fillId="13" borderId="0" xfId="0" applyFont="1" applyFill="1" applyProtection="1">
      <alignment vertical="center"/>
      <protection locked="0"/>
    </xf>
    <xf numFmtId="0" fontId="82" fillId="0" borderId="0" xfId="0" applyFont="1" applyProtection="1">
      <alignment vertical="center"/>
      <protection locked="0"/>
    </xf>
    <xf numFmtId="0" fontId="66" fillId="12" borderId="0" xfId="0" applyFont="1" applyFill="1" applyProtection="1">
      <alignment vertical="center"/>
      <protection locked="0"/>
    </xf>
    <xf numFmtId="0" fontId="82"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0" fillId="3" borderId="13" xfId="8" applyFont="1" applyFill="1" applyBorder="1" applyAlignment="1" applyProtection="1">
      <alignment horizontal="left" vertical="center"/>
      <protection locked="0"/>
    </xf>
    <xf numFmtId="0" fontId="80" fillId="3" borderId="14" xfId="8" applyFont="1" applyFill="1" applyBorder="1">
      <alignment vertical="center"/>
    </xf>
    <xf numFmtId="0" fontId="80" fillId="7" borderId="0" xfId="8" applyFont="1" applyFill="1">
      <alignment vertical="center"/>
    </xf>
    <xf numFmtId="0" fontId="54" fillId="7" borderId="0" xfId="0" applyFont="1" applyFill="1" applyProtection="1">
      <alignment vertical="center"/>
      <protection locked="0"/>
    </xf>
    <xf numFmtId="0" fontId="80" fillId="2" borderId="0" xfId="8" applyFont="1" applyFill="1">
      <alignment vertical="center"/>
    </xf>
    <xf numFmtId="0" fontId="80" fillId="2" borderId="82" xfId="0" applyFont="1" applyFill="1" applyBorder="1">
      <alignment vertical="center"/>
    </xf>
    <xf numFmtId="0" fontId="80" fillId="2" borderId="83"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54" fillId="2" borderId="6" xfId="8" applyFont="1" applyFill="1" applyBorder="1" applyAlignment="1">
      <alignment horizontal="right" vertical="center"/>
    </xf>
    <xf numFmtId="0" fontId="54" fillId="2" borderId="13" xfId="8" applyFont="1" applyFill="1" applyBorder="1">
      <alignment vertical="center"/>
    </xf>
    <xf numFmtId="178" fontId="54" fillId="2" borderId="7" xfId="0" applyNumberFormat="1" applyFont="1" applyFill="1" applyBorder="1" applyAlignment="1">
      <alignment horizontal="center" vertical="center"/>
    </xf>
    <xf numFmtId="179"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center" vertical="center"/>
    </xf>
    <xf numFmtId="0" fontId="54" fillId="2" borderId="7" xfId="8" applyFont="1" applyFill="1" applyBorder="1" applyAlignment="1">
      <alignment horizontal="center" vertical="center"/>
    </xf>
    <xf numFmtId="9" fontId="54" fillId="2" borderId="7" xfId="8" applyNumberFormat="1" applyFont="1" applyFill="1" applyBorder="1" applyAlignment="1">
      <alignment horizontal="center" vertical="center"/>
    </xf>
    <xf numFmtId="178" fontId="54" fillId="2" borderId="7" xfId="8" applyNumberFormat="1" applyFont="1" applyFill="1" applyBorder="1" applyAlignment="1">
      <alignment horizontal="center" vertical="center"/>
    </xf>
    <xf numFmtId="178" fontId="54" fillId="2" borderId="7" xfId="8" applyNumberFormat="1" applyFont="1" applyFill="1" applyBorder="1">
      <alignment vertical="center"/>
    </xf>
    <xf numFmtId="0" fontId="54" fillId="2" borderId="52" xfId="0" applyFont="1" applyFill="1" applyBorder="1">
      <alignment vertical="center"/>
    </xf>
    <xf numFmtId="0" fontId="68" fillId="3" borderId="13" xfId="8"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7" fillId="2" borderId="13" xfId="8" applyFont="1" applyFill="1" applyBorder="1">
      <alignment vertical="center"/>
    </xf>
    <xf numFmtId="178" fontId="87" fillId="2" borderId="7" xfId="8" applyNumberFormat="1" applyFont="1" applyFill="1" applyBorder="1" applyAlignment="1">
      <alignment horizontal="center" vertical="center"/>
    </xf>
    <xf numFmtId="0" fontId="87" fillId="2" borderId="7" xfId="8" applyFont="1" applyFill="1" applyBorder="1">
      <alignment vertical="center"/>
    </xf>
    <xf numFmtId="178" fontId="87" fillId="2" borderId="7" xfId="8" applyNumberFormat="1" applyFont="1" applyFill="1" applyBorder="1">
      <alignment vertical="center"/>
    </xf>
    <xf numFmtId="10" fontId="87" fillId="2" borderId="7" xfId="8" applyNumberFormat="1" applyFont="1" applyFill="1" applyBorder="1" applyAlignment="1">
      <alignment horizontal="center" vertical="center"/>
    </xf>
    <xf numFmtId="0" fontId="87" fillId="2" borderId="7" xfId="0" applyFont="1" applyFill="1" applyBorder="1" applyAlignment="1">
      <alignment horizontal="right" vertical="center"/>
    </xf>
    <xf numFmtId="0" fontId="71"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8" applyNumberFormat="1" applyFont="1" applyFill="1" applyBorder="1">
      <alignment vertical="center"/>
    </xf>
    <xf numFmtId="10" fontId="87" fillId="2" borderId="12" xfId="0" applyNumberFormat="1" applyFont="1" applyFill="1" applyBorder="1" applyAlignment="1">
      <alignment horizontal="center" vertical="center"/>
    </xf>
    <xf numFmtId="0" fontId="54" fillId="2" borderId="7" xfId="8"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8"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7" fillId="2" borderId="7" xfId="8"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8"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7" fillId="2" borderId="23" xfId="8"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90"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95" xfId="0" applyFont="1" applyFill="1" applyBorder="1">
      <alignment vertical="center"/>
    </xf>
    <xf numFmtId="0" fontId="80" fillId="2" borderId="0" xfId="8" applyFont="1" applyFill="1" applyAlignment="1">
      <alignment horizontal="center" vertical="center"/>
    </xf>
    <xf numFmtId="0" fontId="80" fillId="2" borderId="84" xfId="0" applyFont="1" applyFill="1" applyBorder="1">
      <alignment vertical="center"/>
    </xf>
    <xf numFmtId="0" fontId="87"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7" fillId="2" borderId="87" xfId="0" applyFont="1" applyFill="1" applyBorder="1">
      <alignment vertical="center"/>
    </xf>
    <xf numFmtId="0" fontId="76"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7" fillId="2" borderId="91" xfId="0" applyNumberFormat="1" applyFont="1" applyFill="1" applyBorder="1">
      <alignment vertical="center"/>
    </xf>
    <xf numFmtId="0" fontId="87" fillId="2" borderId="20" xfId="0" applyFont="1" applyFill="1" applyBorder="1">
      <alignment vertical="center"/>
    </xf>
    <xf numFmtId="0" fontId="100" fillId="2" borderId="21" xfId="8" applyFont="1" applyFill="1" applyBorder="1">
      <alignment vertical="center"/>
    </xf>
    <xf numFmtId="187" fontId="48" fillId="2" borderId="7" xfId="8" applyNumberFormat="1" applyFont="1" applyFill="1" applyBorder="1" applyAlignment="1">
      <alignment horizontal="right"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103" fillId="0" borderId="15"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9" fontId="63" fillId="0" borderId="86" xfId="3" applyFont="1" applyBorder="1" applyAlignment="1" applyProtection="1">
      <alignment horizontal="center" vertical="center" wrapText="1"/>
      <protection locked="0"/>
    </xf>
    <xf numFmtId="9" fontId="71" fillId="0" borderId="115" xfId="0" applyNumberFormat="1" applyFont="1" applyBorder="1" applyAlignment="1" applyProtection="1">
      <alignment horizontal="center" vertical="center" wrapText="1"/>
      <protection locked="0"/>
    </xf>
    <xf numFmtId="0" fontId="102" fillId="0" borderId="23" xfId="0" applyFont="1" applyBorder="1" applyAlignment="1" applyProtection="1">
      <alignment horizontal="center" vertical="center" wrapText="1"/>
      <protection locked="0"/>
    </xf>
    <xf numFmtId="1" fontId="90" fillId="12" borderId="83" xfId="0" applyNumberFormat="1" applyFont="1" applyFill="1" applyBorder="1" applyAlignment="1" applyProtection="1">
      <alignment vertical="center" wrapText="1"/>
      <protection locked="0"/>
    </xf>
    <xf numFmtId="1" fontId="90" fillId="12" borderId="82" xfId="0" applyNumberFormat="1" applyFont="1" applyFill="1" applyBorder="1" applyAlignment="1" applyProtection="1">
      <alignment vertical="center" wrapText="1"/>
      <protection locked="0"/>
    </xf>
    <xf numFmtId="0" fontId="103" fillId="0" borderId="4" xfId="0" applyFont="1" applyBorder="1" applyAlignment="1" applyProtection="1">
      <alignment horizontal="center" vertical="center" wrapText="1"/>
      <protection locked="0"/>
    </xf>
    <xf numFmtId="10" fontId="63" fillId="0" borderId="86" xfId="0" applyNumberFormat="1" applyFont="1" applyBorder="1" applyAlignment="1" applyProtection="1">
      <alignment horizontal="center" vertical="center" wrapText="1"/>
      <protection locked="0"/>
    </xf>
    <xf numFmtId="193" fontId="71" fillId="2" borderId="4" xfId="0" applyNumberFormat="1" applyFont="1" applyFill="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63" fillId="0" borderId="146" xfId="0" applyFont="1" applyBorder="1" applyAlignment="1" applyProtection="1">
      <alignment horizontal="left" vertical="center" wrapText="1"/>
      <protection locked="0"/>
    </xf>
    <xf numFmtId="0" fontId="63" fillId="0" borderId="147" xfId="0" applyFont="1" applyBorder="1" applyAlignment="1" applyProtection="1">
      <alignment horizontal="center" vertical="center" wrapText="1"/>
      <protection locked="0"/>
    </xf>
    <xf numFmtId="0" fontId="105" fillId="0" borderId="0" xfId="0" applyFont="1" applyAlignment="1">
      <alignment horizontal="left" vertical="center"/>
    </xf>
    <xf numFmtId="0" fontId="105" fillId="0" borderId="7" xfId="0" applyFont="1" applyBorder="1" applyAlignment="1">
      <alignment horizontal="left" vertical="center"/>
    </xf>
    <xf numFmtId="14" fontId="0" fillId="0" borderId="7" xfId="0" applyNumberFormat="1" applyBorder="1" applyAlignment="1">
      <alignment horizontal="left" vertical="center"/>
    </xf>
    <xf numFmtId="14" fontId="0" fillId="0" borderId="0" xfId="0" applyNumberFormat="1" applyAlignment="1">
      <alignment horizontal="left" vertical="center"/>
    </xf>
    <xf numFmtId="14" fontId="105" fillId="0" borderId="0" xfId="0" applyNumberFormat="1" applyFont="1" applyAlignment="1">
      <alignment horizontal="left" vertical="center"/>
    </xf>
    <xf numFmtId="0" fontId="0" fillId="3" borderId="0" xfId="0" applyFill="1" applyAlignment="1">
      <alignment horizontal="left" vertical="center"/>
    </xf>
    <xf numFmtId="0" fontId="106" fillId="13" borderId="7" xfId="13" applyFont="1" applyFill="1" applyBorder="1" applyAlignment="1">
      <alignment horizontal="left" vertical="center"/>
    </xf>
    <xf numFmtId="0" fontId="106" fillId="0" borderId="7" xfId="13" applyFont="1" applyBorder="1" applyAlignment="1">
      <alignment horizontal="left" vertical="center"/>
    </xf>
    <xf numFmtId="9" fontId="106" fillId="0" borderId="7" xfId="13" applyNumberFormat="1" applyFont="1" applyBorder="1" applyAlignment="1">
      <alignment horizontal="left" vertical="center"/>
    </xf>
    <xf numFmtId="0" fontId="105" fillId="17" borderId="0" xfId="5" applyFill="1"/>
    <xf numFmtId="0" fontId="105" fillId="18" borderId="0" xfId="5" applyFill="1"/>
    <xf numFmtId="0" fontId="105" fillId="0" borderId="0" xfId="5"/>
    <xf numFmtId="0" fontId="106" fillId="0" borderId="7" xfId="5" applyFont="1" applyBorder="1" applyAlignment="1">
      <alignment horizontal="center" vertical="center" wrapText="1"/>
    </xf>
    <xf numFmtId="0" fontId="106" fillId="0" borderId="7" xfId="5" applyFont="1" applyBorder="1" applyAlignment="1">
      <alignment horizontal="center" vertical="center"/>
    </xf>
    <xf numFmtId="0" fontId="106" fillId="17" borderId="7" xfId="5" applyFont="1" applyFill="1" applyBorder="1" applyAlignment="1">
      <alignment horizontal="center" vertical="center" wrapText="1"/>
    </xf>
    <xf numFmtId="0" fontId="106" fillId="17" borderId="7" xfId="5" applyFont="1" applyFill="1" applyBorder="1" applyAlignment="1">
      <alignment horizontal="center" vertical="center"/>
    </xf>
    <xf numFmtId="4" fontId="106" fillId="0" borderId="7" xfId="5" applyNumberFormat="1" applyFont="1" applyBorder="1" applyAlignment="1">
      <alignment horizontal="center" vertical="center"/>
    </xf>
    <xf numFmtId="0" fontId="106" fillId="18" borderId="7" xfId="5" applyFont="1" applyFill="1" applyBorder="1" applyAlignment="1">
      <alignment horizontal="center" vertical="center" wrapText="1"/>
    </xf>
    <xf numFmtId="0" fontId="106" fillId="18" borderId="7" xfId="5" applyFont="1" applyFill="1" applyBorder="1" applyAlignment="1">
      <alignment horizontal="center" vertical="center"/>
    </xf>
    <xf numFmtId="0" fontId="107" fillId="0" borderId="0" xfId="5" applyFont="1" applyAlignment="1">
      <alignment vertical="center"/>
    </xf>
    <xf numFmtId="0" fontId="106" fillId="13" borderId="7" xfId="5" applyFont="1" applyFill="1" applyBorder="1" applyAlignment="1">
      <alignment horizontal="center" vertical="center" wrapText="1"/>
    </xf>
    <xf numFmtId="0" fontId="106" fillId="13" borderId="7" xfId="5" applyFont="1" applyFill="1" applyBorder="1" applyAlignment="1">
      <alignment horizontal="center" vertical="center"/>
    </xf>
    <xf numFmtId="0" fontId="106" fillId="0" borderId="0" xfId="5" applyFont="1" applyAlignment="1">
      <alignment horizontal="center" vertical="center"/>
    </xf>
    <xf numFmtId="0" fontId="106" fillId="0" borderId="0" xfId="5" applyFont="1" applyAlignment="1">
      <alignment horizontal="center" vertical="center" wrapText="1"/>
    </xf>
    <xf numFmtId="186" fontId="106" fillId="0" borderId="7" xfId="5" applyNumberFormat="1" applyFont="1" applyBorder="1" applyAlignment="1">
      <alignment horizontal="center" vertical="center" wrapText="1"/>
    </xf>
    <xf numFmtId="191" fontId="106" fillId="0" borderId="7" xfId="5" applyNumberFormat="1" applyFont="1" applyBorder="1" applyAlignment="1">
      <alignment horizontal="center" vertical="center" wrapText="1"/>
    </xf>
    <xf numFmtId="186" fontId="106" fillId="0" borderId="7" xfId="5" applyNumberFormat="1" applyFont="1" applyBorder="1" applyAlignment="1">
      <alignment horizontal="center" vertical="center"/>
    </xf>
    <xf numFmtId="1" fontId="106" fillId="18" borderId="7" xfId="5" applyNumberFormat="1" applyFont="1" applyFill="1" applyBorder="1" applyAlignment="1">
      <alignment horizontal="center" vertical="center"/>
    </xf>
    <xf numFmtId="193" fontId="106" fillId="0" borderId="7" xfId="5" applyNumberFormat="1" applyFont="1" applyBorder="1" applyAlignment="1">
      <alignment horizontal="center" vertical="center"/>
    </xf>
    <xf numFmtId="186" fontId="106" fillId="17" borderId="7" xfId="5" applyNumberFormat="1" applyFont="1" applyFill="1" applyBorder="1" applyAlignment="1">
      <alignment horizontal="center" vertical="center"/>
    </xf>
    <xf numFmtId="1" fontId="106" fillId="17" borderId="7" xfId="5" applyNumberFormat="1" applyFont="1" applyFill="1" applyBorder="1" applyAlignment="1">
      <alignment horizontal="center" vertical="center"/>
    </xf>
    <xf numFmtId="193" fontId="106" fillId="17" borderId="12" xfId="5" applyNumberFormat="1" applyFont="1" applyFill="1" applyBorder="1" applyAlignment="1">
      <alignment horizontal="center" vertical="center" wrapText="1"/>
    </xf>
    <xf numFmtId="193" fontId="106" fillId="0" borderId="12" xfId="5" applyNumberFormat="1" applyFont="1" applyBorder="1" applyAlignment="1">
      <alignment horizontal="center" vertical="center" wrapText="1"/>
    </xf>
    <xf numFmtId="1" fontId="106" fillId="0" borderId="7" xfId="5" applyNumberFormat="1" applyFont="1" applyBorder="1" applyAlignment="1">
      <alignment horizontal="center" vertical="center"/>
    </xf>
    <xf numFmtId="191" fontId="106" fillId="0" borderId="7" xfId="5" applyNumberFormat="1" applyFont="1" applyBorder="1" applyAlignment="1">
      <alignment horizontal="center" vertical="center"/>
    </xf>
    <xf numFmtId="186" fontId="106" fillId="18" borderId="7" xfId="5" applyNumberFormat="1" applyFont="1" applyFill="1" applyBorder="1" applyAlignment="1">
      <alignment horizontal="center" vertical="center"/>
    </xf>
    <xf numFmtId="193" fontId="106" fillId="18" borderId="7" xfId="5" applyNumberFormat="1" applyFont="1" applyFill="1" applyBorder="1" applyAlignment="1">
      <alignment horizontal="center" vertical="center"/>
    </xf>
    <xf numFmtId="186" fontId="106" fillId="13" borderId="7" xfId="5" applyNumberFormat="1" applyFont="1" applyFill="1" applyBorder="1" applyAlignment="1">
      <alignment horizontal="center" vertical="center"/>
    </xf>
    <xf numFmtId="193" fontId="106" fillId="13" borderId="7" xfId="5" applyNumberFormat="1" applyFont="1" applyFill="1" applyBorder="1" applyAlignment="1">
      <alignment horizontal="center" vertical="center"/>
    </xf>
    <xf numFmtId="2" fontId="106" fillId="13" borderId="7" xfId="5" applyNumberFormat="1" applyFont="1" applyFill="1" applyBorder="1" applyAlignment="1">
      <alignment horizontal="center" vertical="center"/>
    </xf>
    <xf numFmtId="193" fontId="106" fillId="13" borderId="12" xfId="5" applyNumberFormat="1" applyFont="1" applyFill="1" applyBorder="1" applyAlignment="1">
      <alignment horizontal="center" vertical="center" wrapText="1"/>
    </xf>
    <xf numFmtId="4" fontId="106" fillId="0" borderId="7" xfId="5" applyNumberFormat="1" applyFont="1" applyBorder="1" applyAlignment="1">
      <alignment horizontal="center" vertical="center" wrapText="1"/>
    </xf>
    <xf numFmtId="194" fontId="106" fillId="0" borderId="7" xfId="5" applyNumberFormat="1" applyFont="1" applyBorder="1" applyAlignment="1">
      <alignment horizontal="center" vertical="center" wrapText="1"/>
    </xf>
    <xf numFmtId="3" fontId="106" fillId="0" borderId="7" xfId="5" applyNumberFormat="1" applyFont="1" applyBorder="1" applyAlignment="1">
      <alignment horizontal="center" vertical="center" wrapText="1"/>
    </xf>
    <xf numFmtId="14" fontId="106" fillId="0" borderId="7" xfId="5" applyNumberFormat="1" applyFont="1" applyBorder="1" applyAlignment="1">
      <alignment horizontal="center" vertical="center" wrapText="1"/>
    </xf>
    <xf numFmtId="191" fontId="106" fillId="18" borderId="7" xfId="5" applyNumberFormat="1" applyFont="1" applyFill="1" applyBorder="1" applyAlignment="1">
      <alignment horizontal="center" vertical="center"/>
    </xf>
    <xf numFmtId="193" fontId="106" fillId="18" borderId="12" xfId="5" applyNumberFormat="1" applyFont="1" applyFill="1" applyBorder="1" applyAlignment="1">
      <alignment horizontal="center" vertical="center" wrapText="1"/>
    </xf>
    <xf numFmtId="43" fontId="106" fillId="0" borderId="7" xfId="22" applyFont="1" applyBorder="1" applyAlignment="1">
      <alignment horizontal="center" vertical="center"/>
    </xf>
    <xf numFmtId="9" fontId="106" fillId="0" borderId="7" xfId="3" applyFont="1" applyBorder="1" applyAlignment="1">
      <alignment horizontal="center" vertical="center"/>
    </xf>
    <xf numFmtId="9" fontId="106" fillId="17" borderId="7" xfId="3" applyFont="1" applyFill="1" applyBorder="1" applyAlignment="1">
      <alignment horizontal="center" vertical="center"/>
    </xf>
    <xf numFmtId="9" fontId="106" fillId="0" borderId="7" xfId="3" applyFont="1" applyFill="1" applyBorder="1" applyAlignment="1">
      <alignment horizontal="center" vertical="center"/>
    </xf>
    <xf numFmtId="9" fontId="106" fillId="18" borderId="7" xfId="3" applyFont="1" applyFill="1" applyBorder="1" applyAlignment="1">
      <alignment horizontal="center" vertical="center"/>
    </xf>
    <xf numFmtId="1" fontId="106" fillId="13" borderId="7" xfId="5" applyNumberFormat="1" applyFont="1" applyFill="1" applyBorder="1" applyAlignment="1">
      <alignment horizontal="center" vertical="center"/>
    </xf>
    <xf numFmtId="9" fontId="106" fillId="13" borderId="7" xfId="3" applyFont="1" applyFill="1" applyBorder="1" applyAlignment="1">
      <alignment horizontal="center" vertical="center"/>
    </xf>
    <xf numFmtId="31" fontId="106" fillId="0" borderId="7" xfId="5" applyNumberFormat="1" applyFont="1" applyBorder="1" applyAlignment="1">
      <alignment horizontal="center" vertical="center" wrapText="1"/>
    </xf>
    <xf numFmtId="58" fontId="106" fillId="0" borderId="7" xfId="5" applyNumberFormat="1" applyFont="1" applyBorder="1" applyAlignment="1">
      <alignment horizontal="center" vertical="center" wrapText="1"/>
    </xf>
    <xf numFmtId="0" fontId="106" fillId="0" borderId="7" xfId="5" applyFont="1" applyBorder="1" applyAlignment="1">
      <alignment vertical="center" wrapText="1"/>
    </xf>
    <xf numFmtId="0" fontId="108" fillId="0" borderId="0" xfId="4" applyAlignment="1">
      <alignment horizontal="left" vertical="center"/>
    </xf>
    <xf numFmtId="14" fontId="108" fillId="0" borderId="0" xfId="4" applyNumberFormat="1" applyAlignment="1">
      <alignment horizontal="lef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9"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7"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7"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24"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10"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1" fillId="2" borderId="160" xfId="0" applyFont="1" applyFill="1" applyBorder="1" applyAlignment="1">
      <alignment horizontal="left"/>
    </xf>
    <xf numFmtId="0" fontId="49" fillId="2" borderId="160" xfId="0" applyFont="1" applyFill="1" applyBorder="1" applyAlignment="1">
      <alignment horizontal="left"/>
    </xf>
    <xf numFmtId="0" fontId="87"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7" fillId="2" borderId="116" xfId="0" applyFont="1" applyFill="1" applyBorder="1" applyAlignment="1">
      <alignment horizontal="left" vertical="center"/>
    </xf>
    <xf numFmtId="0" fontId="71" fillId="2" borderId="106" xfId="0" applyFont="1" applyFill="1" applyBorder="1" applyAlignment="1">
      <alignment horizontal="right" vertical="center"/>
    </xf>
    <xf numFmtId="0" fontId="87"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7"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7"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1" fillId="3" borderId="124"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11" fillId="2" borderId="160" xfId="0" applyFont="1" applyFill="1" applyBorder="1" applyAlignment="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lignment horizontal="left" vertical="center" wrapText="1"/>
    </xf>
    <xf numFmtId="10" fontId="115" fillId="2" borderId="7" xfId="0" applyNumberFormat="1" applyFont="1" applyFill="1" applyBorder="1" applyAlignment="1">
      <alignment horizontal="left" vertical="center"/>
    </xf>
    <xf numFmtId="9" fontId="11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115" fillId="2" borderId="52" xfId="0" applyFont="1" applyFill="1" applyBorder="1" applyAlignment="1">
      <alignment horizontal="left" vertical="center" wrapText="1"/>
    </xf>
    <xf numFmtId="0" fontId="115"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67" fillId="10" borderId="0" xfId="0" applyFont="1" applyFill="1">
      <alignment vertical="center"/>
    </xf>
    <xf numFmtId="0" fontId="115" fillId="2" borderId="92"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79" xfId="0" applyFont="1" applyFill="1" applyBorder="1" applyAlignment="1">
      <alignment horizontal="left" vertical="center" wrapText="1"/>
    </xf>
    <xf numFmtId="0" fontId="115" fillId="2" borderId="105" xfId="0" applyFont="1" applyFill="1" applyBorder="1" applyAlignment="1">
      <alignment horizontal="left" vertical="center" wrapText="1"/>
    </xf>
    <xf numFmtId="0" fontId="115" fillId="2" borderId="53" xfId="0" applyFont="1" applyFill="1" applyBorder="1" applyAlignment="1">
      <alignment horizontal="left" vertical="center" wrapText="1"/>
    </xf>
    <xf numFmtId="0" fontId="115" fillId="2" borderId="10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11" applyFont="1" applyFill="1" applyBorder="1" applyAlignment="1">
      <alignment horizontal="left" vertical="center" wrapText="1"/>
    </xf>
    <xf numFmtId="0" fontId="71" fillId="2" borderId="87" xfId="11" applyFont="1" applyFill="1" applyBorder="1" applyAlignment="1">
      <alignment horizontal="left" vertical="center" wrapText="1"/>
    </xf>
    <xf numFmtId="0" fontId="71" fillId="2" borderId="7" xfId="11" applyFont="1" applyFill="1" applyBorder="1" applyAlignment="1">
      <alignment horizontal="left" vertical="center" wrapText="1"/>
    </xf>
    <xf numFmtId="0" fontId="71" fillId="14"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6"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54" fillId="2" borderId="87" xfId="11" applyFont="1" applyFill="1" applyBorder="1" applyAlignment="1">
      <alignment horizontal="left" vertical="center" wrapText="1"/>
    </xf>
    <xf numFmtId="0" fontId="29" fillId="2" borderId="13" xfId="0" applyFont="1" applyFill="1" applyBorder="1" applyAlignment="1">
      <alignment horizontal="left" vertical="center" wrapText="1"/>
    </xf>
    <xf numFmtId="196"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4" fillId="2" borderId="91" xfId="11" applyFont="1" applyFill="1" applyBorder="1" applyAlignment="1">
      <alignment horizontal="left" vertical="center" wrapText="1"/>
    </xf>
    <xf numFmtId="0" fontId="87" fillId="2" borderId="84" xfId="0" applyFont="1" applyFill="1" applyBorder="1" applyAlignment="1">
      <alignment horizontal="center"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8" fillId="2" borderId="7" xfId="0" applyFont="1" applyFill="1" applyBorder="1" applyAlignment="1">
      <alignment vertical="center" wrapText="1"/>
    </xf>
    <xf numFmtId="0" fontId="87" fillId="2" borderId="8"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8" fillId="2" borderId="23" xfId="0" applyFont="1" applyFill="1" applyBorder="1" applyAlignment="1">
      <alignment horizontal="left" vertical="center" wrapText="1"/>
    </xf>
    <xf numFmtId="0" fontId="117" fillId="2" borderId="23"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8"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3"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19" fillId="13" borderId="0" xfId="0" applyFont="1" applyFill="1">
      <alignment vertical="center"/>
    </xf>
    <xf numFmtId="0" fontId="28" fillId="0" borderId="6" xfId="0" applyFont="1" applyBorder="1" applyProtection="1">
      <alignment vertical="center"/>
      <protection locked="0"/>
    </xf>
    <xf numFmtId="0" fontId="94"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0" xfId="21" applyAlignment="1" applyProtection="1">
      <alignment horizontal="left"/>
      <protection locked="0"/>
    </xf>
    <xf numFmtId="0" fontId="120" fillId="2" borderId="7" xfId="21" applyFont="1" applyFill="1" applyBorder="1" applyAlignment="1">
      <alignment horizontal="left" vertical="center" wrapText="1"/>
    </xf>
    <xf numFmtId="0" fontId="120" fillId="7" borderId="0" xfId="21" applyFont="1" applyFill="1" applyAlignment="1" applyProtection="1">
      <alignment horizontal="left" vertical="center" wrapText="1"/>
      <protection locked="0"/>
    </xf>
    <xf numFmtId="0" fontId="105" fillId="7" borderId="0" xfId="21" applyFill="1" applyAlignment="1" applyProtection="1">
      <alignment horizontal="left"/>
      <protection locked="0"/>
    </xf>
    <xf numFmtId="14" fontId="120" fillId="2" borderId="7" xfId="21" applyNumberFormat="1" applyFont="1" applyFill="1" applyBorder="1" applyAlignment="1">
      <alignment horizontal="left" vertical="center" wrapText="1"/>
    </xf>
    <xf numFmtId="0" fontId="120" fillId="0" borderId="7" xfId="21" applyFont="1" applyBorder="1" applyAlignment="1" applyProtection="1">
      <alignment horizontal="left" vertical="center" wrapText="1"/>
      <protection locked="0"/>
    </xf>
    <xf numFmtId="0" fontId="120" fillId="7" borderId="7" xfId="21" applyFont="1" applyFill="1" applyBorder="1" applyAlignment="1" applyProtection="1">
      <alignment horizontal="left" vertical="center" wrapText="1"/>
      <protection locked="0"/>
    </xf>
    <xf numFmtId="0" fontId="105" fillId="2" borderId="7" xfId="21" applyFill="1" applyBorder="1" applyAlignment="1">
      <alignment horizontal="left"/>
    </xf>
    <xf numFmtId="9" fontId="105" fillId="7" borderId="7" xfId="21" applyNumberFormat="1" applyFill="1" applyBorder="1" applyAlignment="1" applyProtection="1">
      <alignment horizontal="left"/>
      <protection locked="0"/>
    </xf>
    <xf numFmtId="0" fontId="105" fillId="2" borderId="7" xfId="21" applyFill="1" applyBorder="1" applyAlignment="1">
      <alignment horizontal="left" vertical="center"/>
    </xf>
    <xf numFmtId="0" fontId="120" fillId="2" borderId="12" xfId="21" applyFont="1" applyFill="1" applyBorder="1" applyAlignment="1">
      <alignment horizontal="left" vertical="center" wrapText="1"/>
    </xf>
    <xf numFmtId="0" fontId="105" fillId="0" borderId="7" xfId="21" applyBorder="1" applyAlignment="1" applyProtection="1">
      <alignment horizontal="left"/>
      <protection locked="0"/>
    </xf>
    <xf numFmtId="0" fontId="120" fillId="0" borderId="12" xfId="21" applyFont="1" applyBorder="1" applyAlignment="1" applyProtection="1">
      <alignment horizontal="left" vertical="center" wrapText="1"/>
      <protection locked="0"/>
    </xf>
    <xf numFmtId="0" fontId="11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12" fillId="13" borderId="164" xfId="0" applyFont="1" applyFill="1" applyBorder="1" applyAlignment="1" applyProtection="1">
      <alignment vertical="center" wrapText="1"/>
      <protection locked="0"/>
    </xf>
    <xf numFmtId="0" fontId="76" fillId="2" borderId="124"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12" fillId="13" borderId="0" xfId="0" applyFont="1" applyFill="1" applyAlignment="1" applyProtection="1">
      <alignment vertical="center" wrapText="1"/>
      <protection locked="0"/>
    </xf>
    <xf numFmtId="0" fontId="89"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25"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2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26"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2" fillId="13" borderId="79" xfId="0"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2" fillId="13" borderId="166" xfId="0" applyFont="1" applyFill="1" applyBorder="1" applyAlignment="1" applyProtection="1">
      <alignment vertical="center" wrapText="1"/>
      <protection locked="0"/>
    </xf>
    <xf numFmtId="0" fontId="11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9" fillId="2" borderId="0" xfId="0" applyFont="1" applyFill="1" applyAlignment="1">
      <alignment vertical="center" wrapText="1"/>
    </xf>
    <xf numFmtId="179" fontId="54" fillId="2" borderId="0" xfId="0" applyNumberFormat="1" applyFont="1" applyFill="1" applyProtection="1">
      <alignment vertical="center"/>
      <protection locked="0"/>
    </xf>
    <xf numFmtId="0" fontId="87"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8" applyFont="1" applyFill="1" applyBorder="1" applyAlignment="1">
      <alignment vertical="center" wrapText="1"/>
    </xf>
    <xf numFmtId="0" fontId="71" fillId="2" borderId="4" xfId="8" applyFont="1" applyFill="1" applyBorder="1" applyAlignment="1">
      <alignment vertical="center" wrapText="1"/>
    </xf>
    <xf numFmtId="0" fontId="71" fillId="2" borderId="22" xfId="8" applyFont="1" applyFill="1" applyBorder="1" applyAlignment="1">
      <alignment vertical="center" wrapText="1"/>
    </xf>
    <xf numFmtId="182" fontId="63" fillId="2" borderId="3" xfId="8"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8" applyNumberFormat="1" applyFont="1" applyFill="1" applyBorder="1" applyAlignment="1">
      <alignment horizontal="left" vertical="center"/>
    </xf>
    <xf numFmtId="178" fontId="71" fillId="2" borderId="7" xfId="8" applyNumberFormat="1" applyFont="1" applyFill="1" applyBorder="1">
      <alignment vertical="center"/>
    </xf>
    <xf numFmtId="178" fontId="71" fillId="14" borderId="13" xfId="8" applyNumberFormat="1" applyFont="1" applyFill="1" applyBorder="1" applyProtection="1">
      <alignment vertical="center"/>
      <protection locked="0"/>
    </xf>
    <xf numFmtId="178" fontId="54" fillId="2" borderId="6" xfId="8"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63" fillId="2" borderId="7" xfId="8" applyNumberFormat="1" applyFont="1" applyFill="1" applyBorder="1" applyAlignment="1">
      <alignment horizontal="center" vertical="center"/>
    </xf>
    <xf numFmtId="182" fontId="63" fillId="2" borderId="7" xfId="8"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8" applyNumberFormat="1" applyFont="1" applyFill="1" applyBorder="1" applyAlignment="1" applyProtection="1">
      <alignment horizontal="left" vertical="center" wrapText="1"/>
      <protection locked="0"/>
    </xf>
    <xf numFmtId="178" fontId="71" fillId="2" borderId="13" xfId="8"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8" applyFont="1" applyFill="1" applyBorder="1" applyAlignment="1">
      <alignment vertical="center" wrapText="1"/>
    </xf>
    <xf numFmtId="0" fontId="87" fillId="2" borderId="10" xfId="8" applyFont="1" applyFill="1" applyBorder="1">
      <alignment vertical="center"/>
    </xf>
    <xf numFmtId="0" fontId="87" fillId="2" borderId="9" xfId="8" applyFont="1" applyFill="1" applyBorder="1">
      <alignment vertical="center"/>
    </xf>
    <xf numFmtId="0" fontId="87" fillId="2" borderId="10" xfId="8" applyFont="1" applyFill="1" applyBorder="1" applyAlignment="1">
      <alignment horizontal="center" vertical="center"/>
    </xf>
    <xf numFmtId="181" fontId="87" fillId="2" borderId="10" xfId="8"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8" applyNumberFormat="1" applyFont="1" applyFill="1" applyBorder="1" applyAlignment="1">
      <alignment vertical="center" wrapText="1"/>
    </xf>
    <xf numFmtId="186" fontId="63" fillId="0" borderId="5" xfId="8" applyNumberFormat="1" applyFont="1" applyBorder="1" applyAlignment="1" applyProtection="1">
      <alignment horizontal="center" vertical="center"/>
      <protection locked="0"/>
    </xf>
    <xf numFmtId="0" fontId="119" fillId="7" borderId="0" xfId="0" applyFont="1" applyFill="1">
      <alignment vertical="center"/>
    </xf>
    <xf numFmtId="186" fontId="63" fillId="2" borderId="6" xfId="8" applyNumberFormat="1" applyFont="1" applyFill="1" applyBorder="1" applyAlignment="1">
      <alignment vertical="center" wrapText="1"/>
    </xf>
    <xf numFmtId="186" fontId="71" fillId="0" borderId="8" xfId="8" applyNumberFormat="1" applyFont="1" applyBorder="1" applyAlignment="1" applyProtection="1">
      <alignment horizontal="center" vertical="center"/>
      <protection locked="0"/>
    </xf>
    <xf numFmtId="0" fontId="94" fillId="7" borderId="0" xfId="0" applyFont="1" applyFill="1">
      <alignment vertical="center"/>
    </xf>
    <xf numFmtId="186" fontId="71" fillId="2" borderId="6" xfId="8" applyNumberFormat="1" applyFont="1" applyFill="1" applyBorder="1" applyAlignment="1">
      <alignment vertical="center" wrapText="1"/>
    </xf>
    <xf numFmtId="186" fontId="63" fillId="2" borderId="8" xfId="8" applyNumberFormat="1" applyFont="1" applyFill="1" applyBorder="1" applyAlignment="1">
      <alignment horizontal="center" vertical="center"/>
    </xf>
    <xf numFmtId="186" fontId="63" fillId="2" borderId="9" xfId="8" applyNumberFormat="1" applyFont="1" applyFill="1" applyBorder="1" applyAlignment="1">
      <alignment vertical="center" wrapText="1"/>
    </xf>
    <xf numFmtId="186" fontId="63" fillId="2" borderId="11" xfId="8"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21"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94" fillId="7" borderId="0" xfId="0" applyFont="1" applyFill="1" applyAlignment="1">
      <alignment horizontal="left" vertical="center"/>
    </xf>
    <xf numFmtId="0" fontId="71" fillId="2" borderId="115" xfId="0" applyFont="1" applyFill="1" applyBorder="1" applyAlignment="1">
      <alignment vertical="center" wrapText="1"/>
    </xf>
    <xf numFmtId="0" fontId="29" fillId="0" borderId="85" xfId="8" applyFont="1" applyBorder="1" applyAlignment="1" applyProtection="1">
      <alignment horizontal="center" vertical="center"/>
      <protection locked="0"/>
    </xf>
    <xf numFmtId="0" fontId="63" fillId="2" borderId="8" xfId="8"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2"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24"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8" applyNumberFormat="1" applyFont="1" applyFill="1" applyBorder="1" applyAlignment="1">
      <alignment horizontal="center" vertical="center" wrapText="1"/>
    </xf>
    <xf numFmtId="0" fontId="71" fillId="2" borderId="4" xfId="8" applyFont="1" applyFill="1" applyBorder="1" applyAlignment="1">
      <alignment horizontal="center" vertical="center" wrapText="1"/>
    </xf>
    <xf numFmtId="179" fontId="71" fillId="2" borderId="4" xfId="8" applyNumberFormat="1" applyFont="1" applyFill="1" applyBorder="1" applyAlignment="1">
      <alignment horizontal="center" vertical="center" wrapText="1"/>
    </xf>
    <xf numFmtId="0" fontId="71" fillId="3" borderId="4" xfId="8" applyFont="1" applyFill="1" applyBorder="1" applyAlignment="1" applyProtection="1">
      <alignment horizontal="center" vertical="center" wrapText="1"/>
      <protection locked="0"/>
    </xf>
    <xf numFmtId="0" fontId="71" fillId="2" borderId="22" xfId="8" applyFont="1" applyFill="1" applyBorder="1" applyAlignment="1">
      <alignment horizontal="center" vertical="center" wrapText="1"/>
    </xf>
    <xf numFmtId="179" fontId="54" fillId="2" borderId="6" xfId="8" applyNumberFormat="1" applyFont="1" applyFill="1" applyBorder="1" applyAlignment="1">
      <alignment horizontal="center" vertical="center"/>
    </xf>
    <xf numFmtId="178" fontId="54" fillId="0" borderId="7" xfId="8" applyNumberFormat="1" applyFont="1" applyBorder="1" applyAlignment="1" applyProtection="1">
      <alignment horizontal="center" vertical="center"/>
      <protection locked="0"/>
    </xf>
    <xf numFmtId="0" fontId="71" fillId="2" borderId="7" xfId="8" applyFont="1" applyFill="1" applyBorder="1" applyAlignment="1">
      <alignment horizontal="center" vertical="center"/>
    </xf>
    <xf numFmtId="10" fontId="54" fillId="0" borderId="7" xfId="8" applyNumberFormat="1" applyFont="1" applyBorder="1" applyAlignment="1" applyProtection="1">
      <alignment horizontal="center" vertical="center"/>
      <protection locked="0"/>
    </xf>
    <xf numFmtId="178" fontId="71" fillId="0" borderId="7" xfId="8" applyNumberFormat="1" applyFont="1" applyBorder="1" applyAlignment="1" applyProtection="1">
      <alignment horizontal="center" vertical="center"/>
      <protection locked="0"/>
    </xf>
    <xf numFmtId="10" fontId="71" fillId="0" borderId="7" xfId="8" applyNumberFormat="1" applyFont="1" applyBorder="1" applyAlignment="1" applyProtection="1">
      <alignment horizontal="center" vertical="center"/>
      <protection locked="0"/>
    </xf>
    <xf numFmtId="178" fontId="71" fillId="2" borderId="7" xfId="8" applyNumberFormat="1" applyFont="1" applyFill="1" applyBorder="1" applyAlignment="1">
      <alignment horizontal="center" vertical="center"/>
    </xf>
    <xf numFmtId="10" fontId="71" fillId="2" borderId="7" xfId="8" applyNumberFormat="1" applyFont="1" applyFill="1" applyBorder="1" applyAlignment="1">
      <alignment horizontal="center" vertical="center"/>
    </xf>
    <xf numFmtId="0" fontId="87" fillId="2" borderId="11" xfId="8" applyFont="1" applyFill="1" applyBorder="1">
      <alignment vertical="center"/>
    </xf>
    <xf numFmtId="186" fontId="71" fillId="2" borderId="9" xfId="0" applyNumberFormat="1" applyFont="1" applyFill="1" applyBorder="1" applyAlignment="1">
      <alignment horizontal="center" vertical="center"/>
    </xf>
    <xf numFmtId="0" fontId="71" fillId="2" borderId="10" xfId="8" applyFont="1" applyFill="1" applyBorder="1" applyAlignment="1">
      <alignment horizontal="center" vertical="center"/>
    </xf>
    <xf numFmtId="10" fontId="71" fillId="2" borderId="10" xfId="8"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Alignment="1" applyProtection="1">
      <alignment horizontal="left" vertical="center"/>
      <protection locked="0"/>
    </xf>
    <xf numFmtId="0" fontId="123" fillId="7" borderId="0" xfId="0" applyFont="1" applyFill="1" applyAlignment="1" applyProtection="1">
      <alignment horizontal="left" vertical="center"/>
      <protection locked="0"/>
    </xf>
    <xf numFmtId="0" fontId="54" fillId="2" borderId="125" xfId="0" applyFont="1" applyFill="1" applyBorder="1" applyAlignment="1">
      <alignment horizontal="center" vertical="center"/>
    </xf>
    <xf numFmtId="0" fontId="71" fillId="2" borderId="3" xfId="8" applyFont="1" applyFill="1" applyBorder="1" applyAlignment="1">
      <alignment horizontal="center" vertical="center" wrapText="1"/>
    </xf>
    <xf numFmtId="0" fontId="71" fillId="2" borderId="21" xfId="8" applyFont="1" applyFill="1" applyBorder="1" applyAlignment="1">
      <alignment horizontal="center" vertical="center" wrapText="1"/>
    </xf>
    <xf numFmtId="0" fontId="71" fillId="2" borderId="30" xfId="8"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8"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8"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8" applyNumberFormat="1" applyFont="1" applyFill="1" applyBorder="1" applyAlignment="1">
      <alignment horizontal="center" vertical="center"/>
    </xf>
    <xf numFmtId="179" fontId="71" fillId="2" borderId="99" xfId="8" applyNumberFormat="1" applyFont="1" applyFill="1" applyBorder="1" applyAlignment="1">
      <alignment horizontal="center" vertical="center"/>
    </xf>
    <xf numFmtId="0" fontId="71" fillId="2" borderId="91" xfId="8"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88"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8"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8"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7" fillId="2" borderId="12" xfId="0" applyFont="1" applyFill="1" applyBorder="1">
      <alignment vertical="center"/>
    </xf>
    <xf numFmtId="0" fontId="71" fillId="2" borderId="81" xfId="0" applyFont="1" applyFill="1" applyBorder="1">
      <alignment vertical="center"/>
    </xf>
    <xf numFmtId="0" fontId="87" fillId="2" borderId="4" xfId="0" applyFont="1" applyFill="1" applyBorder="1" applyAlignment="1">
      <alignment horizontal="center" vertical="center"/>
    </xf>
    <xf numFmtId="186" fontId="64" fillId="2" borderId="5" xfId="8" applyNumberFormat="1" applyFont="1" applyFill="1" applyBorder="1" applyAlignment="1">
      <alignment horizontal="center" vertical="center"/>
    </xf>
    <xf numFmtId="0" fontId="71" fillId="2" borderId="115"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7" fillId="2" borderId="5" xfId="8"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7" fillId="2" borderId="82" xfId="0" applyFont="1" applyFill="1" applyBorder="1">
      <alignment vertical="center"/>
    </xf>
    <xf numFmtId="0" fontId="71" fillId="2" borderId="29" xfId="0" applyFont="1" applyFill="1" applyBorder="1">
      <alignment vertical="center"/>
    </xf>
    <xf numFmtId="0" fontId="87" fillId="2" borderId="29" xfId="0" applyFont="1" applyFill="1" applyBorder="1" applyAlignment="1">
      <alignment horizontal="center" vertical="center"/>
    </xf>
    <xf numFmtId="186" fontId="64" fillId="2" borderId="80" xfId="8" applyNumberFormat="1" applyFont="1" applyFill="1" applyBorder="1" applyAlignment="1">
      <alignment horizontal="center" vertical="center"/>
    </xf>
    <xf numFmtId="186" fontId="64" fillId="2" borderId="83" xfId="8" applyNumberFormat="1" applyFont="1" applyFill="1" applyBorder="1" applyAlignment="1">
      <alignment horizontal="center" vertical="center"/>
    </xf>
    <xf numFmtId="186" fontId="64" fillId="2" borderId="84" xfId="8" applyNumberFormat="1" applyFont="1" applyFill="1" applyBorder="1" applyAlignment="1">
      <alignment horizontal="center" vertical="center"/>
    </xf>
    <xf numFmtId="0" fontId="87" fillId="2" borderId="120" xfId="0" applyFont="1" applyFill="1" applyBorder="1" applyAlignment="1">
      <alignment horizontal="right" vertical="center"/>
    </xf>
    <xf numFmtId="0" fontId="71" fillId="2" borderId="16" xfId="0" applyFont="1" applyFill="1" applyBorder="1">
      <alignment vertical="center"/>
    </xf>
    <xf numFmtId="0" fontId="87" fillId="2" borderId="16" xfId="0" applyFont="1" applyFill="1" applyBorder="1" applyAlignment="1">
      <alignment horizontal="center" vertical="center"/>
    </xf>
    <xf numFmtId="186" fontId="63" fillId="2" borderId="16" xfId="8"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8"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2" fillId="0" borderId="7" xfId="8"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8" applyNumberFormat="1"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0" fontId="71" fillId="2" borderId="94" xfId="0" applyFont="1" applyFill="1" applyBorder="1">
      <alignment vertical="center"/>
    </xf>
    <xf numFmtId="0" fontId="87" fillId="2" borderId="94" xfId="0" applyFont="1" applyFill="1" applyBorder="1" applyAlignment="1">
      <alignment horizontal="left" vertical="center"/>
    </xf>
    <xf numFmtId="0" fontId="71" fillId="2" borderId="135" xfId="0" applyFont="1" applyFill="1" applyBorder="1">
      <alignment vertical="center"/>
    </xf>
    <xf numFmtId="179" fontId="87" fillId="2" borderId="99"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7" fillId="14"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9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2"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123"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123" fillId="0" borderId="7" xfId="0" applyFont="1" applyBorder="1" applyAlignment="1" applyProtection="1">
      <alignment vertical="center" wrapText="1"/>
      <protection locked="0"/>
    </xf>
    <xf numFmtId="0" fontId="6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2"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21" xfId="0" applyFont="1" applyFill="1" applyBorder="1" applyAlignment="1">
      <alignment vertical="center" wrapText="1"/>
    </xf>
    <xf numFmtId="0" fontId="54" fillId="3" borderId="121" xfId="0" applyFont="1" applyFill="1" applyBorder="1" applyAlignment="1" applyProtection="1">
      <alignment horizontal="left" vertical="center"/>
      <protection locked="0"/>
    </xf>
    <xf numFmtId="0" fontId="54" fillId="3" borderId="122" xfId="0" applyFont="1" applyFill="1" applyBorder="1" applyAlignment="1">
      <alignment vertical="center" wrapText="1"/>
    </xf>
    <xf numFmtId="0" fontId="54" fillId="3" borderId="11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8"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1" xfId="0" applyFont="1" applyFill="1" applyBorder="1" applyAlignment="1">
      <alignment vertical="center" wrapText="1"/>
    </xf>
    <xf numFmtId="0" fontId="54" fillId="2" borderId="117" xfId="0" applyFont="1" applyFill="1" applyBorder="1" applyAlignment="1">
      <alignment vertical="center" wrapText="1"/>
    </xf>
    <xf numFmtId="0" fontId="36" fillId="0" borderId="119" xfId="0" applyFont="1" applyBorder="1" applyAlignment="1" applyProtection="1">
      <alignment vertical="center" wrapText="1"/>
      <protection locked="0"/>
    </xf>
    <xf numFmtId="0" fontId="36" fillId="0" borderId="123"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6"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105" fillId="0" borderId="7" xfId="0" applyFont="1" applyBorder="1" applyAlignment="1" applyProtection="1">
      <alignment horizontal="left" vertical="center"/>
      <protection locked="0"/>
    </xf>
    <xf numFmtId="0" fontId="127" fillId="0" borderId="0" xfId="14" applyFont="1" applyAlignment="1">
      <alignment horizontal="left" vertical="center"/>
    </xf>
    <xf numFmtId="0" fontId="128" fillId="0" borderId="0" xfId="14" applyFont="1" applyAlignment="1">
      <alignment horizontal="left" vertical="center"/>
    </xf>
    <xf numFmtId="0" fontId="129" fillId="0" borderId="0" xfId="14" applyFont="1" applyAlignment="1">
      <alignment horizontal="left" vertical="center"/>
    </xf>
    <xf numFmtId="0" fontId="130" fillId="0" borderId="0" xfId="14" applyFont="1" applyAlignment="1">
      <alignment horizontal="left" vertical="center"/>
    </xf>
    <xf numFmtId="14" fontId="130" fillId="0" borderId="0" xfId="14" applyNumberFormat="1" applyFont="1" applyAlignment="1">
      <alignment horizontal="left" vertical="center"/>
    </xf>
    <xf numFmtId="0" fontId="131" fillId="0" borderId="0" xfId="14" applyFont="1" applyAlignment="1">
      <alignment horizontal="left" vertical="center"/>
    </xf>
    <xf numFmtId="0" fontId="132" fillId="3" borderId="12" xfId="14" applyFont="1" applyFill="1" applyBorder="1" applyAlignment="1">
      <alignment horizontal="left" vertical="center"/>
    </xf>
    <xf numFmtId="0" fontId="133" fillId="0" borderId="7" xfId="14" applyFont="1" applyBorder="1" applyAlignment="1">
      <alignment horizontal="left" vertical="center"/>
    </xf>
    <xf numFmtId="0" fontId="133" fillId="0" borderId="13" xfId="14" applyFont="1" applyBorder="1" applyAlignment="1">
      <alignment horizontal="left" vertical="center"/>
    </xf>
    <xf numFmtId="0" fontId="132" fillId="3" borderId="173" xfId="14" applyFont="1" applyFill="1" applyBorder="1" applyAlignment="1">
      <alignment horizontal="left" vertical="center"/>
    </xf>
    <xf numFmtId="195" fontId="133" fillId="0" borderId="7" xfId="14" applyNumberFormat="1" applyFont="1" applyBorder="1" applyAlignment="1">
      <alignment horizontal="left" vertical="center"/>
    </xf>
    <xf numFmtId="195" fontId="134" fillId="0" borderId="13" xfId="14" applyNumberFormat="1" applyFont="1" applyBorder="1" applyAlignment="1">
      <alignment horizontal="left" vertical="center"/>
    </xf>
    <xf numFmtId="0" fontId="133" fillId="0" borderId="174" xfId="14" applyFont="1" applyBorder="1" applyAlignment="1">
      <alignment horizontal="left" vertical="center"/>
    </xf>
    <xf numFmtId="191" fontId="133" fillId="0" borderId="7" xfId="14" applyNumberFormat="1" applyFont="1" applyBorder="1" applyAlignment="1">
      <alignment horizontal="left" vertical="center"/>
    </xf>
    <xf numFmtId="0" fontId="134" fillId="0" borderId="7" xfId="14" applyFont="1" applyBorder="1" applyAlignment="1">
      <alignment horizontal="left" vertical="center"/>
    </xf>
    <xf numFmtId="195" fontId="133" fillId="0" borderId="13" xfId="14" applyNumberFormat="1" applyFont="1" applyBorder="1" applyAlignment="1">
      <alignment horizontal="left" vertical="center"/>
    </xf>
    <xf numFmtId="0" fontId="134" fillId="0" borderId="0" xfId="14" applyFont="1" applyAlignment="1">
      <alignment horizontal="left" vertical="center"/>
    </xf>
    <xf numFmtId="0" fontId="132" fillId="0" borderId="7" xfId="14" applyFont="1" applyBorder="1" applyAlignment="1">
      <alignment horizontal="left" vertical="center"/>
    </xf>
    <xf numFmtId="0" fontId="130" fillId="0" borderId="7" xfId="14" applyFont="1" applyBorder="1" applyAlignment="1">
      <alignment horizontal="left" vertical="center"/>
    </xf>
    <xf numFmtId="191" fontId="133" fillId="0" borderId="13" xfId="14" applyNumberFormat="1" applyFont="1" applyBorder="1" applyAlignment="1">
      <alignment horizontal="left" vertical="center"/>
    </xf>
    <xf numFmtId="0" fontId="130" fillId="0" borderId="174" xfId="14" applyFont="1" applyBorder="1" applyAlignment="1">
      <alignment horizontal="left" vertical="center"/>
    </xf>
    <xf numFmtId="0" fontId="135" fillId="0" borderId="7" xfId="14" applyFont="1" applyBorder="1" applyAlignment="1">
      <alignment horizontal="left" vertical="center"/>
    </xf>
    <xf numFmtId="191" fontId="135" fillId="0" borderId="7" xfId="0" applyNumberFormat="1" applyFont="1" applyBorder="1" applyAlignment="1">
      <alignment horizontal="left" vertical="center"/>
    </xf>
    <xf numFmtId="14" fontId="130" fillId="0" borderId="7" xfId="14" applyNumberFormat="1" applyFont="1" applyBorder="1" applyAlignment="1">
      <alignment horizontal="left" vertical="center"/>
    </xf>
    <xf numFmtId="14" fontId="130" fillId="0" borderId="13" xfId="14" applyNumberFormat="1" applyFont="1" applyBorder="1" applyAlignment="1">
      <alignment horizontal="left" vertical="center"/>
    </xf>
    <xf numFmtId="14" fontId="128" fillId="0" borderId="0" xfId="14" applyNumberFormat="1" applyFont="1" applyAlignment="1">
      <alignment horizontal="left" vertical="center"/>
    </xf>
    <xf numFmtId="14" fontId="128" fillId="0" borderId="175" xfId="14" applyNumberFormat="1" applyFont="1" applyBorder="1" applyAlignment="1">
      <alignment horizontal="left" vertical="center"/>
    </xf>
    <xf numFmtId="0" fontId="136" fillId="0" borderId="0" xfId="14"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1"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6" fillId="0" borderId="0" xfId="0" applyFont="1" applyAlignment="1">
      <alignment horizontal="left" vertical="center"/>
    </xf>
    <xf numFmtId="186" fontId="126"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4" fillId="0" borderId="0" xfId="0" applyFont="1" applyProtection="1">
      <alignment vertical="center"/>
      <protection locked="0"/>
    </xf>
    <xf numFmtId="0" fontId="28" fillId="0" borderId="0" xfId="19" applyFont="1">
      <alignment vertical="center"/>
    </xf>
    <xf numFmtId="0" fontId="142" fillId="0" borderId="0" xfId="19" applyFont="1">
      <alignment vertical="center"/>
    </xf>
    <xf numFmtId="0" fontId="142" fillId="0" borderId="0" xfId="19" applyFont="1" applyAlignment="1">
      <alignment horizontal="center" vertical="center"/>
    </xf>
    <xf numFmtId="0" fontId="79" fillId="0" borderId="16" xfId="19" applyFont="1" applyBorder="1" applyAlignment="1">
      <alignment horizontal="left" vertical="center" wrapText="1"/>
    </xf>
    <xf numFmtId="0" fontId="80" fillId="0" borderId="16" xfId="19" applyFont="1" applyBorder="1" applyAlignment="1">
      <alignment horizontal="center" vertical="center" wrapText="1"/>
    </xf>
    <xf numFmtId="0" fontId="118" fillId="0" borderId="7" xfId="19" applyFont="1" applyBorder="1" applyAlignment="1">
      <alignment horizontal="left" vertical="center" wrapText="1"/>
    </xf>
    <xf numFmtId="0" fontId="80" fillId="0" borderId="7" xfId="19" applyFont="1" applyBorder="1" applyAlignment="1">
      <alignment horizontal="center" vertical="center" wrapText="1"/>
    </xf>
    <xf numFmtId="0" fontId="148" fillId="0" borderId="7" xfId="19" applyFont="1" applyBorder="1" applyAlignment="1">
      <alignment horizontal="left" vertical="center" wrapText="1"/>
    </xf>
    <xf numFmtId="0" fontId="92" fillId="0" borderId="13" xfId="19" applyFont="1" applyBorder="1" applyAlignment="1">
      <alignment vertical="center" wrapText="1"/>
    </xf>
    <xf numFmtId="0" fontId="117" fillId="0" borderId="7" xfId="19" applyFont="1" applyBorder="1" applyAlignment="1">
      <alignment horizontal="left" vertical="center" wrapText="1"/>
    </xf>
    <xf numFmtId="0" fontId="92" fillId="0" borderId="7" xfId="19" applyFont="1" applyBorder="1" applyAlignment="1">
      <alignment horizontal="center" vertical="center" wrapText="1"/>
    </xf>
    <xf numFmtId="0" fontId="79" fillId="0" borderId="7" xfId="19" applyFont="1" applyBorder="1" applyAlignment="1">
      <alignment horizontal="left" vertical="center" wrapText="1"/>
    </xf>
    <xf numFmtId="0" fontId="80" fillId="0" borderId="14" xfId="19" applyFont="1" applyBorder="1" applyAlignment="1">
      <alignment horizontal="center" vertical="center" wrapText="1"/>
    </xf>
    <xf numFmtId="0" fontId="92" fillId="0" borderId="14" xfId="19" applyFont="1" applyBorder="1" applyAlignment="1">
      <alignment horizontal="center" vertical="center" wrapText="1"/>
    </xf>
    <xf numFmtId="0" fontId="70" fillId="0" borderId="7" xfId="19" applyFont="1" applyBorder="1" applyAlignment="1">
      <alignment horizontal="center" vertical="center"/>
    </xf>
    <xf numFmtId="0" fontId="118" fillId="0" borderId="2" xfId="19" applyFont="1" applyBorder="1" applyAlignment="1">
      <alignment horizontal="left" vertical="center" wrapText="1"/>
    </xf>
    <xf numFmtId="0" fontId="92"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4" fillId="0" borderId="0" xfId="19"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1"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4" applyFont="1">
      <alignment vertical="center"/>
    </xf>
    <xf numFmtId="0" fontId="105" fillId="0" borderId="0" xfId="14">
      <alignment vertical="center"/>
    </xf>
    <xf numFmtId="0" fontId="153" fillId="0" borderId="0" xfId="14" applyFont="1" applyAlignment="1">
      <alignment vertical="top" wrapText="1"/>
    </xf>
    <xf numFmtId="0" fontId="154" fillId="0" borderId="0" xfId="14" applyFont="1">
      <alignment vertical="center"/>
    </xf>
    <xf numFmtId="0" fontId="128" fillId="0" borderId="1" xfId="0" applyFont="1" applyBorder="1">
      <alignment vertical="center"/>
    </xf>
    <xf numFmtId="0" fontId="128" fillId="0" borderId="152" xfId="0" applyFont="1" applyBorder="1">
      <alignment vertical="center"/>
    </xf>
    <xf numFmtId="0" fontId="128" fillId="0" borderId="0" xfId="20"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20" applyFont="1" applyBorder="1" applyAlignment="1">
      <alignment horizontal="left" vertical="center" wrapText="1"/>
    </xf>
    <xf numFmtId="0" fontId="79" fillId="0" borderId="2" xfId="0" applyFont="1" applyBorder="1" applyAlignment="1">
      <alignment horizontal="left" vertical="center"/>
    </xf>
    <xf numFmtId="0" fontId="128" fillId="0" borderId="146" xfId="20" applyFont="1" applyBorder="1" applyAlignment="1">
      <alignment vertical="center" wrapText="1"/>
    </xf>
    <xf numFmtId="0" fontId="128" fillId="0" borderId="146" xfId="0" applyFont="1" applyBorder="1" applyAlignment="1">
      <alignment horizontal="left" vertical="center"/>
    </xf>
    <xf numFmtId="0" fontId="128" fillId="0" borderId="7" xfId="20" applyFont="1" applyBorder="1" applyAlignment="1">
      <alignment vertical="center" wrapText="1"/>
    </xf>
    <xf numFmtId="0" fontId="128" fillId="0" borderId="7" xfId="0" applyFont="1" applyBorder="1" applyAlignment="1">
      <alignment horizontal="left" vertical="center"/>
    </xf>
    <xf numFmtId="0" fontId="128" fillId="0" borderId="2" xfId="20" applyFont="1" applyBorder="1" applyAlignment="1">
      <alignment vertical="center" wrapText="1"/>
    </xf>
    <xf numFmtId="0" fontId="128" fillId="0" borderId="2" xfId="0" applyFont="1" applyBorder="1" applyAlignment="1">
      <alignment horizontal="left" vertical="center"/>
    </xf>
    <xf numFmtId="176" fontId="128" fillId="0" borderId="2" xfId="0" applyNumberFormat="1" applyFont="1" applyBorder="1" applyAlignment="1">
      <alignment horizontal="left" vertical="center"/>
    </xf>
    <xf numFmtId="0" fontId="128" fillId="0" borderId="16" xfId="20"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02" fillId="0" borderId="93" xfId="0" applyFont="1" applyBorder="1" applyAlignment="1" applyProtection="1">
      <alignment horizontal="center" vertical="center" wrapText="1"/>
      <protection locked="0"/>
    </xf>
    <xf numFmtId="0" fontId="103" fillId="0" borderId="89" xfId="0" applyFont="1" applyBorder="1" applyAlignment="1" applyProtection="1">
      <alignment horizontal="center" vertical="center" wrapText="1"/>
      <protection locked="0"/>
    </xf>
    <xf numFmtId="0" fontId="102" fillId="0" borderId="115" xfId="0" applyFont="1" applyBorder="1" applyAlignment="1" applyProtection="1">
      <alignment horizontal="center" vertical="center" wrapText="1"/>
      <protection locked="0"/>
    </xf>
    <xf numFmtId="9" fontId="102" fillId="0" borderId="146" xfId="0" applyNumberFormat="1" applyFont="1" applyBorder="1" applyAlignment="1" applyProtection="1">
      <alignment horizontal="center" vertical="center" wrapText="1"/>
      <protection locked="0"/>
    </xf>
    <xf numFmtId="9" fontId="71" fillId="0" borderId="146" xfId="0" applyNumberFormat="1" applyFont="1" applyBorder="1" applyAlignment="1" applyProtection="1">
      <alignment horizontal="center" vertical="center" wrapText="1"/>
      <protection locked="0"/>
    </xf>
    <xf numFmtId="198" fontId="71" fillId="0" borderId="0" xfId="0" applyNumberFormat="1" applyFont="1" applyProtection="1">
      <alignment vertical="center"/>
      <protection locked="0"/>
    </xf>
    <xf numFmtId="0" fontId="154" fillId="0" borderId="0" xfId="14" applyFont="1" applyAlignment="1">
      <alignment horizontal="left" vertical="top" wrapText="1"/>
    </xf>
    <xf numFmtId="0" fontId="80" fillId="0" borderId="12" xfId="19" applyFont="1" applyBorder="1" applyAlignment="1">
      <alignment horizontal="left" vertical="center" wrapText="1"/>
    </xf>
    <xf numFmtId="0" fontId="80" fillId="0" borderId="27" xfId="19" applyFont="1" applyBorder="1" applyAlignment="1">
      <alignment horizontal="left" vertical="center" wrapText="1"/>
    </xf>
    <xf numFmtId="0" fontId="80" fillId="0" borderId="16" xfId="19" applyFont="1" applyBorder="1" applyAlignment="1">
      <alignment horizontal="left" vertical="center" wrapText="1"/>
    </xf>
    <xf numFmtId="0" fontId="80" fillId="0" borderId="12" xfId="19" applyFont="1" applyBorder="1" applyAlignment="1">
      <alignment vertical="center" wrapText="1"/>
    </xf>
    <xf numFmtId="0" fontId="80" fillId="0" borderId="27" xfId="19" applyFont="1" applyBorder="1" applyAlignment="1">
      <alignment vertical="center" wrapText="1"/>
    </xf>
    <xf numFmtId="0" fontId="80" fillId="0" borderId="16" xfId="19" applyFont="1" applyBorder="1" applyAlignment="1">
      <alignment vertical="center" wrapText="1"/>
    </xf>
    <xf numFmtId="0" fontId="80" fillId="0" borderId="144" xfId="19" applyFont="1" applyBorder="1" applyAlignment="1">
      <alignment horizontal="left" vertical="center" wrapText="1"/>
    </xf>
    <xf numFmtId="0" fontId="144" fillId="0" borderId="0" xfId="19" applyFont="1" applyAlignment="1">
      <alignment horizontal="left" vertical="center" wrapText="1"/>
    </xf>
    <xf numFmtId="0" fontId="142" fillId="0" borderId="0" xfId="19" applyFont="1" applyAlignment="1">
      <alignment horizontal="center" vertical="center"/>
    </xf>
    <xf numFmtId="0" fontId="142" fillId="0" borderId="1" xfId="19" applyFont="1" applyBorder="1" applyAlignment="1">
      <alignment horizontal="center" vertical="center"/>
    </xf>
    <xf numFmtId="0" fontId="80" fillId="0" borderId="7"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92"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112" fillId="0" borderId="0" xfId="0" applyFont="1" applyAlignment="1">
      <alignment horizontal="center" vertical="center"/>
    </xf>
    <xf numFmtId="0" fontId="92" fillId="0" borderId="146"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8" fillId="0" borderId="0" xfId="0" applyFont="1" applyAlignment="1">
      <alignment horizontal="left" vertical="center" wrapText="1"/>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79"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7" borderId="7" xfId="0" applyFill="1" applyBorder="1" applyAlignment="1">
      <alignment horizontal="left" vertical="center"/>
    </xf>
    <xf numFmtId="0" fontId="0" fillId="0" borderId="7" xfId="0" applyBorder="1" applyAlignment="1">
      <alignment horizontal="left" vertical="center"/>
    </xf>
    <xf numFmtId="0" fontId="126" fillId="0" borderId="13" xfId="0" applyFont="1" applyBorder="1" applyAlignment="1">
      <alignment horizontal="left" vertical="center"/>
    </xf>
    <xf numFmtId="0" fontId="132" fillId="3" borderId="7" xfId="14" applyFont="1" applyFill="1" applyBorder="1" applyAlignment="1">
      <alignment horizontal="left" vertical="center"/>
    </xf>
    <xf numFmtId="0" fontId="133" fillId="0" borderId="7" xfId="14" applyFont="1" applyBorder="1" applyAlignment="1">
      <alignment horizontal="left" vertical="center"/>
    </xf>
    <xf numFmtId="0" fontId="133"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21" xfId="0" applyNumberFormat="1" applyFont="1" applyFill="1" applyBorder="1" applyAlignment="1" applyProtection="1">
      <alignment horizontal="left" vertical="center"/>
      <protection locked="0"/>
    </xf>
    <xf numFmtId="49" fontId="36" fillId="13" borderId="122" xfId="0" applyNumberFormat="1" applyFont="1" applyFill="1" applyBorder="1" applyAlignment="1" applyProtection="1">
      <alignment horizontal="left" vertical="center"/>
      <protection locked="0"/>
    </xf>
    <xf numFmtId="49" fontId="36" fillId="13" borderId="118" xfId="0" applyNumberFormat="1" applyFont="1" applyFill="1" applyBorder="1" applyAlignment="1" applyProtection="1">
      <alignment horizontal="left" vertical="center"/>
      <protection locked="0"/>
    </xf>
    <xf numFmtId="0" fontId="54" fillId="19" borderId="12" xfId="0" applyFont="1" applyFill="1" applyBorder="1" applyAlignment="1">
      <alignment horizontal="center" vertical="center" wrapText="1"/>
    </xf>
    <xf numFmtId="0" fontId="54" fillId="19" borderId="150"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7" fillId="2" borderId="24" xfId="0" applyFont="1" applyFill="1" applyBorder="1" applyAlignment="1">
      <alignment horizontal="left" vertical="center" wrapText="1"/>
    </xf>
    <xf numFmtId="0" fontId="87" fillId="2" borderId="115"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8" fillId="2" borderId="6" xfId="0" applyFont="1" applyFill="1" applyBorder="1" applyAlignment="1">
      <alignment horizontal="left" vertical="center"/>
    </xf>
    <xf numFmtId="0" fontId="118"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7" fillId="2" borderId="84"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5" fontId="114"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4"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4" fillId="2" borderId="124" xfId="0" applyFont="1" applyFill="1" applyBorder="1" applyAlignment="1">
      <alignment horizontal="center" vertical="center"/>
    </xf>
    <xf numFmtId="0" fontId="94" fillId="2" borderId="107" xfId="0" applyFont="1" applyFill="1" applyBorder="1" applyAlignment="1">
      <alignment horizontal="center" vertical="center"/>
    </xf>
    <xf numFmtId="0" fontId="94"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114"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16"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5"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33" fillId="2" borderId="86"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99" xfId="13" applyFont="1" applyFill="1" applyBorder="1" applyAlignment="1">
      <alignment horizontal="left" vertical="center"/>
    </xf>
    <xf numFmtId="0" fontId="33" fillId="16" borderId="116" xfId="13" applyFont="1" applyFill="1" applyBorder="1" applyAlignment="1" applyProtection="1">
      <alignment vertical="center"/>
      <protection locked="0"/>
    </xf>
    <xf numFmtId="0" fontId="33" fillId="16" borderId="106" xfId="13" applyFont="1" applyFill="1" applyBorder="1" applyAlignment="1" applyProtection="1">
      <alignment vertical="center"/>
      <protection locked="0"/>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1" fillId="2" borderId="124" xfId="13" applyFont="1" applyFill="1" applyBorder="1" applyAlignment="1">
      <alignment horizontal="left" vertical="center"/>
    </xf>
    <xf numFmtId="0" fontId="21" fillId="2" borderId="107" xfId="13" applyFont="1" applyFill="1" applyBorder="1" applyAlignment="1">
      <alignment horizontal="left" vertical="center"/>
    </xf>
    <xf numFmtId="0" fontId="21" fillId="2" borderId="103" xfId="13"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30" fillId="6" borderId="42" xfId="16" applyFont="1" applyFill="1" applyBorder="1" applyAlignment="1">
      <alignment horizontal="left" vertical="center" wrapText="1"/>
    </xf>
    <xf numFmtId="0" fontId="30" fillId="6" borderId="35"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25" fillId="0" borderId="0" xfId="16"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3">
    <cellStyle name="百分比" xfId="1" builtinId="5"/>
    <cellStyle name="百分比 2" xfId="2"/>
    <cellStyle name="百分比 3 2" xfId="3"/>
    <cellStyle name="常规" xfId="0" builtinId="0"/>
    <cellStyle name="常规 10" xfId="4"/>
    <cellStyle name="常规 10 2" xfId="5"/>
    <cellStyle name="常规 11" xfId="6"/>
    <cellStyle name="常规 16" xfId="7"/>
    <cellStyle name="常规 2" xfId="8"/>
    <cellStyle name="常规 2 2" xfId="9"/>
    <cellStyle name="常规 2 2 2 2 3" xfId="10"/>
    <cellStyle name="常规 3" xfId="11"/>
    <cellStyle name="常规 3 2" xfId="12"/>
    <cellStyle name="常规 4" xfId="13"/>
    <cellStyle name="常规 5" xfId="14"/>
    <cellStyle name="常规 6" xfId="15"/>
    <cellStyle name="常规 6 2" xfId="16"/>
    <cellStyle name="常规 6 2 2" xfId="17"/>
    <cellStyle name="常规 6 2 3" xfId="18"/>
    <cellStyle name="常规 7" xfId="19"/>
    <cellStyle name="常规 8" xfId="20"/>
    <cellStyle name="常规 9" xfId="21"/>
    <cellStyle name="千位分隔 2 2" xfId="22"/>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www.wps.cn/officeDocument/2021/sharedlinks" Target="NUL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654268</xdr:colOff>
      <xdr:row>22</xdr:row>
      <xdr:rowOff>114300</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3397250" cy="3886200"/>
        </a:xfrm>
        <a:prstGeom prst="rect">
          <a:avLst/>
        </a:prstGeom>
      </xdr:spPr>
    </xdr:pic>
    <xdr:clientData/>
  </xdr:twoCellAnchor>
  <xdr:twoCellAnchor editAs="oneCell">
    <xdr:from>
      <xdr:col>0</xdr:col>
      <xdr:colOff>0</xdr:colOff>
      <xdr:row>22</xdr:row>
      <xdr:rowOff>57150</xdr:rowOff>
    </xdr:from>
    <xdr:to>
      <xdr:col>4</xdr:col>
      <xdr:colOff>646829</xdr:colOff>
      <xdr:row>45</xdr:row>
      <xdr:rowOff>28575</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3829050"/>
          <a:ext cx="3389630" cy="3914775"/>
        </a:xfrm>
        <a:prstGeom prst="rect">
          <a:avLst/>
        </a:prstGeom>
      </xdr:spPr>
    </xdr:pic>
    <xdr:clientData/>
  </xdr:twoCellAnchor>
  <xdr:twoCellAnchor editAs="oneCell">
    <xdr:from>
      <xdr:col>10</xdr:col>
      <xdr:colOff>295275</xdr:colOff>
      <xdr:row>0</xdr:row>
      <xdr:rowOff>0</xdr:rowOff>
    </xdr:from>
    <xdr:to>
      <xdr:col>16</xdr:col>
      <xdr:colOff>75713</xdr:colOff>
      <xdr:row>20</xdr:row>
      <xdr:rowOff>104333</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7153275" y="0"/>
          <a:ext cx="3895090" cy="3533140"/>
        </a:xfrm>
        <a:prstGeom prst="rect">
          <a:avLst/>
        </a:prstGeom>
      </xdr:spPr>
    </xdr:pic>
    <xdr:clientData/>
  </xdr:twoCellAnchor>
  <xdr:twoCellAnchor editAs="oneCell">
    <xdr:from>
      <xdr:col>4</xdr:col>
      <xdr:colOff>676275</xdr:colOff>
      <xdr:row>0</xdr:row>
      <xdr:rowOff>0</xdr:rowOff>
    </xdr:from>
    <xdr:to>
      <xdr:col>10</xdr:col>
      <xdr:colOff>494808</xdr:colOff>
      <xdr:row>21</xdr:row>
      <xdr:rowOff>56693</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3419475" y="0"/>
          <a:ext cx="3933190" cy="3656965"/>
        </a:xfrm>
        <a:prstGeom prst="rect">
          <a:avLst/>
        </a:prstGeom>
      </xdr:spPr>
    </xdr:pic>
    <xdr:clientData/>
  </xdr:twoCellAnchor>
  <xdr:twoCellAnchor editAs="oneCell">
    <xdr:from>
      <xdr:col>4</xdr:col>
      <xdr:colOff>542925</xdr:colOff>
      <xdr:row>20</xdr:row>
      <xdr:rowOff>142875</xdr:rowOff>
    </xdr:from>
    <xdr:to>
      <xdr:col>10</xdr:col>
      <xdr:colOff>418601</xdr:colOff>
      <xdr:row>41</xdr:row>
      <xdr:rowOff>85282</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3286125" y="3571875"/>
          <a:ext cx="3990340" cy="3542665"/>
        </a:xfrm>
        <a:prstGeom prst="rect">
          <a:avLst/>
        </a:prstGeom>
      </xdr:spPr>
    </xdr:pic>
    <xdr:clientData/>
  </xdr:twoCellAnchor>
  <xdr:twoCellAnchor editAs="oneCell">
    <xdr:from>
      <xdr:col>10</xdr:col>
      <xdr:colOff>371475</xdr:colOff>
      <xdr:row>20</xdr:row>
      <xdr:rowOff>47625</xdr:rowOff>
    </xdr:from>
    <xdr:to>
      <xdr:col>16</xdr:col>
      <xdr:colOff>218580</xdr:colOff>
      <xdr:row>40</xdr:row>
      <xdr:rowOff>123387</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7229475" y="3476625"/>
          <a:ext cx="3961765" cy="3504565"/>
        </a:xfrm>
        <a:prstGeom prst="rect">
          <a:avLst/>
        </a:prstGeom>
      </xdr:spPr>
    </xdr:pic>
    <xdr:clientData/>
  </xdr:twoCellAnchor>
  <xdr:twoCellAnchor editAs="oneCell">
    <xdr:from>
      <xdr:col>15</xdr:col>
      <xdr:colOff>647700</xdr:colOff>
      <xdr:row>0</xdr:row>
      <xdr:rowOff>0</xdr:rowOff>
    </xdr:from>
    <xdr:to>
      <xdr:col>21</xdr:col>
      <xdr:colOff>609090</xdr:colOff>
      <xdr:row>21</xdr:row>
      <xdr:rowOff>132883</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10934700" y="0"/>
          <a:ext cx="4076065" cy="3733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19</xdr:row>
      <xdr:rowOff>75783</xdr:rowOff>
    </xdr:to>
    <xdr:pic>
      <xdr:nvPicPr>
        <xdr:cNvPr id="2" name="图片 1">
          <a:extLst>
            <a:ext uri="{FF2B5EF4-FFF2-40B4-BE49-F238E27FC236}">
              <a16:creationId xmlns=""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3876040" cy="3333115"/>
        </a:xfrm>
        <a:prstGeom prst="rect">
          <a:avLst/>
        </a:prstGeom>
      </xdr:spPr>
    </xdr:pic>
    <xdr:clientData/>
  </xdr:twoCellAnchor>
  <xdr:twoCellAnchor editAs="oneCell">
    <xdr:from>
      <xdr:col>5</xdr:col>
      <xdr:colOff>400050</xdr:colOff>
      <xdr:row>0</xdr:row>
      <xdr:rowOff>0</xdr:rowOff>
    </xdr:from>
    <xdr:to>
      <xdr:col>11</xdr:col>
      <xdr:colOff>218583</xdr:colOff>
      <xdr:row>13</xdr:row>
      <xdr:rowOff>104483</xdr:rowOff>
    </xdr:to>
    <xdr:pic>
      <xdr:nvPicPr>
        <xdr:cNvPr id="3" name="图片 2">
          <a:extLst>
            <a:ext uri="{FF2B5EF4-FFF2-40B4-BE49-F238E27FC236}">
              <a16:creationId xmlns=""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3829050" y="0"/>
          <a:ext cx="3933190" cy="2332990"/>
        </a:xfrm>
        <a:prstGeom prst="rect">
          <a:avLst/>
        </a:prstGeom>
      </xdr:spPr>
    </xdr:pic>
    <xdr:clientData/>
  </xdr:twoCellAnchor>
  <xdr:twoCellAnchor editAs="oneCell">
    <xdr:from>
      <xdr:col>11</xdr:col>
      <xdr:colOff>228600</xdr:colOff>
      <xdr:row>0</xdr:row>
      <xdr:rowOff>0</xdr:rowOff>
    </xdr:from>
    <xdr:to>
      <xdr:col>16</xdr:col>
      <xdr:colOff>656743</xdr:colOff>
      <xdr:row>13</xdr:row>
      <xdr:rowOff>133055</xdr:rowOff>
    </xdr:to>
    <xdr:pic>
      <xdr:nvPicPr>
        <xdr:cNvPr id="4" name="图片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7772400" y="0"/>
          <a:ext cx="3856990" cy="2361565"/>
        </a:xfrm>
        <a:prstGeom prst="rect">
          <a:avLst/>
        </a:prstGeom>
      </xdr:spPr>
    </xdr:pic>
    <xdr:clientData/>
  </xdr:twoCellAnchor>
  <xdr:twoCellAnchor editAs="oneCell">
    <xdr:from>
      <xdr:col>0</xdr:col>
      <xdr:colOff>0</xdr:colOff>
      <xdr:row>21</xdr:row>
      <xdr:rowOff>0</xdr:rowOff>
    </xdr:from>
    <xdr:to>
      <xdr:col>5</xdr:col>
      <xdr:colOff>390048</xdr:colOff>
      <xdr:row>41</xdr:row>
      <xdr:rowOff>85286</xdr:rowOff>
    </xdr:to>
    <xdr:pic>
      <xdr:nvPicPr>
        <xdr:cNvPr id="5" name="图片 4">
          <a:extLst>
            <a:ext uri="{FF2B5EF4-FFF2-40B4-BE49-F238E27FC236}">
              <a16:creationId xmlns=""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3600450"/>
          <a:ext cx="3818890" cy="3514090"/>
        </a:xfrm>
        <a:prstGeom prst="rect">
          <a:avLst/>
        </a:prstGeom>
      </xdr:spPr>
    </xdr:pic>
    <xdr:clientData/>
  </xdr:twoCellAnchor>
  <xdr:twoCellAnchor editAs="oneCell">
    <xdr:from>
      <xdr:col>5</xdr:col>
      <xdr:colOff>428625</xdr:colOff>
      <xdr:row>14</xdr:row>
      <xdr:rowOff>142875</xdr:rowOff>
    </xdr:from>
    <xdr:to>
      <xdr:col>11</xdr:col>
      <xdr:colOff>170968</xdr:colOff>
      <xdr:row>22</xdr:row>
      <xdr:rowOff>66513</xdr:rowOff>
    </xdr:to>
    <xdr:pic>
      <xdr:nvPicPr>
        <xdr:cNvPr id="6" name="图片 5">
          <a:extLst>
            <a:ext uri="{FF2B5EF4-FFF2-40B4-BE49-F238E27FC236}">
              <a16:creationId xmlns=""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3857625" y="2543175"/>
          <a:ext cx="3856990" cy="1294765"/>
        </a:xfrm>
        <a:prstGeom prst="rect">
          <a:avLst/>
        </a:prstGeom>
      </xdr:spPr>
    </xdr:pic>
    <xdr:clientData/>
  </xdr:twoCellAnchor>
  <xdr:twoCellAnchor editAs="oneCell">
    <xdr:from>
      <xdr:col>11</xdr:col>
      <xdr:colOff>57150</xdr:colOff>
      <xdr:row>14</xdr:row>
      <xdr:rowOff>57150</xdr:rowOff>
    </xdr:from>
    <xdr:to>
      <xdr:col>16</xdr:col>
      <xdr:colOff>637674</xdr:colOff>
      <xdr:row>35</xdr:row>
      <xdr:rowOff>123367</xdr:rowOff>
    </xdr:to>
    <xdr:pic>
      <xdr:nvPicPr>
        <xdr:cNvPr id="7" name="图片 6">
          <a:extLst>
            <a:ext uri="{FF2B5EF4-FFF2-40B4-BE49-F238E27FC236}">
              <a16:creationId xmlns=""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7600950" y="2457450"/>
          <a:ext cx="40093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5&#24180;\2025-1-0331-&#32418;&#20891;&#33829;&#26262;&#23665;&#29983;&#27963;\P01\&#26368;&#32456;\&#30005;&#31639;&#34920;-&#32418;&#20891;&#33829;&#21335;&#36335;&#26262;&#23665;&#29983;&#279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估价对象"/>
      <sheetName val="数据-基础表"/>
      <sheetName val="数据-汇总表"/>
      <sheetName val="数据-取费表"/>
      <sheetName val="估价对象房地状况"/>
      <sheetName val="系统读取表"/>
      <sheetName val="结果表"/>
      <sheetName val="比较法-商业"/>
      <sheetName val="商业"/>
      <sheetName val="收益法"/>
      <sheetName val="成本法 (元)"/>
      <sheetName val="收益法 (元)"/>
      <sheetName val="结果表地下商"/>
      <sheetName val="基准地价修正"/>
      <sheetName val="成本法"/>
      <sheetName val="假设开发法"/>
      <sheetName val="收益法商"/>
      <sheetName val="结果表车"/>
      <sheetName val="成本法车"/>
      <sheetName val="收益法车"/>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基准地价修正办"/>
      <sheetName val="成本法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地上</v>
          </cell>
        </row>
        <row r="20">
          <cell r="C20" t="str">
            <v>地下商业</v>
          </cell>
        </row>
        <row r="21">
          <cell r="C21" t="str">
            <v>地下车库</v>
          </cell>
        </row>
      </sheetData>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74"/>
  <sheetViews>
    <sheetView zoomScale="80" zoomScaleNormal="80" workbookViewId="0">
      <selection activeCell="E24" sqref="E24"/>
    </sheetView>
  </sheetViews>
  <sheetFormatPr defaultColWidth="9" defaultRowHeight="14.25"/>
  <cols>
    <col min="1" max="1" width="35.625" style="3224" customWidth="1"/>
    <col min="2" max="2" width="81" style="3225" customWidth="1"/>
    <col min="3" max="16384" width="9" style="3226"/>
  </cols>
  <sheetData>
    <row r="1" spans="1:2" s="3222" customFormat="1" ht="15.75">
      <c r="A1" s="3227" t="s">
        <v>0</v>
      </c>
      <c r="B1" s="3228" t="s">
        <v>1</v>
      </c>
    </row>
    <row r="2" spans="1:2" s="3223" customFormat="1">
      <c r="A2" s="3229" t="s">
        <v>2</v>
      </c>
      <c r="B2" s="3230" t="str">
        <f>'预评函-封皮'!B37:I37</f>
        <v>北京市房地产抵押价值预评估</v>
      </c>
    </row>
    <row r="3" spans="1:2">
      <c r="A3" s="3231" t="s">
        <v>3</v>
      </c>
      <c r="B3" s="3232">
        <f>'预评函-封皮'!B40</f>
        <v>0</v>
      </c>
    </row>
    <row r="4" spans="1:2">
      <c r="A4" s="3231" t="s">
        <v>4</v>
      </c>
      <c r="B4" s="3232" t="str">
        <f>'预评函-封皮'!B46</f>
        <v>（注册号：0)、（注册号：0)</v>
      </c>
    </row>
    <row r="5" spans="1:2" s="3222" customFormat="1">
      <c r="A5" s="3233" t="s">
        <v>5</v>
      </c>
      <c r="B5" s="3234" t="str">
        <f>'预评函-封皮'!B49</f>
        <v>康正预评字号</v>
      </c>
    </row>
    <row r="6" spans="1:2" s="3223" customFormat="1">
      <c r="A6" s="3229" t="s">
        <v>6</v>
      </c>
      <c r="B6" s="3230" t="str">
        <f>'预评函-1'!A4</f>
        <v>受贵公司委托，我公司对北京市房地产抵押价值进行了预评估。</v>
      </c>
    </row>
    <row r="7" spans="1:2">
      <c r="A7" s="3231" t="s">
        <v>7</v>
      </c>
      <c r="B7" s="3232" t="str">
        <f>'预评函-1'!A7</f>
        <v>估价对象为北京市房地产，为所有。根据《国有土地使用证》[]，估价对象（分摊）出让国有建设用地使用权面积为12590.6平方米，建筑面积为65221.92平方米。</v>
      </c>
    </row>
    <row r="8" spans="1:2">
      <c r="A8" s="3231" t="s">
        <v>8</v>
      </c>
      <c r="B8" s="3232" t="str">
        <f>'预评函-1'!A8</f>
        <v>估价对象简述。项目推广名，项目类型（用途），估价对象分布，各用途面积明细情况：XX用途建筑面积XX平方米，XX用途建筑面积XX平方米，……。复杂面积清单需设‘附表’列示：抵押物清单详见附表</v>
      </c>
    </row>
    <row r="9" spans="1:2">
      <c r="A9" s="3231" t="s">
        <v>9</v>
      </c>
      <c r="B9" s="3232" t="str">
        <f>'预评函-1'!A10</f>
        <v>估价对象为北京市房地产,属开发建设的，该项目尚在开发建设中。根据《国有土地使用证》[]，估价对象（分摊）出让国有建设用地使用权面积为12590.6平方米，规划建筑面积为65221.92平方米。</v>
      </c>
    </row>
    <row r="10" spans="1:2">
      <c r="A10" s="3231" t="s">
        <v>10</v>
      </c>
      <c r="B10" s="32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1" t="s">
        <v>11</v>
      </c>
      <c r="B11" s="32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31" t="s">
        <v>12</v>
      </c>
      <c r="B12" s="3232" t="str">
        <f>'预评函-1'!A15</f>
        <v>2025年8月13日（评估专业人员实地查勘之日）</v>
      </c>
    </row>
    <row r="13" spans="1:2">
      <c r="A13" s="3231" t="s">
        <v>13</v>
      </c>
      <c r="B13" s="3232"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c r="A14" s="3231" t="s">
        <v>14</v>
      </c>
      <c r="B14" s="32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1" t="s">
        <v>15</v>
      </c>
      <c r="B15" s="3232" t="str">
        <f>'预评函-1'!A20</f>
        <v>本次估价的“房地产抵押价值”是指估价对象在价值时点的“房地产价值”扣减估价师于价值时点所知悉的法定优先受偿款后的余额。</v>
      </c>
    </row>
    <row r="16" spans="1:2">
      <c r="A16" s="3231" t="s">
        <v>16</v>
      </c>
      <c r="B16" s="32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1" t="s">
        <v>17</v>
      </c>
      <c r="B17" s="3232" t="str">
        <f>'预评函-1'!A22</f>
        <v/>
      </c>
    </row>
    <row r="18" spans="1:2" s="3222" customFormat="1">
      <c r="A18" s="3233" t="s">
        <v>18</v>
      </c>
      <c r="B18" s="3234" t="str">
        <f>'预评函-1'!A24</f>
        <v>本次评估采用的主估价方法为比较法和收益法。</v>
      </c>
    </row>
    <row r="19" spans="1:2" s="3223" customFormat="1">
      <c r="A19" s="3229" t="s">
        <v>19</v>
      </c>
      <c r="B19" s="32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1" t="s">
        <v>20</v>
      </c>
      <c r="B20" s="3232" t="e">
        <f ca="1">'预评函-2'!D5</f>
        <v>#REF!</v>
      </c>
    </row>
    <row r="21" spans="1:2">
      <c r="A21" s="3231" t="s">
        <v>21</v>
      </c>
      <c r="B21" s="3232" t="e">
        <f ca="1">'预评函-2'!D7</f>
        <v>#REF!</v>
      </c>
    </row>
    <row r="22" spans="1:2">
      <c r="A22" s="3231" t="s">
        <v>22</v>
      </c>
      <c r="B22" s="3232" t="e">
        <f ca="1">'预评函-2'!D6</f>
        <v>#REF!</v>
      </c>
    </row>
    <row r="23" spans="1:2">
      <c r="A23" s="3231" t="s">
        <v>23</v>
      </c>
      <c r="B23" s="3232" t="str">
        <f>'预评函-2'!B8</f>
        <v>2.估价师知悉的法定优先受偿款</v>
      </c>
    </row>
    <row r="24" spans="1:2">
      <c r="A24" s="3231" t="s">
        <v>24</v>
      </c>
      <c r="B24" s="3232">
        <f>'预评函-2'!D8</f>
        <v>0</v>
      </c>
    </row>
    <row r="25" spans="1:2">
      <c r="A25" s="3231" t="s">
        <v>25</v>
      </c>
      <c r="B25" s="3232" t="str">
        <f>'预评函-2'!D9</f>
        <v>零元整</v>
      </c>
    </row>
    <row r="26" spans="1:2">
      <c r="A26" s="3231" t="s">
        <v>26</v>
      </c>
      <c r="B26" s="3232">
        <f>'预评函-2'!D10</f>
        <v>0</v>
      </c>
    </row>
    <row r="27" spans="1:2">
      <c r="A27" s="3231" t="s">
        <v>27</v>
      </c>
      <c r="B27" s="3232">
        <f>'预评函-2'!D11</f>
        <v>0</v>
      </c>
    </row>
    <row r="28" spans="1:2">
      <c r="A28" s="3231" t="s">
        <v>28</v>
      </c>
      <c r="B28" s="3232">
        <f>'预评函-2'!D12</f>
        <v>0</v>
      </c>
    </row>
    <row r="29" spans="1:2">
      <c r="A29" s="3231" t="s">
        <v>29</v>
      </c>
      <c r="B29" s="3232" t="str">
        <f>'预评函-2'!B13</f>
        <v>3.房地产抵押价值</v>
      </c>
    </row>
    <row r="30" spans="1:2">
      <c r="A30" s="3231" t="s">
        <v>30</v>
      </c>
      <c r="B30" s="3232" t="e">
        <f ca="1">'预评函-2'!D13</f>
        <v>#REF!</v>
      </c>
    </row>
    <row r="31" spans="1:2">
      <c r="A31" s="3231" t="s">
        <v>31</v>
      </c>
      <c r="B31" s="3232" t="e">
        <f ca="1">'预评函-2'!D15</f>
        <v>#REF!</v>
      </c>
    </row>
    <row r="32" spans="1:2">
      <c r="A32" s="3231" t="s">
        <v>32</v>
      </c>
      <c r="B32" s="3232" t="e">
        <f ca="1">'预评函-2'!D14</f>
        <v>#REF!</v>
      </c>
    </row>
    <row r="33" spans="1:2">
      <c r="A33" s="3231" t="s">
        <v>33</v>
      </c>
      <c r="B33" s="3232" t="str">
        <f>'预评函-2'!B16</f>
        <v>——</v>
      </c>
    </row>
    <row r="34" spans="1:2">
      <c r="A34" s="3231" t="s">
        <v>34</v>
      </c>
      <c r="B34" s="3232" t="str">
        <f>'预评函-2'!D16</f>
        <v>——</v>
      </c>
    </row>
    <row r="35" spans="1:2">
      <c r="A35" s="3231" t="s">
        <v>35</v>
      </c>
      <c r="B35" s="3232" t="str">
        <f>'预评函-2'!D18</f>
        <v>——</v>
      </c>
    </row>
    <row r="36" spans="1:2">
      <c r="A36" s="3231" t="s">
        <v>36</v>
      </c>
      <c r="B36" s="3232" t="e">
        <f>'预评函-2'!D17</f>
        <v>#VALUE!</v>
      </c>
    </row>
    <row r="37" spans="1:2">
      <c r="A37" s="3231" t="s">
        <v>37</v>
      </c>
      <c r="B37" s="3232" t="str">
        <f>'预评函-2'!B19</f>
        <v>——</v>
      </c>
    </row>
    <row r="38" spans="1:2">
      <c r="A38" s="3231" t="s">
        <v>38</v>
      </c>
      <c r="B38" s="3232" t="str">
        <f>'预评函-2'!D19</f>
        <v>——</v>
      </c>
    </row>
    <row r="39" spans="1:2">
      <c r="A39" s="3231" t="s">
        <v>39</v>
      </c>
      <c r="B39" s="3232" t="str">
        <f>'预评函-2'!D21</f>
        <v>——</v>
      </c>
    </row>
    <row r="40" spans="1:2">
      <c r="A40" s="3231" t="s">
        <v>40</v>
      </c>
      <c r="B40" s="3232" t="e">
        <f>'预评函-2'!D20</f>
        <v>#VALUE!</v>
      </c>
    </row>
    <row r="41" spans="1:2">
      <c r="A41" s="3231" t="s">
        <v>41</v>
      </c>
      <c r="B41" s="3232" t="str">
        <f>'预评函-3'!A4</f>
        <v>北京市房地产</v>
      </c>
    </row>
    <row r="42" spans="1:2">
      <c r="A42" s="3231" t="s">
        <v>42</v>
      </c>
      <c r="B42" s="3232" t="str">
        <f>'预评函-3'!B2</f>
        <v>建筑面积</v>
      </c>
    </row>
    <row r="43" spans="1:2">
      <c r="A43" s="3231" t="s">
        <v>43</v>
      </c>
      <c r="B43" s="3232">
        <f>'预评函-3'!B4</f>
        <v>65221.919999999998</v>
      </c>
    </row>
    <row r="44" spans="1:2">
      <c r="A44" s="3231" t="s">
        <v>44</v>
      </c>
      <c r="B44" s="3232" t="str">
        <f>'预评函-3'!C2</f>
        <v>(分摊)土地面积</v>
      </c>
    </row>
    <row r="45" spans="1:2">
      <c r="A45" s="3231" t="s">
        <v>45</v>
      </c>
      <c r="B45" s="3232">
        <f>'预评函-3'!C4</f>
        <v>12590.6</v>
      </c>
    </row>
    <row r="46" spans="1:2">
      <c r="A46" s="3231" t="s">
        <v>46</v>
      </c>
      <c r="B46" s="3232" t="str">
        <f>'预评函-3'!D2</f>
        <v>出让国有建设用地使用权价值</v>
      </c>
    </row>
    <row r="47" spans="1:2">
      <c r="A47" s="3231" t="s">
        <v>47</v>
      </c>
      <c r="B47" s="3232" t="e">
        <f ca="1">'预评函-3'!D4</f>
        <v>#REF!</v>
      </c>
    </row>
    <row r="48" spans="1:2">
      <c r="A48" s="3231" t="s">
        <v>48</v>
      </c>
      <c r="B48" s="3232" t="e">
        <f ca="1">'预评函-3'!E4</f>
        <v>#REF!</v>
      </c>
    </row>
    <row r="49" spans="1:2">
      <c r="A49" s="3231" t="s">
        <v>49</v>
      </c>
      <c r="B49" s="3232" t="e">
        <f ca="1">'预评函-3'!D5</f>
        <v>#REF!</v>
      </c>
    </row>
    <row r="50" spans="1:2">
      <c r="A50" s="3231" t="s">
        <v>50</v>
      </c>
      <c r="B50" s="3232" t="str">
        <f>'预评函-3'!F2</f>
        <v>在建建筑物价值</v>
      </c>
    </row>
    <row r="51" spans="1:2">
      <c r="A51" s="3231" t="s">
        <v>51</v>
      </c>
      <c r="B51" s="3232" t="e">
        <f ca="1">'预评函-3'!F4</f>
        <v>#REF!</v>
      </c>
    </row>
    <row r="52" spans="1:2">
      <c r="A52" s="3231" t="s">
        <v>52</v>
      </c>
      <c r="B52" s="3232" t="e">
        <f ca="1">'预评函-3'!G4</f>
        <v>#REF!</v>
      </c>
    </row>
    <row r="53" spans="1:2">
      <c r="A53" s="3231" t="s">
        <v>53</v>
      </c>
      <c r="B53" s="3232" t="e">
        <f ca="1">'预评函-3'!F5</f>
        <v>#REF!</v>
      </c>
    </row>
    <row r="54" spans="1:2">
      <c r="A54" s="3231" t="s">
        <v>54</v>
      </c>
      <c r="B54" s="3232" t="str">
        <f>'预评函-3'!A8</f>
        <v>房地产抵押价值</v>
      </c>
    </row>
    <row r="55" spans="1:2">
      <c r="A55" s="3231" t="s">
        <v>55</v>
      </c>
      <c r="B55" s="3232" t="str">
        <f>'预评函-3'!A10</f>
        <v/>
      </c>
    </row>
    <row r="56" spans="1:2">
      <c r="A56" s="3231" t="s">
        <v>56</v>
      </c>
      <c r="B56" s="3232" t="str">
        <f>'预评函-3'!A12</f>
        <v/>
      </c>
    </row>
    <row r="57" spans="1:2" s="3222" customFormat="1">
      <c r="A57" s="3233" t="s">
        <v>57</v>
      </c>
      <c r="B57" s="3234" t="str">
        <f>'预评函-3'!A6</f>
        <v>估价师知悉的法定优先受偿款</v>
      </c>
    </row>
    <row r="58" spans="1:2" s="3223" customFormat="1">
      <c r="A58" s="3229" t="s">
        <v>58</v>
      </c>
      <c r="B58" s="3230" t="str">
        <f>'预评函-4'!A12</f>
        <v>2.本《评估意见函》仅供金融机构进行内部审核使用，不做其他目的之用。</v>
      </c>
    </row>
    <row r="59" spans="1:2">
      <c r="A59" s="3231" t="s">
        <v>59</v>
      </c>
      <c r="B59" s="3232" t="str">
        <f>'预评函-4'!A13</f>
        <v>3.抵押双方在办理抵押登记手续时，应使用本公司出具的正式《房地产评估报告》，特提醒报告使用者注意。</v>
      </c>
    </row>
    <row r="60" spans="1:2">
      <c r="A60" s="3231" t="s">
        <v>60</v>
      </c>
      <c r="B60" s="3232" t="str">
        <f>'预评函-4'!A14</f>
        <v>4.本次评估估价师所知悉的法定优先受偿款情况说明如下：</v>
      </c>
    </row>
    <row r="61" spans="1:2">
      <c r="A61" s="3231" t="s">
        <v>61</v>
      </c>
      <c r="B61" s="323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1" t="s">
        <v>62</v>
      </c>
      <c r="B62" s="3232" t="str">
        <f>'预评函-4'!A16</f>
        <v>（2）根据《工程款支付情况说明》，截至价值时点，估价对象不存在应付未付工程款项。（只要没有施工方盖章的，均“设定”进行表述）</v>
      </c>
    </row>
    <row r="63" spans="1:2">
      <c r="A63" s="3231" t="s">
        <v>63</v>
      </c>
      <c r="B63" s="32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1" t="s">
        <v>64</v>
      </c>
      <c r="B64" s="3232" t="str">
        <f>'预评函-4'!A18</f>
        <v>故，本次评估不存在估价师知悉的法定优先受偿款</v>
      </c>
    </row>
    <row r="65" spans="1:2">
      <c r="A65" s="3231" t="s">
        <v>65</v>
      </c>
      <c r="B65" s="32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1" t="s">
        <v>66</v>
      </c>
      <c r="B66" s="32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31" t="s">
        <v>67</v>
      </c>
      <c r="B67" s="32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31" t="s">
        <v>68</v>
      </c>
      <c r="B68" s="3232" t="str">
        <f>'预评函-4'!A22</f>
        <v>8.其他需特殊说明事项：无（注意调整序号）</v>
      </c>
    </row>
    <row r="69" spans="1:2" s="3222" customFormat="1">
      <c r="A69" s="3233" t="s">
        <v>69</v>
      </c>
      <c r="B69" s="3235">
        <f>'预评函-4'!C31</f>
        <v>42551</v>
      </c>
    </row>
    <row r="70" spans="1:2">
      <c r="A70" s="3236" t="s">
        <v>70</v>
      </c>
      <c r="B70" s="3237">
        <f>'预评函-4'!A4</f>
        <v>0</v>
      </c>
    </row>
    <row r="71" spans="1:2">
      <c r="A71" s="3231" t="s">
        <v>71</v>
      </c>
      <c r="B71" s="3232">
        <f>'预评函-4'!B4</f>
        <v>0</v>
      </c>
    </row>
    <row r="72" spans="1:2">
      <c r="A72" s="3231" t="s">
        <v>72</v>
      </c>
      <c r="B72" s="3238">
        <f>'预评函-4'!A5</f>
        <v>0</v>
      </c>
    </row>
    <row r="73" spans="1:2" s="3222" customFormat="1">
      <c r="A73" s="3233" t="s">
        <v>73</v>
      </c>
      <c r="B73" s="3234">
        <f>'预评函-4'!B5</f>
        <v>0</v>
      </c>
    </row>
    <row r="74" spans="1:2">
      <c r="A74" s="3224" t="s">
        <v>74</v>
      </c>
      <c r="B74" s="3225"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AB127"/>
  <sheetViews>
    <sheetView topLeftCell="A8" workbookViewId="0">
      <selection activeCell="E26" sqref="E26"/>
    </sheetView>
  </sheetViews>
  <sheetFormatPr defaultColWidth="9" defaultRowHeight="13.5"/>
  <cols>
    <col min="1" max="1" width="13.5" style="3117" customWidth="1"/>
    <col min="2" max="2" width="23.25" customWidth="1"/>
    <col min="3" max="3" width="13" style="3118" customWidth="1"/>
    <col min="4" max="4" width="5.75" style="3119" customWidth="1"/>
    <col min="5" max="5" width="7.125" style="3119" customWidth="1"/>
    <col min="6" max="6" width="10.625" style="3119" customWidth="1"/>
    <col min="7" max="7" width="7.5" style="3119" customWidth="1"/>
    <col min="8" max="8" width="11.875" style="3118" customWidth="1"/>
    <col min="9" max="9" width="11.625" style="3118" customWidth="1"/>
    <col min="10" max="10" width="9" style="3118" customWidth="1"/>
    <col min="11" max="19" width="9" style="3119" customWidth="1"/>
    <col min="20" max="23" width="9" style="3118" customWidth="1"/>
    <col min="24" max="28" width="15.125" style="3118" customWidth="1"/>
  </cols>
  <sheetData>
    <row r="1" spans="1:28" s="3116" customFormat="1" ht="40.5">
      <c r="A1" s="3120" t="s">
        <v>206</v>
      </c>
      <c r="B1" s="3121" t="s">
        <v>207</v>
      </c>
      <c r="C1" s="3122" t="s">
        <v>208</v>
      </c>
      <c r="D1" s="3123" t="s">
        <v>209</v>
      </c>
      <c r="E1" s="3122" t="s">
        <v>210</v>
      </c>
      <c r="F1" s="3122" t="s">
        <v>211</v>
      </c>
      <c r="G1" s="3122" t="s">
        <v>212</v>
      </c>
      <c r="H1" s="3122" t="s">
        <v>213</v>
      </c>
      <c r="I1" s="3122" t="s">
        <v>214</v>
      </c>
      <c r="J1" s="3122" t="s">
        <v>215</v>
      </c>
      <c r="K1" s="3122" t="s">
        <v>216</v>
      </c>
      <c r="L1" s="3122" t="s">
        <v>217</v>
      </c>
      <c r="M1" s="3122" t="s">
        <v>218</v>
      </c>
      <c r="N1" s="3122" t="s">
        <v>219</v>
      </c>
      <c r="O1" s="3122" t="s">
        <v>220</v>
      </c>
      <c r="P1" s="3123" t="s">
        <v>221</v>
      </c>
      <c r="Q1" s="3123" t="s">
        <v>222</v>
      </c>
      <c r="R1" s="3122" t="s">
        <v>223</v>
      </c>
      <c r="S1" s="3122" t="s">
        <v>224</v>
      </c>
      <c r="T1" s="3123" t="s">
        <v>225</v>
      </c>
      <c r="U1" s="3122" t="s">
        <v>226</v>
      </c>
      <c r="V1" s="3122" t="s">
        <v>227</v>
      </c>
      <c r="W1" s="3122" t="s">
        <v>228</v>
      </c>
      <c r="X1" s="3122" t="s">
        <v>229</v>
      </c>
      <c r="Y1" s="3122" t="s">
        <v>230</v>
      </c>
      <c r="Z1" s="3122" t="s">
        <v>231</v>
      </c>
      <c r="AA1" s="3122" t="s">
        <v>232</v>
      </c>
      <c r="AB1" s="3122" t="s">
        <v>233</v>
      </c>
    </row>
    <row r="2" spans="1:28">
      <c r="A2" s="3078" t="s">
        <v>124</v>
      </c>
      <c r="B2" s="3078" t="s">
        <v>234</v>
      </c>
      <c r="C2" s="3124" t="s">
        <v>235</v>
      </c>
      <c r="D2" s="3119" t="s">
        <v>236</v>
      </c>
      <c r="E2" s="3119" t="s">
        <v>237</v>
      </c>
      <c r="F2" s="3119" t="s">
        <v>159</v>
      </c>
      <c r="G2" s="3119">
        <v>20</v>
      </c>
      <c r="H2" s="3119" t="s">
        <v>159</v>
      </c>
      <c r="I2" s="3119" t="s">
        <v>238</v>
      </c>
      <c r="J2" s="3119" t="s">
        <v>239</v>
      </c>
      <c r="K2" s="3119" t="s">
        <v>240</v>
      </c>
      <c r="L2" s="3119" t="s">
        <v>240</v>
      </c>
      <c r="M2" s="3119" t="s">
        <v>240</v>
      </c>
      <c r="N2" s="3119" t="s">
        <v>240</v>
      </c>
      <c r="O2" s="3119" t="s">
        <v>240</v>
      </c>
      <c r="P2" s="3119" t="s">
        <v>240</v>
      </c>
      <c r="Q2" s="3119" t="s">
        <v>240</v>
      </c>
      <c r="R2" s="3119" t="s">
        <v>241</v>
      </c>
      <c r="S2" s="3119" t="s">
        <v>240</v>
      </c>
      <c r="T2" s="3119" t="s">
        <v>242</v>
      </c>
      <c r="U2" s="3119" t="s">
        <v>240</v>
      </c>
      <c r="V2" s="3119" t="s">
        <v>243</v>
      </c>
      <c r="W2" s="3119" t="s">
        <v>240</v>
      </c>
      <c r="X2" s="3118" t="s">
        <v>244</v>
      </c>
      <c r="Y2" s="3118" t="s">
        <v>245</v>
      </c>
      <c r="Z2" s="3118" t="s">
        <v>246</v>
      </c>
      <c r="AA2" s="3118" t="s">
        <v>247</v>
      </c>
      <c r="AB2" s="3118" t="s">
        <v>248</v>
      </c>
    </row>
    <row r="3" spans="1:28">
      <c r="A3" s="3078" t="s">
        <v>249</v>
      </c>
      <c r="B3" s="3125" t="s">
        <v>250</v>
      </c>
      <c r="C3" s="3124" t="s">
        <v>251</v>
      </c>
      <c r="D3" s="3119" t="s">
        <v>252</v>
      </c>
      <c r="E3" s="3119" t="s">
        <v>124</v>
      </c>
      <c r="F3" s="3119" t="s">
        <v>160</v>
      </c>
      <c r="G3" s="3119">
        <v>40</v>
      </c>
      <c r="H3" s="3119" t="s">
        <v>160</v>
      </c>
      <c r="I3" s="3119" t="s">
        <v>253</v>
      </c>
      <c r="J3" s="3119" t="s">
        <v>254</v>
      </c>
      <c r="K3" s="3119" t="s">
        <v>255</v>
      </c>
      <c r="L3" s="3119" t="s">
        <v>255</v>
      </c>
      <c r="M3" s="3119" t="s">
        <v>255</v>
      </c>
      <c r="N3" s="3119" t="s">
        <v>255</v>
      </c>
      <c r="O3" s="3119" t="s">
        <v>255</v>
      </c>
      <c r="P3" s="3119" t="s">
        <v>255</v>
      </c>
      <c r="Q3" s="3119" t="s">
        <v>255</v>
      </c>
      <c r="R3" s="3119" t="s">
        <v>256</v>
      </c>
      <c r="S3" s="3119" t="s">
        <v>255</v>
      </c>
      <c r="T3" s="3119" t="s">
        <v>257</v>
      </c>
      <c r="U3" s="3119" t="s">
        <v>255</v>
      </c>
      <c r="V3" s="3119" t="s">
        <v>258</v>
      </c>
      <c r="W3" s="3119" t="s">
        <v>255</v>
      </c>
      <c r="X3" s="3118" t="s">
        <v>259</v>
      </c>
      <c r="Z3" s="3118" t="s">
        <v>260</v>
      </c>
      <c r="AB3" s="3118" t="s">
        <v>261</v>
      </c>
    </row>
    <row r="4" spans="1:28">
      <c r="A4" s="3078" t="s">
        <v>262</v>
      </c>
      <c r="B4" s="3078" t="s">
        <v>263</v>
      </c>
      <c r="C4" s="3124" t="s">
        <v>264</v>
      </c>
      <c r="D4" s="3119" t="s">
        <v>124</v>
      </c>
      <c r="E4" s="3119" t="s">
        <v>265</v>
      </c>
      <c r="F4" s="3119" t="s">
        <v>161</v>
      </c>
      <c r="G4" s="3119">
        <v>50</v>
      </c>
      <c r="H4" s="3119" t="s">
        <v>161</v>
      </c>
      <c r="I4" s="3119" t="s">
        <v>266</v>
      </c>
      <c r="K4" s="3119" t="s">
        <v>267</v>
      </c>
      <c r="L4" s="3119" t="s">
        <v>267</v>
      </c>
      <c r="M4" s="3119" t="s">
        <v>267</v>
      </c>
      <c r="N4" s="3119" t="s">
        <v>267</v>
      </c>
      <c r="O4" s="3119" t="s">
        <v>267</v>
      </c>
      <c r="P4" s="3119" t="s">
        <v>267</v>
      </c>
      <c r="Q4" s="3119" t="s">
        <v>267</v>
      </c>
      <c r="R4" s="3119" t="s">
        <v>268</v>
      </c>
      <c r="S4" s="3119" t="s">
        <v>267</v>
      </c>
      <c r="T4" s="3119" t="s">
        <v>269</v>
      </c>
      <c r="U4" s="3119" t="s">
        <v>267</v>
      </c>
      <c r="W4" s="3119" t="s">
        <v>267</v>
      </c>
      <c r="X4" s="3118" t="s">
        <v>270</v>
      </c>
      <c r="Z4" s="3118" t="s">
        <v>271</v>
      </c>
      <c r="AB4" s="3118" t="s">
        <v>272</v>
      </c>
    </row>
    <row r="5" spans="1:28">
      <c r="A5" s="3078" t="s">
        <v>273</v>
      </c>
      <c r="B5" s="3078" t="s">
        <v>274</v>
      </c>
      <c r="C5" s="3124" t="s">
        <v>275</v>
      </c>
      <c r="F5" s="3119" t="s">
        <v>162</v>
      </c>
      <c r="G5" s="3119">
        <v>70</v>
      </c>
      <c r="H5" s="3119" t="s">
        <v>276</v>
      </c>
      <c r="I5" s="3119" t="s">
        <v>277</v>
      </c>
      <c r="K5" s="3119" t="s">
        <v>278</v>
      </c>
      <c r="L5" s="3119" t="s">
        <v>278</v>
      </c>
      <c r="M5" s="3119" t="s">
        <v>278</v>
      </c>
      <c r="N5" s="3119" t="s">
        <v>278</v>
      </c>
      <c r="O5" s="3119" t="s">
        <v>278</v>
      </c>
      <c r="P5" s="3119" t="s">
        <v>278</v>
      </c>
      <c r="Q5" s="3119" t="s">
        <v>278</v>
      </c>
      <c r="R5" s="3119" t="s">
        <v>279</v>
      </c>
      <c r="S5" s="3119" t="s">
        <v>278</v>
      </c>
      <c r="T5" s="3119" t="s">
        <v>280</v>
      </c>
      <c r="U5" s="3119" t="s">
        <v>278</v>
      </c>
      <c r="W5" s="3119" t="s">
        <v>278</v>
      </c>
      <c r="X5" s="3118" t="s">
        <v>281</v>
      </c>
      <c r="Z5" s="3118" t="s">
        <v>282</v>
      </c>
      <c r="AB5" s="3118" t="s">
        <v>283</v>
      </c>
    </row>
    <row r="6" spans="1:28">
      <c r="A6" s="3078" t="s">
        <v>284</v>
      </c>
      <c r="B6" s="3125" t="s">
        <v>285</v>
      </c>
      <c r="C6" s="3126" t="s">
        <v>286</v>
      </c>
      <c r="F6" s="3119" t="s">
        <v>276</v>
      </c>
      <c r="H6" s="3119" t="s">
        <v>164</v>
      </c>
      <c r="I6" s="3119" t="s">
        <v>287</v>
      </c>
      <c r="K6" s="3119" t="s">
        <v>288</v>
      </c>
      <c r="L6" s="3119" t="s">
        <v>288</v>
      </c>
      <c r="M6" s="3119" t="s">
        <v>288</v>
      </c>
      <c r="N6" s="3119" t="s">
        <v>288</v>
      </c>
      <c r="O6" s="3119" t="s">
        <v>288</v>
      </c>
      <c r="P6" s="3119" t="s">
        <v>288</v>
      </c>
      <c r="Q6" s="3119" t="s">
        <v>288</v>
      </c>
      <c r="R6" s="3119" t="s">
        <v>289</v>
      </c>
      <c r="S6" s="3119" t="s">
        <v>288</v>
      </c>
      <c r="T6" s="3119"/>
      <c r="U6" s="3119" t="s">
        <v>288</v>
      </c>
      <c r="W6" s="3119" t="s">
        <v>288</v>
      </c>
      <c r="X6" s="3118" t="s">
        <v>290</v>
      </c>
      <c r="Z6" s="3118" t="s">
        <v>291</v>
      </c>
      <c r="AB6" s="3118" t="s">
        <v>292</v>
      </c>
    </row>
    <row r="7" spans="1:28">
      <c r="A7" s="3078" t="s">
        <v>293</v>
      </c>
      <c r="B7" s="3125" t="s">
        <v>294</v>
      </c>
      <c r="C7" s="3124" t="s">
        <v>295</v>
      </c>
      <c r="F7" s="3119" t="s">
        <v>296</v>
      </c>
      <c r="H7" s="3119" t="s">
        <v>162</v>
      </c>
      <c r="I7" s="3119" t="s">
        <v>297</v>
      </c>
      <c r="X7" s="3118" t="s">
        <v>298</v>
      </c>
      <c r="Z7" s="3118" t="s">
        <v>299</v>
      </c>
      <c r="AB7" s="3118" t="s">
        <v>300</v>
      </c>
    </row>
    <row r="8" spans="1:28">
      <c r="A8" s="3078" t="s">
        <v>301</v>
      </c>
      <c r="B8" s="3078" t="s">
        <v>302</v>
      </c>
      <c r="C8" s="3124" t="s">
        <v>303</v>
      </c>
      <c r="F8" s="3119" t="s">
        <v>304</v>
      </c>
      <c r="H8" s="3119" t="s">
        <v>231</v>
      </c>
      <c r="I8" s="3119" t="s">
        <v>305</v>
      </c>
      <c r="X8" s="3118" t="s">
        <v>306</v>
      </c>
      <c r="Z8" s="3118" t="s">
        <v>307</v>
      </c>
      <c r="AB8" s="3118" t="s">
        <v>308</v>
      </c>
    </row>
    <row r="9" spans="1:28">
      <c r="A9" s="3078" t="s">
        <v>309</v>
      </c>
      <c r="B9" s="3078" t="s">
        <v>310</v>
      </c>
      <c r="C9" s="3124" t="s">
        <v>311</v>
      </c>
      <c r="F9" s="3119" t="s">
        <v>164</v>
      </c>
      <c r="H9" s="3119"/>
      <c r="I9" s="3118" t="s">
        <v>312</v>
      </c>
      <c r="X9" s="3118" t="s">
        <v>313</v>
      </c>
      <c r="Z9" s="3118" t="s">
        <v>314</v>
      </c>
      <c r="AB9" s="3118" t="s">
        <v>315</v>
      </c>
    </row>
    <row r="10" spans="1:28">
      <c r="A10" s="3078" t="s">
        <v>316</v>
      </c>
      <c r="B10" s="3078" t="s">
        <v>317</v>
      </c>
      <c r="C10" s="3124" t="s">
        <v>318</v>
      </c>
      <c r="F10" s="3119" t="s">
        <v>231</v>
      </c>
      <c r="I10" s="3118" t="s">
        <v>319</v>
      </c>
      <c r="Z10" s="3118" t="s">
        <v>320</v>
      </c>
      <c r="AB10" s="3118" t="s">
        <v>321</v>
      </c>
    </row>
    <row r="11" spans="1:28">
      <c r="A11" s="3078" t="s">
        <v>322</v>
      </c>
      <c r="B11" s="3078" t="s">
        <v>323</v>
      </c>
      <c r="C11" s="3124" t="s">
        <v>324</v>
      </c>
      <c r="F11" s="3119" t="s">
        <v>124</v>
      </c>
      <c r="I11" s="3118" t="s">
        <v>325</v>
      </c>
      <c r="Z11" s="3118" t="s">
        <v>326</v>
      </c>
      <c r="AB11" s="3118" t="s">
        <v>327</v>
      </c>
    </row>
    <row r="12" spans="1:28">
      <c r="A12" s="3078" t="s">
        <v>328</v>
      </c>
      <c r="B12" s="3078" t="s">
        <v>329</v>
      </c>
      <c r="C12" s="3124" t="s">
        <v>330</v>
      </c>
      <c r="I12" s="3118" t="s">
        <v>331</v>
      </c>
      <c r="Z12" s="3118" t="s">
        <v>332</v>
      </c>
      <c r="AB12" s="3118" t="s">
        <v>333</v>
      </c>
    </row>
    <row r="13" spans="1:28">
      <c r="A13" s="3078" t="s">
        <v>334</v>
      </c>
      <c r="B13" s="3078" t="s">
        <v>335</v>
      </c>
      <c r="C13" s="3124" t="s">
        <v>336</v>
      </c>
      <c r="I13" s="3118" t="s">
        <v>337</v>
      </c>
      <c r="Z13" s="3118" t="s">
        <v>338</v>
      </c>
    </row>
    <row r="14" spans="1:28">
      <c r="A14" s="3078" t="s">
        <v>339</v>
      </c>
      <c r="B14" s="3078" t="s">
        <v>340</v>
      </c>
      <c r="C14" s="3119" t="s">
        <v>124</v>
      </c>
      <c r="I14" s="3118" t="s">
        <v>341</v>
      </c>
      <c r="Z14" s="3118" t="s">
        <v>342</v>
      </c>
    </row>
    <row r="15" spans="1:28">
      <c r="A15" s="3078" t="s">
        <v>343</v>
      </c>
      <c r="B15" s="3078" t="s">
        <v>344</v>
      </c>
      <c r="C15" s="3124"/>
      <c r="I15" s="3118" t="s">
        <v>345</v>
      </c>
    </row>
    <row r="16" spans="1:28">
      <c r="A16" s="3078" t="s">
        <v>346</v>
      </c>
      <c r="B16" s="3078" t="s">
        <v>347</v>
      </c>
      <c r="C16" s="3124"/>
    </row>
    <row r="17" spans="1:3">
      <c r="A17" s="3078" t="s">
        <v>348</v>
      </c>
      <c r="B17" s="3078" t="s">
        <v>349</v>
      </c>
      <c r="C17" s="3124"/>
    </row>
    <row r="18" spans="1:3">
      <c r="A18" s="3078" t="s">
        <v>350</v>
      </c>
      <c r="B18" s="3078" t="s">
        <v>351</v>
      </c>
      <c r="C18" s="3124"/>
    </row>
    <row r="19" spans="1:3">
      <c r="A19" s="3078" t="s">
        <v>352</v>
      </c>
      <c r="B19" s="3078" t="s">
        <v>353</v>
      </c>
      <c r="C19" s="3124"/>
    </row>
    <row r="20" spans="1:3">
      <c r="A20" s="3078" t="s">
        <v>354</v>
      </c>
      <c r="B20" s="3127" t="s">
        <v>355</v>
      </c>
      <c r="C20" s="3124"/>
    </row>
    <row r="21" spans="1:3">
      <c r="A21" s="3078" t="s">
        <v>276</v>
      </c>
      <c r="B21" s="3127" t="s">
        <v>356</v>
      </c>
      <c r="C21" s="3124"/>
    </row>
    <row r="22" spans="1:3">
      <c r="A22" s="3078" t="s">
        <v>357</v>
      </c>
      <c r="B22" s="3078" t="s">
        <v>358</v>
      </c>
      <c r="C22" s="3124"/>
    </row>
    <row r="23" spans="1:3">
      <c r="A23" s="3078" t="s">
        <v>359</v>
      </c>
      <c r="B23" s="3078" t="s">
        <v>358</v>
      </c>
      <c r="C23" s="3124"/>
    </row>
    <row r="24" spans="1:3">
      <c r="A24" s="3078" t="s">
        <v>360</v>
      </c>
      <c r="B24" s="3078" t="s">
        <v>358</v>
      </c>
      <c r="C24" s="3124"/>
    </row>
    <row r="25" spans="1:3">
      <c r="A25" s="3078" t="s">
        <v>361</v>
      </c>
      <c r="B25" s="3078" t="s">
        <v>358</v>
      </c>
      <c r="C25" s="3124"/>
    </row>
    <row r="26" spans="1:3">
      <c r="A26" s="3078" t="s">
        <v>362</v>
      </c>
      <c r="B26" s="3078" t="s">
        <v>358</v>
      </c>
      <c r="C26" s="3124"/>
    </row>
    <row r="27" spans="1:3">
      <c r="A27" s="3078" t="s">
        <v>358</v>
      </c>
      <c r="B27" s="3078" t="s">
        <v>358</v>
      </c>
      <c r="C27" s="3124"/>
    </row>
    <row r="28" spans="1:3">
      <c r="A28" s="3078" t="s">
        <v>358</v>
      </c>
      <c r="B28" s="3078" t="s">
        <v>358</v>
      </c>
      <c r="C28" s="3124"/>
    </row>
    <row r="29" spans="1:3">
      <c r="A29" s="3078" t="s">
        <v>358</v>
      </c>
      <c r="B29" s="3078" t="s">
        <v>358</v>
      </c>
      <c r="C29" s="3124"/>
    </row>
    <row r="30" spans="1:3">
      <c r="A30" s="3078" t="s">
        <v>358</v>
      </c>
      <c r="B30" s="3078" t="s">
        <v>358</v>
      </c>
      <c r="C30" s="3124"/>
    </row>
    <row r="31" spans="1:3">
      <c r="A31" s="3078" t="s">
        <v>358</v>
      </c>
      <c r="B31" s="3078" t="s">
        <v>358</v>
      </c>
      <c r="C31" s="3124"/>
    </row>
    <row r="32" spans="1:3">
      <c r="A32" s="3078" t="s">
        <v>358</v>
      </c>
      <c r="B32" s="3078" t="s">
        <v>358</v>
      </c>
      <c r="C32" s="3124"/>
    </row>
    <row r="33" spans="1:3">
      <c r="A33" s="3078" t="s">
        <v>358</v>
      </c>
      <c r="B33" s="3078" t="s">
        <v>358</v>
      </c>
      <c r="C33" s="3124"/>
    </row>
    <row r="34" spans="1:3">
      <c r="A34" s="3078" t="s">
        <v>358</v>
      </c>
      <c r="B34" s="3078" t="s">
        <v>358</v>
      </c>
      <c r="C34" s="3124"/>
    </row>
    <row r="35" spans="1:3">
      <c r="A35" s="3078" t="s">
        <v>358</v>
      </c>
      <c r="B35" s="3078" t="s">
        <v>358</v>
      </c>
      <c r="C35" s="3124"/>
    </row>
    <row r="36" spans="1:3">
      <c r="A36" s="3078" t="s">
        <v>358</v>
      </c>
      <c r="B36" s="3078" t="s">
        <v>358</v>
      </c>
      <c r="C36" s="3124"/>
    </row>
    <row r="37" spans="1:3">
      <c r="A37" s="3078" t="s">
        <v>358</v>
      </c>
      <c r="B37" s="3078" t="s">
        <v>358</v>
      </c>
      <c r="C37" s="3124"/>
    </row>
    <row r="38" spans="1:3">
      <c r="A38" s="3078" t="s">
        <v>358</v>
      </c>
      <c r="B38" s="3078" t="s">
        <v>358</v>
      </c>
      <c r="C38" s="3124"/>
    </row>
    <row r="39" spans="1:3">
      <c r="A39" s="3078" t="s">
        <v>358</v>
      </c>
      <c r="B39" s="3078" t="s">
        <v>358</v>
      </c>
      <c r="C39" s="3124"/>
    </row>
    <row r="40" spans="1:3">
      <c r="A40" s="3078" t="s">
        <v>358</v>
      </c>
      <c r="B40" s="3078" t="s">
        <v>358</v>
      </c>
      <c r="C40" s="3124"/>
    </row>
    <row r="41" spans="1:3">
      <c r="A41" s="3078" t="s">
        <v>358</v>
      </c>
      <c r="B41" s="3078" t="s">
        <v>358</v>
      </c>
      <c r="C41" s="3124"/>
    </row>
    <row r="42" spans="1:3">
      <c r="A42" s="3078" t="s">
        <v>358</v>
      </c>
      <c r="B42" s="3078" t="s">
        <v>358</v>
      </c>
      <c r="C42" s="3124"/>
    </row>
    <row r="43" spans="1:3">
      <c r="A43" s="3078" t="s">
        <v>358</v>
      </c>
      <c r="B43" s="3078" t="s">
        <v>358</v>
      </c>
      <c r="C43" s="3124"/>
    </row>
    <row r="44" spans="1:3">
      <c r="A44" s="3078" t="s">
        <v>358</v>
      </c>
      <c r="B44" s="3078" t="s">
        <v>358</v>
      </c>
      <c r="C44" s="3124"/>
    </row>
    <row r="45" spans="1:3">
      <c r="A45" s="3078" t="s">
        <v>358</v>
      </c>
      <c r="B45" s="3078" t="s">
        <v>358</v>
      </c>
      <c r="C45" s="3124"/>
    </row>
    <row r="46" spans="1:3">
      <c r="A46" s="3078" t="s">
        <v>358</v>
      </c>
      <c r="B46" s="3078" t="s">
        <v>358</v>
      </c>
      <c r="C46" s="3124"/>
    </row>
    <row r="47" spans="1:3">
      <c r="A47" s="3078" t="s">
        <v>358</v>
      </c>
      <c r="B47" s="3078" t="s">
        <v>358</v>
      </c>
      <c r="C47" s="3124"/>
    </row>
    <row r="48" spans="1:3">
      <c r="A48" s="3078" t="s">
        <v>358</v>
      </c>
      <c r="B48" s="3078" t="s">
        <v>358</v>
      </c>
      <c r="C48" s="3124"/>
    </row>
    <row r="49" spans="1:4">
      <c r="A49" s="3078" t="s">
        <v>358</v>
      </c>
      <c r="B49" s="3078" t="s">
        <v>358</v>
      </c>
      <c r="C49" s="3124"/>
    </row>
    <row r="50" spans="1:4">
      <c r="A50" s="3078" t="s">
        <v>358</v>
      </c>
      <c r="B50" s="3078" t="s">
        <v>358</v>
      </c>
      <c r="C50" s="3124"/>
    </row>
    <row r="51" spans="1:4">
      <c r="A51" s="296" t="s">
        <v>363</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364</v>
      </c>
    </row>
    <row r="52" spans="1:4">
      <c r="A52" s="296" t="s">
        <v>365</v>
      </c>
      <c r="B52" s="296" t="s">
        <v>366</v>
      </c>
      <c r="C52" s="3118" t="s">
        <v>367</v>
      </c>
      <c r="D52" s="3118" t="s">
        <v>368</v>
      </c>
    </row>
    <row r="53" spans="1:4">
      <c r="A53" s="3285" t="s">
        <v>369</v>
      </c>
      <c r="B53" s="296" t="s">
        <v>370</v>
      </c>
      <c r="C53" s="31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5"/>
      <c r="B54" s="296" t="s">
        <v>371</v>
      </c>
      <c r="C54" s="3118" t="s">
        <v>372</v>
      </c>
    </row>
    <row r="55" spans="1:4">
      <c r="A55" s="3285"/>
      <c r="B55" s="296" t="s">
        <v>373</v>
      </c>
      <c r="C55" s="3118" t="s">
        <v>374</v>
      </c>
    </row>
    <row r="56" spans="1:4">
      <c r="A56" s="3285"/>
      <c r="B56" s="296" t="s">
        <v>375</v>
      </c>
      <c r="C56" s="3118" t="s">
        <v>376</v>
      </c>
    </row>
    <row r="57" spans="1:4">
      <c r="A57" s="3285"/>
      <c r="B57" s="296" t="s">
        <v>377</v>
      </c>
      <c r="C57" s="3118" t="s">
        <v>378</v>
      </c>
    </row>
    <row r="58" spans="1:4">
      <c r="A58" s="3119"/>
      <c r="B58" s="3118"/>
    </row>
    <row r="59" spans="1:4">
      <c r="A59" s="3119"/>
      <c r="B59" s="3118"/>
    </row>
    <row r="60" spans="1:4">
      <c r="A60" s="3119"/>
      <c r="B60" s="3118"/>
    </row>
    <row r="61" spans="1:4">
      <c r="A61" s="3119"/>
      <c r="B61" s="3118"/>
    </row>
    <row r="62" spans="1:4">
      <c r="A62" s="3119"/>
      <c r="B62" s="3118"/>
    </row>
    <row r="63" spans="1:4">
      <c r="A63" s="3119"/>
      <c r="B63" s="3118"/>
    </row>
    <row r="64" spans="1:4">
      <c r="A64" s="3119"/>
      <c r="B64" s="3118"/>
    </row>
    <row r="65" spans="1:2">
      <c r="A65" s="3119"/>
      <c r="B65" s="3118"/>
    </row>
    <row r="66" spans="1:2">
      <c r="A66" s="3119"/>
      <c r="B66" s="3118"/>
    </row>
    <row r="67" spans="1:2">
      <c r="A67" s="3119"/>
      <c r="B67" s="3118"/>
    </row>
    <row r="68" spans="1:2">
      <c r="A68" s="3119"/>
      <c r="B68" s="3118"/>
    </row>
    <row r="69" spans="1:2">
      <c r="A69" s="3119"/>
      <c r="B69" s="3118"/>
    </row>
    <row r="70" spans="1:2">
      <c r="A70" s="3119"/>
      <c r="B70" s="3118"/>
    </row>
    <row r="71" spans="1:2">
      <c r="A71" s="3119"/>
      <c r="B71" s="3118"/>
    </row>
    <row r="72" spans="1:2">
      <c r="A72" s="3119"/>
      <c r="B72" s="3118"/>
    </row>
    <row r="73" spans="1:2">
      <c r="A73" s="3119"/>
      <c r="B73" s="3118"/>
    </row>
    <row r="74" spans="1:2">
      <c r="A74" s="3119"/>
      <c r="B74" s="3118"/>
    </row>
    <row r="75" spans="1:2">
      <c r="A75" s="3119"/>
      <c r="B75" s="3118"/>
    </row>
    <row r="76" spans="1:2">
      <c r="A76" s="3119"/>
      <c r="B76" s="3118"/>
    </row>
    <row r="77" spans="1:2">
      <c r="A77" s="3119"/>
      <c r="B77" s="3118"/>
    </row>
    <row r="78" spans="1:2">
      <c r="A78" s="3119"/>
      <c r="B78" s="3118"/>
    </row>
    <row r="79" spans="1:2">
      <c r="A79" s="3119"/>
      <c r="B79" s="3118"/>
    </row>
    <row r="80" spans="1:2">
      <c r="A80" s="3119"/>
      <c r="B80" s="3118"/>
    </row>
    <row r="81" spans="1:2">
      <c r="A81" s="3119"/>
      <c r="B81" s="3118"/>
    </row>
    <row r="82" spans="1:2">
      <c r="A82" s="3119"/>
      <c r="B82" s="3118"/>
    </row>
    <row r="83" spans="1:2">
      <c r="A83" s="3119"/>
      <c r="B83" s="3118"/>
    </row>
    <row r="84" spans="1:2">
      <c r="A84" s="3119"/>
      <c r="B84" s="3118"/>
    </row>
    <row r="85" spans="1:2">
      <c r="A85" s="3119"/>
      <c r="B85" s="3118"/>
    </row>
    <row r="86" spans="1:2">
      <c r="A86" s="3119"/>
      <c r="B86" s="3118"/>
    </row>
    <row r="87" spans="1:2">
      <c r="A87" s="3119"/>
      <c r="B87" s="3118"/>
    </row>
    <row r="88" spans="1:2">
      <c r="A88" s="3119"/>
      <c r="B88" s="3118"/>
    </row>
    <row r="89" spans="1:2">
      <c r="A89" s="3119"/>
      <c r="B89" s="3118"/>
    </row>
    <row r="90" spans="1:2">
      <c r="A90" s="3119"/>
      <c r="B90" s="3118"/>
    </row>
    <row r="91" spans="1:2">
      <c r="A91" s="3119"/>
      <c r="B91" s="3118"/>
    </row>
    <row r="92" spans="1:2">
      <c r="A92" s="3119"/>
      <c r="B92" s="3118"/>
    </row>
    <row r="93" spans="1:2">
      <c r="A93" s="3119"/>
      <c r="B93" s="3118"/>
    </row>
    <row r="94" spans="1:2">
      <c r="A94" s="3119"/>
      <c r="B94" s="3118"/>
    </row>
    <row r="95" spans="1:2">
      <c r="A95" s="3119"/>
      <c r="B95" s="3118"/>
    </row>
    <row r="96" spans="1:2">
      <c r="A96" s="3119"/>
      <c r="B96" s="3118"/>
    </row>
    <row r="97" spans="1:2">
      <c r="A97" s="3119"/>
      <c r="B97" s="3118"/>
    </row>
    <row r="98" spans="1:2">
      <c r="A98" s="3119"/>
      <c r="B98" s="3118"/>
    </row>
    <row r="99" spans="1:2">
      <c r="A99" s="3119"/>
      <c r="B99" s="3118"/>
    </row>
    <row r="100" spans="1:2">
      <c r="A100" s="3119"/>
      <c r="B100" s="3118"/>
    </row>
    <row r="101" spans="1:2">
      <c r="A101" s="3119"/>
      <c r="B101" s="3118"/>
    </row>
    <row r="102" spans="1:2">
      <c r="A102" s="3119"/>
      <c r="B102" s="3118"/>
    </row>
    <row r="103" spans="1:2">
      <c r="A103" s="3119"/>
      <c r="B103" s="3118"/>
    </row>
    <row r="104" spans="1:2">
      <c r="A104" s="3119"/>
      <c r="B104" s="3118"/>
    </row>
    <row r="105" spans="1:2">
      <c r="A105" s="3119"/>
      <c r="B105" s="3118"/>
    </row>
    <row r="106" spans="1:2">
      <c r="A106" s="3119"/>
      <c r="B106" s="3118"/>
    </row>
    <row r="107" spans="1:2">
      <c r="A107" s="3119"/>
      <c r="B107" s="3118"/>
    </row>
    <row r="108" spans="1:2">
      <c r="A108" s="3119"/>
      <c r="B108" s="3118"/>
    </row>
    <row r="109" spans="1:2">
      <c r="A109" s="3119"/>
      <c r="B109" s="3118"/>
    </row>
    <row r="110" spans="1:2">
      <c r="A110" s="3119"/>
      <c r="B110" s="3118"/>
    </row>
    <row r="111" spans="1:2">
      <c r="A111" s="3119"/>
      <c r="B111" s="3118"/>
    </row>
    <row r="112" spans="1:2">
      <c r="A112" s="3119"/>
      <c r="B112" s="3118"/>
    </row>
    <row r="113" spans="1:2">
      <c r="A113" s="3119"/>
      <c r="B113" s="3118"/>
    </row>
    <row r="114" spans="1:2">
      <c r="A114" s="3119"/>
      <c r="B114" s="3118"/>
    </row>
    <row r="115" spans="1:2">
      <c r="A115" s="3119"/>
      <c r="B115" s="3118"/>
    </row>
    <row r="116" spans="1:2">
      <c r="A116" s="3119"/>
      <c r="B116" s="3118"/>
    </row>
    <row r="117" spans="1:2">
      <c r="A117" s="3119"/>
      <c r="B117" s="3118"/>
    </row>
    <row r="118" spans="1:2">
      <c r="A118" s="3119"/>
      <c r="B118" s="3118"/>
    </row>
    <row r="119" spans="1:2">
      <c r="A119" s="3119"/>
      <c r="B119" s="3118"/>
    </row>
    <row r="120" spans="1:2">
      <c r="A120" s="3119"/>
      <c r="B120" s="3118"/>
    </row>
    <row r="121" spans="1:2">
      <c r="A121" s="3119"/>
      <c r="B121" s="3118"/>
    </row>
    <row r="122" spans="1:2">
      <c r="A122" s="3119"/>
      <c r="B122" s="3118"/>
    </row>
    <row r="123" spans="1:2">
      <c r="A123" s="3119"/>
      <c r="B123" s="3118"/>
    </row>
    <row r="124" spans="1:2">
      <c r="A124" s="3119"/>
      <c r="B124" s="3118"/>
    </row>
    <row r="125" spans="1:2">
      <c r="A125" s="3119"/>
      <c r="B125" s="3118"/>
    </row>
    <row r="126" spans="1:2">
      <c r="A126" s="3119"/>
      <c r="B126" s="3118"/>
    </row>
    <row r="127" spans="1:2">
      <c r="A127" s="3119"/>
      <c r="B127" s="3118"/>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R62"/>
  <sheetViews>
    <sheetView topLeftCell="D13" zoomScale="80" zoomScaleNormal="80" workbookViewId="0">
      <selection activeCell="F54" sqref="F54"/>
    </sheetView>
  </sheetViews>
  <sheetFormatPr defaultColWidth="15.25" defaultRowHeight="13.5"/>
  <cols>
    <col min="1" max="7" width="15.25" style="3066"/>
    <col min="8" max="8" width="5.5" style="3066" customWidth="1"/>
    <col min="9" max="13" width="9.5" style="3067" customWidth="1"/>
    <col min="14" max="18" width="9.5" style="3066" customWidth="1"/>
    <col min="19" max="16384" width="15.25" style="3066"/>
  </cols>
  <sheetData>
    <row r="1" spans="1:18">
      <c r="A1" s="3068" t="s">
        <v>379</v>
      </c>
      <c r="B1" s="3069"/>
      <c r="C1" s="3069"/>
      <c r="D1" s="3069"/>
      <c r="E1" s="3069"/>
      <c r="F1" s="3070"/>
      <c r="I1" s="3113" t="s">
        <v>380</v>
      </c>
      <c r="J1" s="73"/>
      <c r="K1" s="73"/>
      <c r="L1" s="73"/>
      <c r="M1" s="73"/>
      <c r="N1" s="296"/>
      <c r="O1" s="296"/>
      <c r="P1" s="296"/>
      <c r="Q1" s="296"/>
      <c r="R1" s="296"/>
    </row>
    <row r="2" spans="1:18">
      <c r="A2" s="3071"/>
      <c r="B2" s="3072"/>
      <c r="C2" s="3072"/>
      <c r="D2" s="3072"/>
      <c r="E2" s="3072"/>
      <c r="F2" s="3073"/>
      <c r="I2" s="3286" t="s">
        <v>381</v>
      </c>
      <c r="J2" s="3286"/>
      <c r="K2" s="3286"/>
      <c r="L2" s="3286"/>
      <c r="M2" s="3286"/>
      <c r="N2" s="3286"/>
      <c r="O2" s="3286"/>
      <c r="P2" s="3286"/>
      <c r="Q2" s="3286"/>
      <c r="R2" s="3286"/>
    </row>
    <row r="3" spans="1:18">
      <c r="A3" s="444" t="s">
        <v>382</v>
      </c>
      <c r="B3" s="3074">
        <f>项目基本情况!D3</f>
        <v>45882</v>
      </c>
      <c r="C3" s="445"/>
      <c r="D3" s="445"/>
      <c r="E3" s="445"/>
      <c r="F3" s="3073"/>
      <c r="I3" s="3087"/>
      <c r="J3" s="3087" t="s">
        <v>383</v>
      </c>
      <c r="K3" s="3087" t="s">
        <v>384</v>
      </c>
      <c r="L3" s="3087" t="s">
        <v>385</v>
      </c>
      <c r="M3" s="3087" t="s">
        <v>386</v>
      </c>
      <c r="N3" s="445" t="s">
        <v>387</v>
      </c>
      <c r="O3" s="445" t="s">
        <v>388</v>
      </c>
      <c r="P3" s="445" t="s">
        <v>389</v>
      </c>
      <c r="Q3" s="445" t="s">
        <v>390</v>
      </c>
      <c r="R3" s="445" t="s">
        <v>391</v>
      </c>
    </row>
    <row r="4" spans="1:18">
      <c r="A4" s="444" t="s">
        <v>392</v>
      </c>
      <c r="B4" s="445" t="s">
        <v>393</v>
      </c>
      <c r="C4" s="445" t="s">
        <v>394</v>
      </c>
      <c r="D4" s="445" t="s">
        <v>395</v>
      </c>
      <c r="E4" s="445" t="s">
        <v>396</v>
      </c>
      <c r="F4" s="3073"/>
      <c r="I4" s="3087" t="s">
        <v>397</v>
      </c>
      <c r="J4" s="3087">
        <v>80</v>
      </c>
      <c r="K4" s="3087">
        <v>70</v>
      </c>
      <c r="L4" s="3087">
        <v>20</v>
      </c>
      <c r="M4" s="3087">
        <v>30</v>
      </c>
      <c r="N4" s="445">
        <v>45</v>
      </c>
      <c r="O4" s="445">
        <v>60</v>
      </c>
      <c r="P4" s="445">
        <v>50</v>
      </c>
      <c r="Q4" s="445">
        <v>20</v>
      </c>
      <c r="R4" s="445">
        <v>375</v>
      </c>
    </row>
    <row r="5" spans="1:18">
      <c r="A5" s="3075">
        <v>40</v>
      </c>
      <c r="B5" s="3074">
        <v>46375</v>
      </c>
      <c r="C5" s="445">
        <f>ROUNDDOWN(MIN((B5-B3)/365,A5),2)</f>
        <v>1.35</v>
      </c>
      <c r="D5" s="3076">
        <f>IF(ISERROR(ROUND(POWER(1+E5,A5-C5)*(POWER(1+E5,C5)-1)/(POWER(1+E5,A5)-1),3)),0,ROUND(POWER(1+E5,A5-C5)*(POWER(1+E5,C5)-1)/(POWER(1+E5,A5)-1),4))</f>
        <v>6.5100000000000005E-2</v>
      </c>
      <c r="E5" s="3077">
        <v>0.04</v>
      </c>
      <c r="F5" s="3073"/>
      <c r="I5" s="3087" t="s">
        <v>398</v>
      </c>
      <c r="J5" s="3087">
        <v>70</v>
      </c>
      <c r="K5" s="3087">
        <v>60</v>
      </c>
      <c r="L5" s="3087">
        <v>15</v>
      </c>
      <c r="M5" s="3087">
        <v>25</v>
      </c>
      <c r="N5" s="445">
        <v>40</v>
      </c>
      <c r="O5" s="445">
        <v>50</v>
      </c>
      <c r="P5" s="445">
        <v>40</v>
      </c>
      <c r="Q5" s="445">
        <v>15</v>
      </c>
      <c r="R5" s="445">
        <v>315</v>
      </c>
    </row>
    <row r="6" spans="1:18">
      <c r="A6" s="3075">
        <v>50</v>
      </c>
      <c r="B6" s="3074">
        <v>50028</v>
      </c>
      <c r="C6" s="445">
        <f>ROUNDDOWN(MIN((B6-B3)/365,A6),2)</f>
        <v>11.35</v>
      </c>
      <c r="D6" s="3076">
        <f>IF(ISERROR(ROUND(POWER(1+E6,A6-C6)*(POWER(1+E6,C6)-1)/(POWER(1+E6,A6)-1),3)),0,ROUND(POWER(1+E6,A6-C6)*(POWER(1+E6,C6)-1)/(POWER(1+E6,A6)-1),4))</f>
        <v>0.41810000000000003</v>
      </c>
      <c r="E6" s="3077">
        <v>0.04</v>
      </c>
      <c r="F6" s="3073"/>
      <c r="I6" s="3087" t="s">
        <v>399</v>
      </c>
      <c r="J6" s="3087">
        <v>60</v>
      </c>
      <c r="K6" s="3087">
        <v>50</v>
      </c>
      <c r="L6" s="3087">
        <v>10</v>
      </c>
      <c r="M6" s="3087">
        <v>20</v>
      </c>
      <c r="N6" s="445">
        <v>35</v>
      </c>
      <c r="O6" s="445">
        <v>40</v>
      </c>
      <c r="P6" s="445">
        <v>30</v>
      </c>
      <c r="Q6" s="445">
        <v>10</v>
      </c>
      <c r="R6" s="445">
        <v>255</v>
      </c>
    </row>
    <row r="7" spans="1:18">
      <c r="A7" s="3075">
        <v>70</v>
      </c>
      <c r="B7" s="3074">
        <v>57333</v>
      </c>
      <c r="C7" s="445">
        <f>ROUNDDOWN(MIN((B7-B3)/365,A7),2)</f>
        <v>31.37</v>
      </c>
      <c r="D7" s="3076">
        <f>IF(ISERROR(ROUND(POWER(1+E7,A7-C7)*(POWER(1+E7,C7)-1)/(POWER(1+E7,A7)-1),3)),0,ROUND(POWER(1+E7,A7-C7)*(POWER(1+E7,C7)-1)/(POWER(1+E7,A7)-1),4))</f>
        <v>0.75639999999999996</v>
      </c>
      <c r="E7" s="3077">
        <v>0.04</v>
      </c>
      <c r="F7" s="3073"/>
    </row>
    <row r="8" spans="1:18">
      <c r="A8" s="3071"/>
      <c r="B8" s="3072"/>
      <c r="C8" s="3072"/>
      <c r="D8" s="3072"/>
      <c r="E8" s="3072"/>
      <c r="F8" s="3073"/>
    </row>
    <row r="9" spans="1:18">
      <c r="A9" s="444" t="s">
        <v>400</v>
      </c>
      <c r="B9" s="445"/>
      <c r="C9" s="445"/>
      <c r="D9" s="445"/>
      <c r="E9" s="445"/>
      <c r="F9" s="493"/>
    </row>
    <row r="10" spans="1:18">
      <c r="A10" s="444" t="s">
        <v>401</v>
      </c>
      <c r="B10" s="445"/>
      <c r="C10" s="445"/>
      <c r="D10" s="445" t="s">
        <v>396</v>
      </c>
      <c r="E10" s="445"/>
      <c r="F10" s="493" t="s">
        <v>395</v>
      </c>
    </row>
    <row r="11" spans="1:18">
      <c r="A11" s="444" t="s">
        <v>402</v>
      </c>
      <c r="B11" s="3078">
        <v>70</v>
      </c>
      <c r="C11" s="445" t="s">
        <v>403</v>
      </c>
      <c r="D11" s="3078">
        <v>4.4999999999999998E-2</v>
      </c>
      <c r="E11" s="445" t="s">
        <v>404</v>
      </c>
      <c r="F11" s="3079">
        <f>ROUND(1-(1/(POWER(1+D11,B11))),4)</f>
        <v>0.95409999999999995</v>
      </c>
    </row>
    <row r="12" spans="1:18">
      <c r="A12" s="444" t="s">
        <v>405</v>
      </c>
      <c r="B12" s="3078">
        <v>40</v>
      </c>
      <c r="C12" s="445" t="s">
        <v>406</v>
      </c>
      <c r="D12" s="3078">
        <v>4.4999999999999998E-2</v>
      </c>
      <c r="E12" s="445" t="s">
        <v>407</v>
      </c>
      <c r="F12" s="3079">
        <f>ROUND(1-(1/(POWER(1+D12,B12))),4)</f>
        <v>0.82809999999999995</v>
      </c>
    </row>
    <row r="13" spans="1:18">
      <c r="A13" s="444" t="s">
        <v>408</v>
      </c>
      <c r="B13" s="445"/>
      <c r="C13" s="445"/>
      <c r="D13" s="3072"/>
      <c r="E13" s="3072"/>
      <c r="F13" s="3073"/>
    </row>
    <row r="14" spans="1:18">
      <c r="A14" s="444" t="s">
        <v>409</v>
      </c>
      <c r="B14" s="3078">
        <v>5000</v>
      </c>
      <c r="C14" s="3080"/>
      <c r="D14" s="3072"/>
      <c r="E14" s="3072"/>
      <c r="F14" s="3073"/>
    </row>
    <row r="15" spans="1:18">
      <c r="A15" s="444" t="s">
        <v>410</v>
      </c>
      <c r="B15" s="445">
        <f>ROUND(B14*F12/F11,2)</f>
        <v>4339.6899999999996</v>
      </c>
      <c r="C15" s="445">
        <f>ROUND(F12/F11,4)</f>
        <v>0.8679</v>
      </c>
      <c r="D15" s="3072"/>
      <c r="E15" s="3072"/>
      <c r="F15" s="3073"/>
    </row>
    <row r="16" spans="1:18">
      <c r="A16" s="444" t="s">
        <v>411</v>
      </c>
      <c r="B16" s="445"/>
      <c r="C16" s="445"/>
      <c r="D16" s="3072"/>
      <c r="E16" s="3072"/>
      <c r="F16" s="3073"/>
    </row>
    <row r="17" spans="1:14">
      <c r="A17" s="444" t="s">
        <v>410</v>
      </c>
      <c r="B17" s="3078">
        <v>4810</v>
      </c>
      <c r="C17" s="3080"/>
      <c r="D17" s="3072"/>
      <c r="E17" s="3072"/>
      <c r="F17" s="3073"/>
    </row>
    <row r="18" spans="1:14">
      <c r="A18" s="449" t="s">
        <v>409</v>
      </c>
      <c r="B18" s="496">
        <f>ROUND(B17*F11/F12,2)</f>
        <v>5541.87</v>
      </c>
      <c r="C18" s="496">
        <f>ROUND(F11/F12,4)</f>
        <v>1.1521999999999999</v>
      </c>
      <c r="D18" s="3081"/>
      <c r="E18" s="3081"/>
      <c r="F18" s="3082"/>
    </row>
    <row r="20" spans="1:14" s="3065" customFormat="1">
      <c r="A20" s="3083" t="s">
        <v>412</v>
      </c>
      <c r="B20" s="3084"/>
      <c r="C20" s="3084"/>
      <c r="D20" s="3084"/>
      <c r="E20" s="3084"/>
      <c r="F20" s="3084"/>
      <c r="G20" s="3085"/>
      <c r="I20" s="3114" t="s">
        <v>413</v>
      </c>
      <c r="J20" s="3114" t="s">
        <v>414</v>
      </c>
      <c r="K20" s="3114"/>
      <c r="L20" s="3114"/>
      <c r="M20" s="3114"/>
    </row>
    <row r="21" spans="1:14">
      <c r="A21" s="3086"/>
      <c r="B21" s="3087" t="s">
        <v>415</v>
      </c>
      <c r="C21" s="3087" t="s">
        <v>394</v>
      </c>
      <c r="D21" s="3087" t="s">
        <v>416</v>
      </c>
      <c r="E21" s="3087" t="s">
        <v>395</v>
      </c>
      <c r="F21" s="3087" t="s">
        <v>417</v>
      </c>
      <c r="G21" s="3088" t="s">
        <v>418</v>
      </c>
      <c r="I21" s="3067">
        <v>5</v>
      </c>
      <c r="J21" s="3067">
        <v>54.2</v>
      </c>
    </row>
    <row r="22" spans="1:14">
      <c r="A22" s="3086" t="s">
        <v>419</v>
      </c>
      <c r="B22" s="3089">
        <v>70</v>
      </c>
      <c r="C22" s="3089">
        <v>30</v>
      </c>
      <c r="D22" s="3090">
        <v>0.04</v>
      </c>
      <c r="E22" s="3087">
        <f>ROUND(POWER(1+D22,B22-C22)*(POWER(1+D22,C22)-1)/(POWER(1+D22,B22)-1),3)</f>
        <v>0.73899999999999999</v>
      </c>
      <c r="F22" s="3090">
        <v>0.7</v>
      </c>
      <c r="G22" s="3088">
        <f>ROUND(100*(1-(1-E22)*F22),1)</f>
        <v>81.7</v>
      </c>
      <c r="I22" s="3067">
        <v>10</v>
      </c>
      <c r="J22" s="3067">
        <v>65.400000000000006</v>
      </c>
      <c r="K22" s="3067">
        <f>J22-J21</f>
        <v>11.200000000000003</v>
      </c>
    </row>
    <row r="23" spans="1:14">
      <c r="A23" s="3086" t="s">
        <v>420</v>
      </c>
      <c r="B23" s="3089">
        <v>70</v>
      </c>
      <c r="C23" s="3089">
        <v>40</v>
      </c>
      <c r="D23" s="3090">
        <v>0.04</v>
      </c>
      <c r="E23" s="3087">
        <f t="shared" ref="E23:E25" si="0">ROUND(POWER(1+D23,B23-C23)*(POWER(1+D23,C23)-1)/(POWER(1+D23,B23)-1),3)</f>
        <v>0.84599999999999997</v>
      </c>
      <c r="F23" s="3090">
        <f>F22</f>
        <v>0.7</v>
      </c>
      <c r="G23" s="3088">
        <f t="shared" ref="G23:G25" si="1">ROUND(100*(1-(1-E23)*F23),1)</f>
        <v>89.2</v>
      </c>
      <c r="I23" s="3067">
        <v>15</v>
      </c>
      <c r="J23" s="3067">
        <v>74.099999999999994</v>
      </c>
      <c r="K23" s="3067">
        <f t="shared" ref="K23:K30" si="2">J23-J22</f>
        <v>8.6999999999999886</v>
      </c>
      <c r="L23" s="3067" t="s">
        <v>421</v>
      </c>
      <c r="N23" s="3115" t="s">
        <v>422</v>
      </c>
    </row>
    <row r="24" spans="1:14">
      <c r="A24" s="3086" t="s">
        <v>423</v>
      </c>
      <c r="B24" s="3089">
        <v>70</v>
      </c>
      <c r="C24" s="3089">
        <v>50</v>
      </c>
      <c r="D24" s="3090">
        <v>0.04</v>
      </c>
      <c r="E24" s="3087">
        <f t="shared" si="0"/>
        <v>0.91800000000000004</v>
      </c>
      <c r="F24" s="3090">
        <f>F23</f>
        <v>0.7</v>
      </c>
      <c r="G24" s="3088">
        <f t="shared" si="1"/>
        <v>94.3</v>
      </c>
      <c r="I24" s="3067">
        <v>20</v>
      </c>
      <c r="J24" s="3067">
        <v>81</v>
      </c>
      <c r="K24" s="3067">
        <f t="shared" si="2"/>
        <v>6.9000000000000057</v>
      </c>
      <c r="L24" s="3067" t="s">
        <v>424</v>
      </c>
      <c r="N24" s="3115">
        <v>10</v>
      </c>
    </row>
    <row r="25" spans="1:14">
      <c r="A25" s="3086" t="s">
        <v>425</v>
      </c>
      <c r="B25" s="3089">
        <v>70</v>
      </c>
      <c r="C25" s="3089">
        <v>60</v>
      </c>
      <c r="D25" s="3090">
        <v>0.04</v>
      </c>
      <c r="E25" s="3087">
        <f t="shared" si="0"/>
        <v>0.96699999999999997</v>
      </c>
      <c r="F25" s="3090">
        <f>F24</f>
        <v>0.7</v>
      </c>
      <c r="G25" s="3088">
        <f t="shared" si="1"/>
        <v>97.7</v>
      </c>
      <c r="I25" s="3067">
        <v>25</v>
      </c>
      <c r="J25" s="3067">
        <v>86.3</v>
      </c>
      <c r="K25" s="3067">
        <f t="shared" si="2"/>
        <v>5.2999999999999972</v>
      </c>
      <c r="L25" s="3067" t="s">
        <v>426</v>
      </c>
      <c r="N25" s="3115">
        <v>8</v>
      </c>
    </row>
    <row r="26" spans="1:14">
      <c r="A26" s="72"/>
      <c r="B26" s="73"/>
      <c r="C26" s="73"/>
      <c r="D26" s="73"/>
      <c r="E26" s="73"/>
      <c r="F26" s="73"/>
      <c r="G26" s="3091"/>
      <c r="I26" s="3067">
        <v>30</v>
      </c>
      <c r="J26" s="3067">
        <v>90.5</v>
      </c>
      <c r="K26" s="3067">
        <f t="shared" si="2"/>
        <v>4.2000000000000028</v>
      </c>
      <c r="L26" s="3067" t="s">
        <v>427</v>
      </c>
      <c r="N26" s="3115">
        <v>5</v>
      </c>
    </row>
    <row r="27" spans="1:14">
      <c r="A27" s="72" t="s">
        <v>428</v>
      </c>
      <c r="B27" s="73"/>
      <c r="C27" s="73"/>
      <c r="D27" s="73"/>
      <c r="E27" s="73"/>
      <c r="F27" s="73"/>
      <c r="G27" s="3091"/>
      <c r="I27" s="3067">
        <v>35</v>
      </c>
      <c r="J27" s="3067">
        <v>93.8</v>
      </c>
      <c r="K27" s="3067">
        <f t="shared" si="2"/>
        <v>3.2999999999999972</v>
      </c>
      <c r="L27" s="3067" t="s">
        <v>429</v>
      </c>
      <c r="N27" s="3115">
        <v>3</v>
      </c>
    </row>
    <row r="28" spans="1:14">
      <c r="A28" s="72" t="s">
        <v>430</v>
      </c>
      <c r="B28" s="73"/>
      <c r="C28" s="73"/>
      <c r="D28" s="73"/>
      <c r="E28" s="73"/>
      <c r="F28" s="73"/>
      <c r="G28" s="3091"/>
      <c r="I28" s="3067">
        <v>40</v>
      </c>
      <c r="J28" s="3067">
        <v>96.4</v>
      </c>
      <c r="K28" s="3067">
        <f t="shared" si="2"/>
        <v>2.6000000000000085</v>
      </c>
      <c r="L28" s="3067" t="s">
        <v>431</v>
      </c>
      <c r="N28" s="3115">
        <v>2</v>
      </c>
    </row>
    <row r="29" spans="1:14">
      <c r="A29" s="72" t="s">
        <v>432</v>
      </c>
      <c r="B29" s="73"/>
      <c r="C29" s="73"/>
      <c r="D29" s="73"/>
      <c r="E29" s="73"/>
      <c r="F29" s="73"/>
      <c r="G29" s="3091"/>
      <c r="I29" s="3067">
        <v>45</v>
      </c>
      <c r="J29" s="3067">
        <v>98.4</v>
      </c>
      <c r="K29" s="3067">
        <f t="shared" si="2"/>
        <v>2</v>
      </c>
    </row>
    <row r="30" spans="1:14">
      <c r="A30" s="72" t="s">
        <v>433</v>
      </c>
      <c r="B30" s="73"/>
      <c r="C30" s="73"/>
      <c r="D30" s="73"/>
      <c r="E30" s="73"/>
      <c r="F30" s="73"/>
      <c r="G30" s="3091"/>
      <c r="I30" s="3067">
        <v>50</v>
      </c>
      <c r="J30" s="3067">
        <v>100</v>
      </c>
      <c r="K30" s="3067">
        <f t="shared" si="2"/>
        <v>1.5999999999999943</v>
      </c>
    </row>
    <row r="31" spans="1:14">
      <c r="A31" s="72" t="s">
        <v>434</v>
      </c>
      <c r="B31" s="73"/>
      <c r="C31" s="73"/>
      <c r="D31" s="73"/>
      <c r="E31" s="73"/>
      <c r="F31" s="73"/>
      <c r="G31" s="3091"/>
      <c r="I31" s="3067" t="s">
        <v>435</v>
      </c>
    </row>
    <row r="32" spans="1:14">
      <c r="A32" s="72" t="s">
        <v>436</v>
      </c>
      <c r="B32" s="73"/>
      <c r="C32" s="73"/>
      <c r="D32" s="73"/>
      <c r="E32" s="73"/>
      <c r="F32" s="73"/>
      <c r="G32" s="3091"/>
    </row>
    <row r="33" spans="1:14">
      <c r="A33" s="72" t="s">
        <v>437</v>
      </c>
      <c r="B33" s="73"/>
      <c r="C33" s="73"/>
      <c r="D33" s="73"/>
      <c r="E33" s="73"/>
      <c r="F33" s="73"/>
      <c r="G33" s="3091"/>
      <c r="I33" s="3067" t="s">
        <v>413</v>
      </c>
      <c r="J33" s="3067" t="s">
        <v>438</v>
      </c>
    </row>
    <row r="34" spans="1:14">
      <c r="A34" s="72" t="s">
        <v>439</v>
      </c>
      <c r="B34" s="73"/>
      <c r="C34" s="73"/>
      <c r="D34" s="73"/>
      <c r="E34" s="73"/>
      <c r="F34" s="73"/>
      <c r="G34" s="3091"/>
      <c r="I34" s="3067">
        <v>5</v>
      </c>
      <c r="J34" s="3067">
        <v>55.1</v>
      </c>
    </row>
    <row r="35" spans="1:14">
      <c r="A35" s="72" t="s">
        <v>440</v>
      </c>
      <c r="B35" s="73"/>
      <c r="C35" s="73"/>
      <c r="D35" s="73"/>
      <c r="E35" s="73"/>
      <c r="F35" s="73"/>
      <c r="G35" s="3091"/>
      <c r="I35" s="3067">
        <v>10</v>
      </c>
      <c r="J35" s="3067">
        <v>67</v>
      </c>
      <c r="K35" s="3067">
        <f>J35-J34</f>
        <v>11.899999999999999</v>
      </c>
    </row>
    <row r="36" spans="1:14">
      <c r="A36" s="72" t="s">
        <v>441</v>
      </c>
      <c r="B36" s="73"/>
      <c r="C36" s="73"/>
      <c r="D36" s="73"/>
      <c r="E36" s="73"/>
      <c r="F36" s="73"/>
      <c r="G36" s="3091"/>
      <c r="I36" s="3067">
        <v>15</v>
      </c>
      <c r="J36" s="3067">
        <v>76.3</v>
      </c>
      <c r="K36" s="3067">
        <f t="shared" ref="K36:K41" si="3">J36-J35</f>
        <v>9.2999999999999972</v>
      </c>
      <c r="L36" s="3067" t="s">
        <v>421</v>
      </c>
      <c r="N36" s="3115" t="s">
        <v>422</v>
      </c>
    </row>
    <row r="37" spans="1:14">
      <c r="A37" s="72" t="s">
        <v>442</v>
      </c>
      <c r="B37" s="73"/>
      <c r="C37" s="73"/>
      <c r="D37" s="73"/>
      <c r="E37" s="73"/>
      <c r="F37" s="73"/>
      <c r="G37" s="3091"/>
      <c r="I37" s="3067">
        <v>20</v>
      </c>
      <c r="J37" s="3067">
        <v>83.6</v>
      </c>
      <c r="K37" s="3067">
        <f t="shared" si="3"/>
        <v>7.2999999999999972</v>
      </c>
      <c r="L37" s="3067" t="s">
        <v>424</v>
      </c>
      <c r="N37" s="3115">
        <v>10</v>
      </c>
    </row>
    <row r="38" spans="1:14">
      <c r="A38" s="72" t="s">
        <v>443</v>
      </c>
      <c r="B38" s="73"/>
      <c r="C38" s="73"/>
      <c r="D38" s="73"/>
      <c r="E38" s="73"/>
      <c r="F38" s="73"/>
      <c r="G38" s="3091"/>
      <c r="I38" s="3067">
        <v>25</v>
      </c>
      <c r="J38" s="3067">
        <v>89.3</v>
      </c>
      <c r="K38" s="3067">
        <f t="shared" si="3"/>
        <v>5.7000000000000028</v>
      </c>
      <c r="L38" s="3067" t="s">
        <v>426</v>
      </c>
      <c r="N38" s="3115">
        <v>8</v>
      </c>
    </row>
    <row r="39" spans="1:14">
      <c r="A39" s="72"/>
      <c r="B39" s="73"/>
      <c r="C39" s="73"/>
      <c r="D39" s="73"/>
      <c r="E39" s="73"/>
      <c r="F39" s="73"/>
      <c r="G39" s="3091"/>
      <c r="I39" s="3067">
        <v>30</v>
      </c>
      <c r="J39" s="3067">
        <v>93.8</v>
      </c>
      <c r="K39" s="3067">
        <f t="shared" si="3"/>
        <v>4.5</v>
      </c>
      <c r="L39" s="3067" t="s">
        <v>427</v>
      </c>
      <c r="N39" s="3115">
        <v>6</v>
      </c>
    </row>
    <row r="40" spans="1:14">
      <c r="A40" s="3092" t="s">
        <v>444</v>
      </c>
      <c r="B40" s="3093"/>
      <c r="C40" s="3093"/>
      <c r="D40" s="3093"/>
      <c r="E40" s="3093"/>
      <c r="F40" s="3093"/>
      <c r="G40" s="3094"/>
      <c r="I40" s="3067">
        <v>35</v>
      </c>
      <c r="J40" s="3067">
        <v>97.2</v>
      </c>
      <c r="K40" s="3067">
        <f t="shared" si="3"/>
        <v>3.4000000000000057</v>
      </c>
      <c r="L40" s="3067" t="s">
        <v>429</v>
      </c>
      <c r="N40" s="3115">
        <v>3</v>
      </c>
    </row>
    <row r="41" spans="1:14">
      <c r="A41" s="3095" t="s">
        <v>445</v>
      </c>
      <c r="B41" s="3096" t="s">
        <v>446</v>
      </c>
      <c r="C41" s="3097" t="s">
        <v>447</v>
      </c>
      <c r="D41" s="3097" t="s">
        <v>448</v>
      </c>
      <c r="E41" s="3098"/>
      <c r="F41" s="3099"/>
      <c r="G41" s="3100"/>
      <c r="I41" s="3067">
        <v>40</v>
      </c>
      <c r="J41" s="3067">
        <v>100</v>
      </c>
      <c r="K41" s="3067">
        <f t="shared" si="3"/>
        <v>2.7999999999999972</v>
      </c>
    </row>
    <row r="42" spans="1:14">
      <c r="A42" s="3095" t="s">
        <v>233</v>
      </c>
      <c r="B42" s="3096" t="s">
        <v>449</v>
      </c>
      <c r="C42" s="3097" t="s">
        <v>449</v>
      </c>
      <c r="D42" s="3101" t="s">
        <v>450</v>
      </c>
      <c r="E42" s="3093" t="s">
        <v>451</v>
      </c>
      <c r="F42" s="3093"/>
      <c r="G42" s="3094"/>
    </row>
    <row r="43" spans="1:14">
      <c r="A43" s="3095" t="s">
        <v>232</v>
      </c>
      <c r="B43" s="3096" t="s">
        <v>452</v>
      </c>
      <c r="C43" s="3097" t="s">
        <v>453</v>
      </c>
      <c r="D43" s="3097" t="s">
        <v>454</v>
      </c>
      <c r="E43" s="3098" t="s">
        <v>455</v>
      </c>
      <c r="F43" s="3099"/>
      <c r="G43" s="3100"/>
      <c r="I43" s="3067" t="s">
        <v>413</v>
      </c>
      <c r="J43" s="3067" t="s">
        <v>456</v>
      </c>
    </row>
    <row r="44" spans="1:14">
      <c r="A44" s="3095" t="s">
        <v>457</v>
      </c>
      <c r="B44" s="3096" t="s">
        <v>458</v>
      </c>
      <c r="C44" s="3097" t="s">
        <v>459</v>
      </c>
      <c r="D44" s="3101">
        <v>0.5</v>
      </c>
      <c r="E44" s="3098" t="s">
        <v>460</v>
      </c>
      <c r="F44" s="3099"/>
      <c r="G44" s="3100"/>
      <c r="I44" s="3067">
        <v>30</v>
      </c>
      <c r="J44" s="3067">
        <v>81.7</v>
      </c>
    </row>
    <row r="45" spans="1:14">
      <c r="A45" s="3102" t="s">
        <v>461</v>
      </c>
      <c r="B45" s="3103" t="s">
        <v>449</v>
      </c>
      <c r="C45" s="3104" t="s">
        <v>449</v>
      </c>
      <c r="D45" s="3104" t="s">
        <v>462</v>
      </c>
      <c r="E45" s="3105" t="s">
        <v>463</v>
      </c>
      <c r="F45" s="3105"/>
      <c r="G45" s="3106"/>
      <c r="I45" s="3067">
        <v>40</v>
      </c>
      <c r="J45" s="3067">
        <v>89.2</v>
      </c>
      <c r="K45" s="3067">
        <f>J45-J44</f>
        <v>7.5</v>
      </c>
    </row>
    <row r="46" spans="1:14">
      <c r="I46" s="3067">
        <v>50</v>
      </c>
      <c r="J46" s="3067">
        <v>94.3</v>
      </c>
      <c r="K46" s="3067">
        <f t="shared" ref="K46:K47" si="4">J46-J45</f>
        <v>5.0999999999999943</v>
      </c>
    </row>
    <row r="47" spans="1:14">
      <c r="I47" s="3067">
        <v>60</v>
      </c>
      <c r="J47" s="3067">
        <v>97.7</v>
      </c>
      <c r="K47" s="3067">
        <f t="shared" si="4"/>
        <v>3.4000000000000057</v>
      </c>
    </row>
    <row r="49" spans="1:4">
      <c r="A49" s="3068" t="s">
        <v>464</v>
      </c>
    </row>
    <row r="50" spans="1:4">
      <c r="A50" s="3080" t="s">
        <v>465</v>
      </c>
      <c r="B50" s="3080" t="s">
        <v>466</v>
      </c>
      <c r="C50" s="3080" t="s">
        <v>467</v>
      </c>
      <c r="D50" s="3080" t="s">
        <v>468</v>
      </c>
    </row>
    <row r="51" spans="1:4">
      <c r="A51" s="3080" t="s">
        <v>469</v>
      </c>
      <c r="B51" s="3080">
        <f>B52+B53</f>
        <v>15000</v>
      </c>
      <c r="C51" s="3107">
        <f>D51/B51</f>
        <v>2666.6666666666665</v>
      </c>
      <c r="D51" s="3080">
        <f>D52+D53</f>
        <v>40000000</v>
      </c>
    </row>
    <row r="52" spans="1:4">
      <c r="A52" s="3108" t="s">
        <v>470</v>
      </c>
      <c r="B52" s="3109">
        <v>10000</v>
      </c>
      <c r="C52" s="3109">
        <v>1500</v>
      </c>
      <c r="D52" s="3108">
        <f>C52*B52</f>
        <v>15000000</v>
      </c>
    </row>
    <row r="53" spans="1:4">
      <c r="A53" s="3108" t="s">
        <v>471</v>
      </c>
      <c r="B53" s="3109">
        <v>5000</v>
      </c>
      <c r="C53" s="3109">
        <v>5000</v>
      </c>
      <c r="D53" s="3108">
        <f>C53*B53</f>
        <v>25000000</v>
      </c>
    </row>
    <row r="54" spans="1:4">
      <c r="A54" s="3080" t="s">
        <v>472</v>
      </c>
      <c r="B54" s="3080">
        <f>B51</f>
        <v>15000</v>
      </c>
      <c r="C54" s="3078">
        <v>700</v>
      </c>
      <c r="D54" s="3080">
        <f t="shared" ref="D54:D55" si="5">C54*B54</f>
        <v>10500000</v>
      </c>
    </row>
    <row r="55" spans="1:4">
      <c r="A55" s="3080" t="s">
        <v>473</v>
      </c>
      <c r="B55" s="3080">
        <f>B51</f>
        <v>15000</v>
      </c>
      <c r="C55" s="3078">
        <v>1500</v>
      </c>
      <c r="D55" s="3080">
        <f t="shared" si="5"/>
        <v>22500000</v>
      </c>
    </row>
    <row r="56" spans="1:4">
      <c r="A56" s="3080" t="s">
        <v>474</v>
      </c>
      <c r="B56" s="3080">
        <f>B51</f>
        <v>15000</v>
      </c>
      <c r="C56" s="3110">
        <f>C51+C54+C55</f>
        <v>4866.6666666666661</v>
      </c>
      <c r="D56" s="3080">
        <f>D51+D54+D55</f>
        <v>73000000</v>
      </c>
    </row>
    <row r="58" spans="1:4">
      <c r="A58" s="3080" t="s">
        <v>475</v>
      </c>
      <c r="B58" s="3111">
        <v>0.05</v>
      </c>
      <c r="C58" s="3080">
        <f>C56*(1+B58)</f>
        <v>5110</v>
      </c>
      <c r="D58" s="3080">
        <f>D56*B58</f>
        <v>3650000</v>
      </c>
    </row>
    <row r="60" spans="1:4">
      <c r="A60" s="3080" t="s">
        <v>476</v>
      </c>
      <c r="B60" s="3078">
        <v>3500</v>
      </c>
      <c r="C60" s="3078">
        <f>C53</f>
        <v>5000</v>
      </c>
      <c r="D60" s="3080">
        <f>C60*B60</f>
        <v>17500000</v>
      </c>
    </row>
    <row r="62" spans="1:4">
      <c r="A62" s="3080" t="s">
        <v>391</v>
      </c>
      <c r="B62" s="3078">
        <f>B51</f>
        <v>15000</v>
      </c>
      <c r="C62" s="3112">
        <f>D62/B62</f>
        <v>6276.666666666667</v>
      </c>
      <c r="D62" s="3078">
        <f>D56+D58+D60</f>
        <v>94150000</v>
      </c>
    </row>
  </sheetData>
  <sheetProtection password="CEE9" sheet="1" objects="1" scenarios="1" formatCells="0" formatColumns="0" formatRows="0"/>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pageSetUpPr fitToPage="1"/>
  </sheetPr>
  <dimension ref="A1:AD56"/>
  <sheetViews>
    <sheetView view="pageBreakPreview" zoomScale="90" zoomScaleNormal="100" workbookViewId="0">
      <selection activeCell="G19" sqref="G19"/>
    </sheetView>
  </sheetViews>
  <sheetFormatPr defaultColWidth="10" defaultRowHeight="12.75"/>
  <cols>
    <col min="1" max="1" width="16.875" style="2625" customWidth="1"/>
    <col min="2" max="2" width="10" style="2625" customWidth="1"/>
    <col min="3" max="3" width="11.5" style="2625" customWidth="1"/>
    <col min="4" max="4" width="10" style="2625" customWidth="1"/>
    <col min="5" max="5" width="12.625" style="2625" customWidth="1"/>
    <col min="6" max="6" width="10" style="2625" customWidth="1"/>
    <col min="7" max="7" width="10.75" style="2625" customWidth="1"/>
    <col min="8" max="8" width="10" style="2625" customWidth="1"/>
    <col min="9" max="9" width="11.125" style="2866" customWidth="1"/>
    <col min="10" max="10" width="10" style="2802" customWidth="1"/>
    <col min="11" max="11" width="10" style="2950" customWidth="1"/>
    <col min="12" max="13" width="10" style="2951" customWidth="1"/>
    <col min="14" max="14" width="10" style="2802" customWidth="1"/>
    <col min="15" max="15" width="10" style="1189" customWidth="1"/>
    <col min="16" max="17" width="10" style="2802"/>
    <col min="18" max="18" width="10" style="2802" customWidth="1"/>
    <col min="19" max="30" width="10" style="2802"/>
    <col min="31" max="16384" width="10" style="2625"/>
  </cols>
  <sheetData>
    <row r="1" spans="1:30">
      <c r="A1" s="2952" t="s">
        <v>477</v>
      </c>
      <c r="B1" s="3299" t="str">
        <f>IF(B10="北京市","北京市",C10)&amp;F10&amp;IF(结果表!G1="在建","出让国有建设用地使用权及在建建筑物",IF(结果表!G1="土地","出让国有建设用地使用权",))&amp;B9&amp;"预评估"</f>
        <v>北京市房地产抵押价值预评估</v>
      </c>
      <c r="C1" s="3300"/>
      <c r="D1" s="3300"/>
      <c r="E1" s="3300"/>
      <c r="F1" s="3300"/>
      <c r="G1" s="3300"/>
      <c r="H1" s="3300"/>
      <c r="I1" s="3301"/>
      <c r="J1" s="2586"/>
      <c r="K1" s="3033"/>
      <c r="L1" s="3042"/>
      <c r="M1" s="3042"/>
      <c r="N1" s="2953"/>
      <c r="O1" s="2410"/>
      <c r="P1" s="2953"/>
      <c r="Q1" s="2953"/>
      <c r="R1" s="2953"/>
      <c r="S1" s="2288" t="str">
        <f>IF(B10="北京市","北京市",C10)&amp;F10&amp;IF(结果表!G1="在建","出让国有建设用地使用权及在建建筑物房地产抵押价值",IF(结果表!G1="土地","出让国有建设用地使用权抵押价值",B9))</f>
        <v>北京市房地产抵押价值</v>
      </c>
      <c r="T1" s="2625"/>
      <c r="U1" s="2625"/>
      <c r="V1" s="2625"/>
      <c r="W1" s="2625"/>
      <c r="X1" s="2625"/>
      <c r="Y1" s="2625"/>
      <c r="Z1" s="2625"/>
      <c r="AA1" s="2625"/>
      <c r="AB1" s="2625"/>
    </row>
    <row r="2" spans="1:30">
      <c r="A2" s="2953" t="s">
        <v>478</v>
      </c>
      <c r="B2" s="1191"/>
      <c r="D2" s="2954"/>
      <c r="E2" s="2955"/>
      <c r="F2" s="2955"/>
      <c r="G2" s="2724"/>
      <c r="H2" s="2724"/>
      <c r="I2" s="2724"/>
      <c r="J2" s="2586"/>
      <c r="K2" s="3033"/>
      <c r="L2" s="3042"/>
      <c r="M2" s="3042"/>
      <c r="N2" s="2953"/>
      <c r="O2" s="2410"/>
      <c r="P2" s="2953"/>
      <c r="Q2" s="2953"/>
      <c r="R2" s="2953"/>
      <c r="S2" s="2288" t="str">
        <f>IF(B10="北京市","北京市",C10)&amp;F10&amp;IF(结果表!G1="在建","出让国有建设用地使用权及在建建筑物房地产",IF(结果表!G1="土地","出让国有建设用地使用权","房地产"))</f>
        <v>北京市房地产</v>
      </c>
      <c r="T2" s="2625"/>
      <c r="U2" s="2625"/>
      <c r="V2" s="2625"/>
      <c r="W2" s="2625"/>
      <c r="X2" s="2625"/>
      <c r="Y2" s="2625"/>
      <c r="Z2" s="2625"/>
      <c r="AA2" s="2625"/>
      <c r="AB2" s="2625"/>
    </row>
    <row r="3" spans="1:30">
      <c r="A3" s="925" t="s">
        <v>479</v>
      </c>
      <c r="B3" s="2956">
        <v>45882</v>
      </c>
      <c r="C3" s="2957" t="s">
        <v>480</v>
      </c>
      <c r="D3" s="2956">
        <f>B3</f>
        <v>45882</v>
      </c>
      <c r="E3" s="2724"/>
      <c r="F3" s="2724"/>
      <c r="G3" s="2724"/>
      <c r="H3" s="2724"/>
      <c r="I3" s="2724"/>
      <c r="J3" s="2586"/>
      <c r="K3" s="3033"/>
      <c r="L3" s="3042"/>
      <c r="M3" s="3042"/>
      <c r="N3" s="2953"/>
      <c r="O3" s="2410"/>
      <c r="P3" s="2953"/>
      <c r="Q3" s="2953"/>
      <c r="R3" s="2953"/>
      <c r="S3" s="2288"/>
      <c r="T3" s="2625"/>
      <c r="U3" s="2625"/>
      <c r="V3" s="2625"/>
      <c r="W3" s="2625"/>
      <c r="X3" s="2625"/>
      <c r="Y3" s="2625"/>
      <c r="Z3" s="2625"/>
      <c r="AA3" s="2625"/>
      <c r="AB3" s="2625"/>
    </row>
    <row r="4" spans="1:30">
      <c r="A4" s="949" t="s">
        <v>481</v>
      </c>
      <c r="B4" s="2958"/>
      <c r="C4" s="2959">
        <f>SUMIF(注册房地产估价师,B4,估价师及机构信息!B3:B24)</f>
        <v>0</v>
      </c>
      <c r="D4" s="2958"/>
      <c r="E4" s="2959">
        <f>SUMIF(注册房地产估价师,D4,估价师及机构信息!B3:B24)</f>
        <v>0</v>
      </c>
      <c r="F4" s="2958"/>
      <c r="G4" s="2959">
        <f>SUMIF(注册房地产估价师,F4,估价师及机构信息!B3:B24)</f>
        <v>0</v>
      </c>
      <c r="H4" s="2958"/>
      <c r="I4" s="2959">
        <f>SUMIF(注册房地产估价师,H4,估价师及机构信息!B3:B24)</f>
        <v>0</v>
      </c>
      <c r="J4" s="2586"/>
      <c r="K4" s="2394" t="str">
        <f>CONCATENATE(B4,"（注册号：",C4,")、",D4,"（注册号：",E4,")")</f>
        <v>（注册号：0)、（注册号：0)</v>
      </c>
      <c r="L4" s="3042"/>
      <c r="M4" s="3042"/>
      <c r="N4" s="2953"/>
      <c r="O4" s="2410"/>
      <c r="P4" s="2953"/>
      <c r="Q4" s="2953"/>
      <c r="R4" s="2953"/>
      <c r="S4" s="2288"/>
      <c r="T4" s="2625"/>
      <c r="U4" s="2625"/>
      <c r="V4" s="2625"/>
      <c r="W4" s="2625"/>
      <c r="X4" s="2625"/>
      <c r="Y4" s="2625"/>
      <c r="Z4" s="2625"/>
      <c r="AA4" s="2625"/>
      <c r="AB4" s="2625"/>
    </row>
    <row r="5" spans="1:30">
      <c r="A5" s="2960" t="s">
        <v>482</v>
      </c>
      <c r="B5" s="2961"/>
      <c r="C5" s="2962"/>
      <c r="D5" s="2963"/>
      <c r="E5" s="2724"/>
      <c r="F5" s="2724"/>
      <c r="G5" s="2724"/>
      <c r="H5" s="2724"/>
      <c r="I5" s="2724"/>
      <c r="J5" s="2586"/>
      <c r="K5" s="2394" t="str">
        <f>IF(F4="——","",IF(H4="——",F4&amp;"（注册号："&amp;G4&amp;")",CONCATENATE(F4,"（注册号：",G4,")、",H4,"（注册号：",I4,")")))</f>
        <v>（注册号：0)、（注册号：0)</v>
      </c>
      <c r="L5" s="3042"/>
      <c r="M5" s="3042"/>
      <c r="N5" s="2953"/>
      <c r="O5" s="2410"/>
      <c r="P5" s="2953"/>
      <c r="Q5" s="2953"/>
      <c r="R5" s="2953"/>
      <c r="S5" s="2625"/>
      <c r="T5" s="2625"/>
      <c r="U5" s="2625"/>
      <c r="V5" s="2625"/>
      <c r="W5" s="2625"/>
      <c r="X5" s="2625"/>
      <c r="Y5" s="2625"/>
      <c r="Z5" s="2625"/>
      <c r="AA5" s="2625"/>
      <c r="AB5" s="2625"/>
    </row>
    <row r="6" spans="1:30">
      <c r="A6" s="2964" t="s">
        <v>483</v>
      </c>
      <c r="B6" s="2965"/>
      <c r="C6" s="2966"/>
      <c r="D6" s="2967"/>
      <c r="E6" s="2955"/>
      <c r="F6" s="2724"/>
      <c r="G6" s="2724"/>
      <c r="H6" s="2724"/>
      <c r="I6" s="2724"/>
      <c r="J6" s="2586"/>
      <c r="K6" s="3043" t="str">
        <f>IF(COUNTIF(B6,"*上海银行*"),"上海银行","")</f>
        <v/>
      </c>
      <c r="L6" s="3044"/>
      <c r="M6" s="3044"/>
      <c r="N6" s="2586"/>
      <c r="O6" s="2411"/>
      <c r="P6" s="2586"/>
      <c r="Q6" s="2586"/>
      <c r="R6" s="2586"/>
    </row>
    <row r="7" spans="1:30">
      <c r="A7" s="2964" t="s">
        <v>484</v>
      </c>
      <c r="B7" s="2968"/>
      <c r="C7" s="2966"/>
      <c r="D7" s="2967"/>
      <c r="E7" s="2955"/>
      <c r="F7" s="2724"/>
      <c r="G7" s="2724"/>
      <c r="H7" s="2724"/>
      <c r="I7" s="2724"/>
      <c r="J7" s="2586"/>
      <c r="K7" s="3045"/>
      <c r="L7" s="3044"/>
      <c r="M7" s="3044"/>
      <c r="N7" s="2586"/>
      <c r="O7" s="2411"/>
      <c r="P7" s="2586"/>
      <c r="Q7" s="2586"/>
      <c r="R7" s="2586"/>
    </row>
    <row r="8" spans="1:30">
      <c r="A8" s="2969" t="s">
        <v>485</v>
      </c>
      <c r="B8" s="2970" t="s">
        <v>366</v>
      </c>
      <c r="C8" s="2971"/>
      <c r="D8" s="3314" t="s">
        <v>486</v>
      </c>
      <c r="E8" s="2972" t="s">
        <v>371</v>
      </c>
      <c r="F8" s="2973"/>
      <c r="G8" s="2724"/>
      <c r="H8" s="2724"/>
      <c r="I8" s="2724"/>
      <c r="J8" s="2586"/>
      <c r="K8" s="3046"/>
      <c r="L8" s="3044"/>
      <c r="M8" s="3044"/>
      <c r="N8" s="2586"/>
      <c r="O8" s="2411"/>
      <c r="P8" s="2586"/>
      <c r="Q8" s="2586"/>
      <c r="R8" s="2586"/>
    </row>
    <row r="9" spans="1:30">
      <c r="A9" s="2974" t="s">
        <v>487</v>
      </c>
      <c r="B9" s="2975" t="s">
        <v>371</v>
      </c>
      <c r="C9" s="2976"/>
      <c r="D9" s="3315"/>
      <c r="E9" s="2975" t="s">
        <v>124</v>
      </c>
      <c r="F9" s="2977"/>
      <c r="G9" s="2978"/>
      <c r="H9" s="2978"/>
      <c r="I9" s="2978"/>
      <c r="J9" s="2586"/>
      <c r="K9" s="3045"/>
      <c r="L9" s="3044"/>
      <c r="M9" s="3044"/>
      <c r="N9" s="2586"/>
      <c r="O9" s="2411"/>
      <c r="P9" s="2586"/>
      <c r="Q9" s="2586"/>
      <c r="R9" s="2586"/>
    </row>
    <row r="10" spans="1:30">
      <c r="A10" s="2979" t="s">
        <v>488</v>
      </c>
      <c r="B10" s="2980" t="s">
        <v>489</v>
      </c>
      <c r="C10" s="2981"/>
      <c r="D10" s="2963"/>
      <c r="E10" s="2982" t="s">
        <v>490</v>
      </c>
      <c r="F10" s="2983"/>
      <c r="G10" s="2984"/>
      <c r="H10" s="2985"/>
      <c r="I10" s="3047"/>
      <c r="J10" s="2586"/>
      <c r="K10" s="3045"/>
      <c r="L10" s="3044"/>
      <c r="M10" s="3044"/>
      <c r="N10" s="2586"/>
      <c r="O10" s="2411"/>
      <c r="P10" s="2586"/>
      <c r="Q10" s="2586"/>
      <c r="R10" s="2586"/>
    </row>
    <row r="11" spans="1:30">
      <c r="A11" s="2986" t="s">
        <v>491</v>
      </c>
      <c r="B11" s="2987" t="s">
        <v>492</v>
      </c>
      <c r="C11" s="2988"/>
      <c r="D11" s="2989"/>
      <c r="E11" s="2953"/>
      <c r="F11" s="2953"/>
      <c r="G11" s="2953"/>
      <c r="H11" s="2953"/>
      <c r="I11" s="2953"/>
      <c r="J11" s="3048"/>
      <c r="K11" s="3044"/>
      <c r="L11" s="3044"/>
      <c r="M11" s="3044"/>
      <c r="N11" s="2586"/>
      <c r="O11" s="2411"/>
      <c r="P11" s="2586"/>
      <c r="Q11" s="2586"/>
      <c r="R11" s="2586"/>
    </row>
    <row r="12" spans="1:30">
      <c r="A12" s="2990" t="s">
        <v>493</v>
      </c>
      <c r="B12" s="970" t="s">
        <v>494</v>
      </c>
      <c r="C12" s="2991" t="s">
        <v>495</v>
      </c>
      <c r="D12" s="2991" t="s">
        <v>496</v>
      </c>
      <c r="E12" s="2991" t="s">
        <v>497</v>
      </c>
      <c r="F12" s="2991" t="s">
        <v>498</v>
      </c>
      <c r="G12" s="2991" t="s">
        <v>499</v>
      </c>
      <c r="H12" s="2991" t="s">
        <v>500</v>
      </c>
      <c r="I12" s="3034" t="s">
        <v>231</v>
      </c>
      <c r="J12" s="3049"/>
      <c r="K12" s="3044"/>
      <c r="L12" s="3044"/>
      <c r="M12" s="2586"/>
      <c r="N12" s="2411"/>
      <c r="O12" s="2586"/>
      <c r="P12" s="2586"/>
      <c r="Q12" s="2586"/>
      <c r="AD12" s="2625"/>
    </row>
    <row r="13" spans="1:30">
      <c r="A13" s="2992" t="s">
        <v>501</v>
      </c>
      <c r="B13" s="2993" t="s">
        <v>502</v>
      </c>
      <c r="C13" s="2994"/>
      <c r="D13" s="2994">
        <v>49926</v>
      </c>
      <c r="E13" s="2994">
        <v>53578</v>
      </c>
      <c r="F13" s="2994">
        <f>E13</f>
        <v>53578</v>
      </c>
      <c r="G13" s="2994"/>
      <c r="H13" s="2994"/>
      <c r="I13" s="2994"/>
      <c r="J13" s="3049"/>
      <c r="K13" s="3044"/>
      <c r="L13" s="3044"/>
      <c r="M13" s="2586"/>
      <c r="N13" s="2411"/>
      <c r="O13" s="2586"/>
      <c r="P13" s="2586"/>
      <c r="Q13" s="2586"/>
      <c r="AD13" s="2625"/>
    </row>
    <row r="14" spans="1:30">
      <c r="A14" s="954"/>
      <c r="B14" s="2993" t="s">
        <v>503</v>
      </c>
      <c r="C14" s="2995"/>
      <c r="D14" s="2995">
        <v>40</v>
      </c>
      <c r="E14" s="2995">
        <v>50</v>
      </c>
      <c r="F14" s="2995">
        <v>50</v>
      </c>
      <c r="G14" s="2995"/>
      <c r="H14" s="2995"/>
      <c r="I14" s="2995"/>
      <c r="J14" s="3050"/>
      <c r="K14" s="3044"/>
      <c r="L14" s="3044"/>
      <c r="M14" s="2586"/>
      <c r="N14" s="2411"/>
      <c r="O14" s="2586"/>
      <c r="P14" s="2586"/>
      <c r="Q14" s="2586"/>
      <c r="AD14" s="2625"/>
    </row>
    <row r="15" spans="1:30">
      <c r="A15" s="962"/>
      <c r="B15" s="2996" t="s">
        <v>504</v>
      </c>
      <c r="C15" s="2997" t="str">
        <f>IF(A13="出让",IF(C13="","",ROUNDDOWN(MIN((C13-$D$3)/365,C14),2)),C14)</f>
        <v/>
      </c>
      <c r="D15" s="2997">
        <f>IF(A13="出让",IF(D13="","",ROUNDDOWN(MIN((D13-$D$3)/365,D14),2)),D14)</f>
        <v>11.07</v>
      </c>
      <c r="E15" s="2997">
        <f>IF(A13="出让",IF(E13="","",ROUNDDOWN(MIN((E13-$D$3)/365,E14),2)),E14)</f>
        <v>21.08</v>
      </c>
      <c r="F15" s="2997">
        <f>IF(A13="出让",IF(F13="","",ROUNDDOWN(MIN((F13-$D$3)/365,F14),2)),F14)</f>
        <v>21.08</v>
      </c>
      <c r="G15" s="2997" t="str">
        <f>IF(A13="出让",IF(G13="","",ROUNDDOWN(MIN((G13-$D$3)/365,G14),2)),G14)</f>
        <v/>
      </c>
      <c r="H15" s="2997" t="str">
        <f>IF(A13="出让",IF(H13="","",ROUNDDOWN(MIN((H13-$D$3)/365,H14),2)),H14)</f>
        <v/>
      </c>
      <c r="I15" s="2997" t="str">
        <f>IF(A13="出让",IF(I13="","",ROUNDDOWN(MIN((I13-$D$3)/365,I14),2)),I14)</f>
        <v/>
      </c>
      <c r="J15" s="3051"/>
      <c r="K15" s="2411"/>
      <c r="L15" s="2411"/>
      <c r="M15" s="2586"/>
      <c r="N15" s="2411"/>
      <c r="O15" s="2586"/>
      <c r="P15" s="2586"/>
      <c r="Q15" s="2586"/>
      <c r="AD15" s="2625"/>
    </row>
    <row r="16" spans="1:30">
      <c r="A16" s="2982" t="s">
        <v>505</v>
      </c>
      <c r="B16" s="3302"/>
      <c r="C16" s="3303"/>
      <c r="D16" s="3304"/>
      <c r="E16" s="2998" t="s">
        <v>506</v>
      </c>
      <c r="F16" s="3305"/>
      <c r="G16" s="3306"/>
      <c r="H16" s="3306"/>
      <c r="I16" s="3307"/>
      <c r="J16" s="2586"/>
      <c r="K16" s="3052"/>
      <c r="L16" s="2411"/>
      <c r="M16" s="2411"/>
      <c r="N16" s="2586"/>
      <c r="O16" s="2411"/>
      <c r="P16" s="2586"/>
      <c r="Q16" s="2586"/>
      <c r="R16" s="2586"/>
    </row>
    <row r="17" spans="1:28">
      <c r="A17" s="937" t="s">
        <v>507</v>
      </c>
      <c r="B17" s="925" t="s">
        <v>508</v>
      </c>
      <c r="C17" s="1239">
        <f>'数据-汇总表'!E3</f>
        <v>65221.919999999998</v>
      </c>
      <c r="D17" s="983" t="s">
        <v>509</v>
      </c>
      <c r="E17" s="3308" t="s">
        <v>510</v>
      </c>
      <c r="F17" s="3309"/>
      <c r="G17" s="3309"/>
      <c r="H17" s="3309"/>
      <c r="I17" s="3310"/>
      <c r="J17" s="2586"/>
      <c r="K17" s="3053"/>
      <c r="L17" s="2411"/>
      <c r="M17" s="2411"/>
      <c r="N17" s="2586"/>
      <c r="O17" s="2411"/>
      <c r="P17" s="2586"/>
      <c r="Q17" s="2586"/>
      <c r="R17" s="2586"/>
      <c r="S17" s="2586"/>
      <c r="T17" s="2586"/>
      <c r="U17" s="2586"/>
      <c r="V17" s="2586"/>
    </row>
    <row r="18" spans="1:28" ht="24">
      <c r="A18" s="2999" t="s">
        <v>511</v>
      </c>
      <c r="B18" s="949" t="s">
        <v>512</v>
      </c>
      <c r="C18" s="3000">
        <f>'数据-汇总表'!D3</f>
        <v>12590.6</v>
      </c>
      <c r="D18" s="976" t="s">
        <v>509</v>
      </c>
      <c r="E18" s="3311" t="s">
        <v>513</v>
      </c>
      <c r="F18" s="3312"/>
      <c r="G18" s="3312"/>
      <c r="H18" s="3312"/>
      <c r="I18" s="3313"/>
      <c r="J18" s="2586"/>
      <c r="K18" s="3053"/>
      <c r="L18" s="2411"/>
      <c r="M18" s="2411"/>
      <c r="N18" s="2586"/>
      <c r="O18" s="2411"/>
      <c r="P18" s="2586"/>
      <c r="Q18" s="2586"/>
      <c r="R18" s="2586"/>
      <c r="S18" s="2586"/>
      <c r="T18" s="2586"/>
      <c r="U18" s="2586"/>
      <c r="V18" s="2586"/>
    </row>
    <row r="19" spans="1:28" ht="38.25">
      <c r="A19" s="993" t="s">
        <v>514</v>
      </c>
      <c r="B19" s="929" t="s">
        <v>515</v>
      </c>
      <c r="C19" s="3001" t="s">
        <v>516</v>
      </c>
      <c r="D19" s="3002" t="s">
        <v>517</v>
      </c>
      <c r="E19" s="3003" t="s">
        <v>518</v>
      </c>
      <c r="F19" s="3004" t="str">
        <f>IF(AND(C19="是",E19="否"),"是否提供他项权证或相关说明","")</f>
        <v>是否提供他项权证或相关说明</v>
      </c>
      <c r="G19" s="3005"/>
      <c r="H19" s="2724"/>
      <c r="I19" s="2724"/>
      <c r="J19" s="2586"/>
      <c r="K19" s="3045"/>
      <c r="L19" s="3044"/>
      <c r="M19" s="3044"/>
      <c r="N19" s="2586"/>
      <c r="O19" s="2411"/>
      <c r="P19" s="2586"/>
      <c r="Q19" s="2586"/>
      <c r="R19" s="2586"/>
      <c r="S19" s="2586"/>
      <c r="T19" s="2586"/>
      <c r="U19" s="2586"/>
      <c r="V19" s="2586"/>
    </row>
    <row r="20" spans="1:28">
      <c r="A20" s="3006" t="s">
        <v>519</v>
      </c>
      <c r="B20" s="3289" t="s">
        <v>520</v>
      </c>
      <c r="C20" s="3290"/>
      <c r="D20" s="3291" t="s">
        <v>521</v>
      </c>
      <c r="E20" s="3292"/>
      <c r="F20" s="3007" t="s">
        <v>522</v>
      </c>
      <c r="G20" s="2724"/>
      <c r="H20" s="2724"/>
      <c r="I20" s="2724"/>
      <c r="J20" s="2586"/>
      <c r="K20" s="3287" t="s">
        <v>523</v>
      </c>
      <c r="L20" s="10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42"/>
      <c r="N20" s="2953"/>
      <c r="O20" s="2410"/>
      <c r="P20" s="2953"/>
      <c r="Q20" s="2953"/>
      <c r="R20" s="2953"/>
      <c r="S20" s="2953"/>
      <c r="T20" s="2953"/>
      <c r="U20" s="2953"/>
      <c r="V20" s="2953"/>
      <c r="W20" s="2625"/>
      <c r="X20" s="2625"/>
      <c r="Y20" s="2625"/>
      <c r="Z20" s="2625"/>
      <c r="AA20" s="2625"/>
      <c r="AB20" s="2625"/>
    </row>
    <row r="21" spans="1:28" ht="24">
      <c r="A21" s="3006"/>
      <c r="B21" s="3008" t="s">
        <v>524</v>
      </c>
      <c r="C21" s="2612" t="s">
        <v>525</v>
      </c>
      <c r="D21" s="3009" t="s">
        <v>526</v>
      </c>
      <c r="E21" s="3010" t="s">
        <v>525</v>
      </c>
      <c r="F21" s="3011"/>
      <c r="G21" s="2724"/>
      <c r="H21" s="2724"/>
      <c r="I21" s="2724"/>
      <c r="J21" s="2586"/>
      <c r="K21" s="3287"/>
      <c r="L21" s="10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2"/>
      <c r="N21" s="2953"/>
      <c r="O21" s="2410"/>
      <c r="P21" s="2953"/>
      <c r="Q21" s="2953"/>
      <c r="R21" s="2953"/>
      <c r="S21" s="2953"/>
      <c r="T21" s="2953"/>
      <c r="U21" s="2953"/>
      <c r="V21" s="2953"/>
      <c r="W21" s="2625"/>
      <c r="X21" s="2625"/>
      <c r="Y21" s="2625"/>
      <c r="Z21" s="2625"/>
      <c r="AA21" s="2625"/>
      <c r="AB21" s="2625"/>
    </row>
    <row r="22" spans="1:28" ht="24">
      <c r="A22" s="3006"/>
      <c r="B22" s="3012" t="s">
        <v>527</v>
      </c>
      <c r="C22" s="2612" t="s">
        <v>528</v>
      </c>
      <c r="D22" s="2724"/>
      <c r="E22" s="2724"/>
      <c r="F22" s="2724"/>
      <c r="G22" s="2724"/>
      <c r="H22" s="2724"/>
      <c r="I22" s="2724"/>
      <c r="J22" s="2586"/>
      <c r="K22" s="3287"/>
      <c r="L22" s="10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2"/>
      <c r="N22" s="2953"/>
      <c r="O22" s="2410"/>
      <c r="P22" s="2953"/>
      <c r="Q22" s="2953"/>
      <c r="R22" s="2953"/>
      <c r="S22" s="2953"/>
      <c r="T22" s="2953"/>
      <c r="U22" s="2953"/>
      <c r="V22" s="2953"/>
      <c r="W22" s="2625"/>
      <c r="X22" s="2625"/>
      <c r="Y22" s="2625"/>
      <c r="Z22" s="2625"/>
      <c r="AA22" s="2625"/>
      <c r="AB22" s="2625"/>
    </row>
    <row r="23" spans="1:28">
      <c r="A23" s="3013" t="s">
        <v>529</v>
      </c>
      <c r="B23" s="2609" t="s">
        <v>530</v>
      </c>
      <c r="C23" s="3014"/>
      <c r="D23" s="3015" t="s">
        <v>530</v>
      </c>
      <c r="E23" s="3016"/>
      <c r="F23" s="2724"/>
      <c r="G23" s="2724"/>
      <c r="H23" s="2724"/>
      <c r="I23" s="2724"/>
      <c r="J23" s="2586"/>
      <c r="K23" s="3043"/>
      <c r="L23" s="1006"/>
      <c r="M23" s="3044"/>
      <c r="N23" s="2586"/>
      <c r="O23" s="2411"/>
      <c r="P23" s="2586"/>
      <c r="Q23" s="2586"/>
      <c r="R23" s="2586"/>
      <c r="S23" s="2586"/>
      <c r="T23" s="2586"/>
      <c r="U23" s="2586"/>
      <c r="V23" s="2586"/>
    </row>
    <row r="24" spans="1:28">
      <c r="A24" s="3013"/>
      <c r="B24" s="2609" t="s">
        <v>531</v>
      </c>
      <c r="C24" s="2585"/>
      <c r="D24" s="3013" t="s">
        <v>531</v>
      </c>
      <c r="E24" s="3017"/>
      <c r="F24" s="2724"/>
      <c r="G24" s="2724"/>
      <c r="H24" s="2724"/>
      <c r="I24" s="2724"/>
      <c r="J24" s="2586"/>
      <c r="K24" s="3043"/>
      <c r="L24" s="1006"/>
      <c r="M24" s="3044"/>
      <c r="N24" s="2586"/>
      <c r="O24" s="2411"/>
      <c r="P24" s="2586"/>
      <c r="Q24" s="2586"/>
      <c r="R24" s="2586"/>
      <c r="S24" s="2586"/>
      <c r="T24" s="2586"/>
      <c r="U24" s="2586"/>
      <c r="V24" s="2586"/>
    </row>
    <row r="25" spans="1:28">
      <c r="A25" s="3013"/>
      <c r="B25" s="2609" t="s">
        <v>532</v>
      </c>
      <c r="C25" s="2585"/>
      <c r="D25" s="3013" t="s">
        <v>532</v>
      </c>
      <c r="E25" s="3017"/>
      <c r="F25" s="2724"/>
      <c r="G25" s="2724"/>
      <c r="H25" s="2724"/>
      <c r="I25" s="2724"/>
      <c r="J25" s="2586"/>
      <c r="K25" s="3045"/>
      <c r="L25" s="3044"/>
      <c r="M25" s="3044"/>
      <c r="N25" s="2586"/>
      <c r="O25" s="2411"/>
      <c r="P25" s="2586"/>
      <c r="Q25" s="2586"/>
      <c r="R25" s="2586"/>
      <c r="S25" s="2586"/>
      <c r="T25" s="2586"/>
      <c r="U25" s="2586"/>
      <c r="V25" s="2586"/>
    </row>
    <row r="26" spans="1:28">
      <c r="A26" s="3018"/>
      <c r="B26" s="3019" t="s">
        <v>533</v>
      </c>
      <c r="C26" s="3020"/>
      <c r="D26" s="3018" t="s">
        <v>533</v>
      </c>
      <c r="E26" s="3021"/>
      <c r="F26" s="2978"/>
      <c r="G26" s="2978"/>
      <c r="H26" s="2978"/>
      <c r="I26" s="2978"/>
      <c r="J26" s="2586"/>
      <c r="K26" s="3045"/>
      <c r="L26" s="3044"/>
      <c r="M26" s="3044"/>
      <c r="N26" s="2586"/>
      <c r="O26" s="2411"/>
      <c r="P26" s="2586"/>
      <c r="Q26" s="2586"/>
      <c r="R26" s="2586"/>
      <c r="S26" s="2586"/>
      <c r="T26" s="2586"/>
      <c r="U26" s="2586"/>
      <c r="V26" s="2586"/>
    </row>
    <row r="27" spans="1:28">
      <c r="A27" s="3295" t="s">
        <v>534</v>
      </c>
      <c r="B27" s="962" t="s">
        <v>535</v>
      </c>
      <c r="C27" s="3022"/>
      <c r="D27" s="3023"/>
      <c r="E27" s="2724"/>
      <c r="F27" s="2724"/>
      <c r="G27" s="2724"/>
      <c r="H27" s="2724"/>
      <c r="I27" s="2724"/>
      <c r="J27" s="2586"/>
      <c r="K27" s="3052"/>
      <c r="L27" s="2411"/>
      <c r="M27" s="2411"/>
      <c r="N27" s="2586"/>
      <c r="O27" s="2411"/>
      <c r="P27" s="2586"/>
      <c r="Q27" s="2586"/>
      <c r="R27" s="2586"/>
      <c r="S27" s="2586"/>
      <c r="T27" s="2586"/>
      <c r="U27" s="2586"/>
      <c r="V27" s="2586"/>
    </row>
    <row r="28" spans="1:28">
      <c r="A28" s="3295"/>
      <c r="B28" s="925" t="s">
        <v>536</v>
      </c>
      <c r="C28" s="3024"/>
      <c r="D28" s="3025"/>
      <c r="E28" s="2724"/>
      <c r="F28" s="2724"/>
      <c r="G28" s="2724"/>
      <c r="H28" s="2724"/>
      <c r="I28" s="2724"/>
      <c r="J28" s="2586"/>
      <c r="K28" s="3045"/>
      <c r="L28" s="3044"/>
      <c r="M28" s="3044"/>
      <c r="N28" s="2586"/>
      <c r="O28" s="2411"/>
      <c r="P28" s="2586"/>
      <c r="Q28" s="2586"/>
      <c r="R28" s="2586"/>
      <c r="S28" s="2586"/>
      <c r="T28" s="2586"/>
      <c r="U28" s="2586"/>
      <c r="V28" s="2586"/>
    </row>
    <row r="29" spans="1:28">
      <c r="A29" s="3295"/>
      <c r="B29" s="925" t="s">
        <v>537</v>
      </c>
      <c r="C29" s="3026"/>
      <c r="D29" s="3027"/>
      <c r="E29" s="2724"/>
      <c r="F29" s="2724"/>
      <c r="G29" s="2724"/>
      <c r="H29" s="2724"/>
      <c r="I29" s="2724"/>
      <c r="J29" s="2586"/>
      <c r="K29" s="3045"/>
      <c r="L29" s="3044"/>
      <c r="M29" s="3044"/>
      <c r="N29" s="2586"/>
      <c r="O29" s="2411"/>
      <c r="P29" s="2586"/>
      <c r="Q29" s="2586"/>
      <c r="R29" s="2586"/>
      <c r="S29" s="2586"/>
      <c r="T29" s="2586"/>
      <c r="U29" s="2586"/>
      <c r="V29" s="2586"/>
    </row>
    <row r="30" spans="1:28">
      <c r="A30" s="3296"/>
      <c r="B30" s="925" t="s">
        <v>538</v>
      </c>
      <c r="C30" s="3293"/>
      <c r="D30" s="3294"/>
      <c r="E30" s="2724"/>
      <c r="F30" s="2724"/>
      <c r="G30" s="2724"/>
      <c r="H30" s="2724"/>
      <c r="I30" s="2724"/>
      <c r="J30" s="2586"/>
      <c r="K30" s="3045"/>
      <c r="L30" s="3044"/>
      <c r="M30" s="3044"/>
      <c r="N30" s="2586"/>
      <c r="O30" s="2411"/>
      <c r="P30" s="2586"/>
      <c r="Q30" s="2586"/>
      <c r="R30" s="2586"/>
      <c r="S30" s="2586"/>
      <c r="T30" s="2586"/>
      <c r="U30" s="2586"/>
      <c r="V30" s="2586"/>
    </row>
    <row r="31" spans="1:28">
      <c r="A31" s="3297" t="s">
        <v>539</v>
      </c>
      <c r="B31" s="3028"/>
      <c r="C31" s="1082" t="str">
        <f>IF(B31="现房","成新及维护状况正常否",IF(B31="在建","工程状态是否正常",IF(B31="土地","是否闲置","-")))</f>
        <v>-</v>
      </c>
      <c r="D31" s="1047"/>
      <c r="E31" s="3029"/>
      <c r="F31" s="2724"/>
      <c r="G31" s="2724"/>
      <c r="H31" s="2724"/>
      <c r="I31" s="2724"/>
      <c r="J31" s="2586"/>
      <c r="K31" s="3043"/>
      <c r="L31" s="3044"/>
      <c r="M31" s="3044"/>
      <c r="N31" s="2586"/>
      <c r="O31" s="2411"/>
      <c r="P31" s="2586"/>
      <c r="Q31" s="2586"/>
      <c r="R31" s="2586"/>
      <c r="S31" s="2586"/>
      <c r="T31" s="2586"/>
      <c r="U31" s="2586"/>
      <c r="V31" s="2586"/>
    </row>
    <row r="32" spans="1:28">
      <c r="A32" s="3298"/>
      <c r="B32" s="3028"/>
      <c r="C32" s="1082" t="str">
        <f>IF(B32="现房","成新及维护状况是否正常",IF(B32="在建","工程状态是否正常",IF(B32="土地","是否闲置","-")))</f>
        <v>-</v>
      </c>
      <c r="D32" s="1047"/>
      <c r="E32" s="3029"/>
      <c r="F32" s="2724"/>
      <c r="G32" s="2724"/>
      <c r="H32" s="2724"/>
      <c r="I32" s="2724"/>
      <c r="J32" s="2586"/>
      <c r="K32" s="3045"/>
      <c r="L32" s="3044"/>
      <c r="M32" s="3044"/>
      <c r="N32" s="2586"/>
      <c r="O32" s="2411"/>
      <c r="P32" s="2586"/>
      <c r="Q32" s="2586"/>
      <c r="R32" s="2586"/>
      <c r="S32" s="2586"/>
      <c r="T32" s="2586"/>
      <c r="U32" s="2586"/>
      <c r="V32" s="2586"/>
    </row>
    <row r="33" spans="1:30">
      <c r="A33" s="3298"/>
      <c r="B33" s="3030"/>
      <c r="C33" s="2390" t="str">
        <f>IF(B33="现房","成新及维护状况是否正常",IF(B33="在建","工程状态是否正常",IF(B33="土地","是否闲置","-")))</f>
        <v>-</v>
      </c>
      <c r="D33" s="934"/>
      <c r="E33" s="3031"/>
      <c r="F33" s="2724"/>
      <c r="G33" s="2724"/>
      <c r="H33" s="2724"/>
      <c r="I33" s="2724"/>
      <c r="J33" s="2586"/>
      <c r="K33" s="3045"/>
      <c r="L33" s="3044"/>
      <c r="M33" s="3044"/>
      <c r="N33" s="2586"/>
      <c r="O33" s="2411"/>
      <c r="P33" s="2586"/>
      <c r="Q33" s="2586"/>
      <c r="R33" s="2586"/>
      <c r="S33" s="2586"/>
      <c r="T33" s="2586"/>
      <c r="U33" s="2586"/>
      <c r="V33" s="2586"/>
    </row>
    <row r="34" spans="1:30">
      <c r="A34" s="925" t="s">
        <v>540</v>
      </c>
      <c r="B34" s="539"/>
      <c r="C34" s="539"/>
      <c r="D34" s="539"/>
      <c r="E34" s="539"/>
      <c r="F34" s="539"/>
      <c r="G34" s="539"/>
      <c r="H34" s="539"/>
      <c r="I34" s="2724"/>
      <c r="J34" s="2586"/>
      <c r="K34" s="1239">
        <f>COUNTIF(B34:H34,"——")</f>
        <v>0</v>
      </c>
      <c r="L34" s="970" t="s">
        <v>541</v>
      </c>
      <c r="M34" s="970" t="s">
        <v>542</v>
      </c>
      <c r="N34" s="970" t="s">
        <v>543</v>
      </c>
      <c r="O34" s="970" t="s">
        <v>544</v>
      </c>
      <c r="P34" s="970" t="s">
        <v>545</v>
      </c>
      <c r="Q34" s="970" t="s">
        <v>546</v>
      </c>
      <c r="R34" s="970" t="s">
        <v>547</v>
      </c>
      <c r="S34" s="3288" t="s">
        <v>548</v>
      </c>
      <c r="T34" s="970" t="str">
        <f>NUMBERSTRING(7-K34,1)&amp;"通"</f>
        <v>七通</v>
      </c>
      <c r="U34" s="2586"/>
      <c r="V34" s="2586"/>
    </row>
    <row r="35" spans="1:30">
      <c r="A35" s="3032"/>
      <c r="B35" s="3288" t="s">
        <v>549</v>
      </c>
      <c r="C35" s="3288"/>
      <c r="D35" s="3288"/>
      <c r="E35" s="3288"/>
      <c r="F35" s="1239">
        <f>C10</f>
        <v>0</v>
      </c>
      <c r="G35" s="2724"/>
      <c r="H35" s="2724"/>
      <c r="I35" s="2724"/>
      <c r="J35" s="2586"/>
      <c r="K35" s="970"/>
      <c r="L35" s="970">
        <f>B34</f>
        <v>0</v>
      </c>
      <c r="M35" s="972" t="str">
        <f>B34&amp;"、"&amp;C34</f>
        <v>、</v>
      </c>
      <c r="N35" s="972" t="str">
        <f>B34&amp;"、"&amp;C34&amp;"、"&amp;D34</f>
        <v>、、</v>
      </c>
      <c r="O35" s="972" t="str">
        <f>B34&amp;"、"&amp;C34&amp;"、"&amp;D34&amp;"、"&amp;E34</f>
        <v>、、、</v>
      </c>
      <c r="P35" s="972" t="str">
        <f>B34&amp;"、"&amp;C34&amp;"、"&amp;D34&amp;"、"&amp;E34&amp;"、"&amp;F34</f>
        <v>、、、、</v>
      </c>
      <c r="Q35" s="972" t="str">
        <f>B34&amp;"、"&amp;C34&amp;"、"&amp;D34&amp;"、"&amp;E34&amp;"、"&amp;F34&amp;"、"&amp;G34</f>
        <v>、、、、、</v>
      </c>
      <c r="R35" s="972" t="str">
        <f>B34&amp;"、"&amp;C34&amp;"、"&amp;D34&amp;"、"&amp;E34&amp;"、"&amp;F34&amp;"、"&amp;G34&amp;"、"&amp;H34</f>
        <v>、、、、、、</v>
      </c>
      <c r="S35" s="3288"/>
      <c r="T35" s="972" t="str">
        <f>IF(T34="一通",L35,IF(T34="二通",M35,IF(T34="三通",N35,IF(T34="四通",O35,IF(T34="五通",P35,IF(T34="六通",Q35,R35))))))</f>
        <v>、、、、、、</v>
      </c>
      <c r="U35" s="2586"/>
      <c r="V35" s="2586"/>
    </row>
    <row r="36" spans="1:30">
      <c r="A36" s="3033"/>
      <c r="B36" s="1239" t="s">
        <v>496</v>
      </c>
      <c r="C36" s="1239" t="s">
        <v>497</v>
      </c>
      <c r="D36" s="1239" t="s">
        <v>495</v>
      </c>
      <c r="E36" s="1239" t="s">
        <v>500</v>
      </c>
      <c r="F36" s="3034" t="s">
        <v>231</v>
      </c>
      <c r="G36" s="2724"/>
      <c r="H36" s="2724"/>
      <c r="I36" s="2724"/>
      <c r="J36" s="2586"/>
      <c r="K36" s="3045"/>
      <c r="L36" s="3044"/>
      <c r="M36" s="3044"/>
      <c r="N36" s="2586"/>
      <c r="O36" s="2411"/>
      <c r="P36" s="2586"/>
      <c r="Q36" s="2586"/>
      <c r="R36" s="2586"/>
      <c r="S36" s="2586"/>
      <c r="T36" s="2586"/>
      <c r="U36" s="2586"/>
      <c r="V36" s="2586"/>
    </row>
    <row r="37" spans="1:30">
      <c r="A37" s="3035" t="s">
        <v>550</v>
      </c>
      <c r="B37" s="3036"/>
      <c r="C37" s="3036" t="s">
        <v>235</v>
      </c>
      <c r="D37" s="3036"/>
      <c r="E37" s="3036"/>
      <c r="F37" s="3036"/>
      <c r="G37" s="2724"/>
      <c r="H37" s="2724"/>
      <c r="I37" s="2724"/>
      <c r="J37" s="2586"/>
      <c r="K37" s="3045"/>
      <c r="L37" s="3044"/>
      <c r="M37" s="3044"/>
      <c r="N37" s="2586"/>
      <c r="O37" s="2411"/>
      <c r="P37" s="2586"/>
      <c r="Q37" s="2586"/>
      <c r="R37" s="2586"/>
      <c r="S37" s="2586"/>
      <c r="T37" s="2586"/>
      <c r="U37" s="2586"/>
      <c r="V37" s="2586"/>
    </row>
    <row r="38" spans="1:30">
      <c r="A38" s="3037" t="s">
        <v>551</v>
      </c>
      <c r="B38" s="3038"/>
      <c r="C38" s="3038" t="s">
        <v>552</v>
      </c>
      <c r="D38" s="3038"/>
      <c r="E38" s="3038"/>
      <c r="F38" s="3038"/>
      <c r="G38" s="2978"/>
      <c r="H38" s="2978"/>
      <c r="I38" s="2978"/>
      <c r="J38" s="2586"/>
      <c r="K38" s="3045"/>
      <c r="L38" s="3044"/>
      <c r="M38" s="3044"/>
      <c r="N38" s="2586"/>
      <c r="O38" s="2411"/>
      <c r="P38" s="2586"/>
      <c r="Q38" s="2586"/>
      <c r="R38" s="2586"/>
      <c r="S38" s="2586"/>
      <c r="T38" s="2586"/>
      <c r="U38" s="2586"/>
      <c r="V38" s="2586"/>
    </row>
    <row r="39" spans="1:30" s="2949" customFormat="1">
      <c r="A39" s="3039" t="s">
        <v>553</v>
      </c>
      <c r="B39" s="3040"/>
      <c r="C39" s="3040"/>
      <c r="D39" s="3040"/>
      <c r="E39" s="3040"/>
      <c r="F39" s="3040"/>
      <c r="G39" s="3040"/>
      <c r="H39" s="3040"/>
      <c r="I39" s="3040"/>
      <c r="J39" s="3054"/>
      <c r="K39" s="3055"/>
      <c r="L39" s="3054"/>
      <c r="M39" s="3054"/>
      <c r="N39" s="3054"/>
      <c r="O39" s="3056"/>
      <c r="P39" s="3054"/>
      <c r="Q39" s="3054"/>
      <c r="R39" s="3054"/>
      <c r="S39" s="3054"/>
      <c r="T39" s="3054"/>
      <c r="U39" s="3054"/>
      <c r="V39" s="3054"/>
      <c r="W39" s="3063"/>
      <c r="X39" s="3063"/>
      <c r="Y39" s="3063"/>
      <c r="Z39" s="3063"/>
      <c r="AA39" s="3063"/>
      <c r="AB39" s="3063"/>
      <c r="AC39" s="3063"/>
      <c r="AD39" s="3063"/>
    </row>
    <row r="40" spans="1:30">
      <c r="A40" s="2953"/>
      <c r="B40" s="2953"/>
      <c r="C40" s="2953"/>
      <c r="D40" s="2953"/>
      <c r="E40" s="2953"/>
      <c r="F40" s="2953"/>
      <c r="G40" s="2953"/>
      <c r="H40" s="2953"/>
      <c r="I40" s="2410"/>
      <c r="J40" s="2586"/>
      <c r="K40" s="3043"/>
      <c r="L40" s="2411"/>
      <c r="M40" s="2411"/>
      <c r="N40" s="2586"/>
      <c r="O40" s="2411"/>
      <c r="P40" s="2586"/>
      <c r="Q40" s="2586"/>
      <c r="R40" s="2586"/>
      <c r="S40" s="2586"/>
      <c r="T40" s="2586"/>
      <c r="U40" s="2586"/>
      <c r="V40" s="2586"/>
    </row>
    <row r="41" spans="1:30">
      <c r="A41" s="3041" t="s">
        <v>554</v>
      </c>
      <c r="B41" s="2299"/>
      <c r="C41" s="1047"/>
      <c r="D41" s="2953"/>
      <c r="E41" s="2953"/>
      <c r="F41" s="2953"/>
      <c r="G41" s="2953"/>
      <c r="H41" s="2953"/>
      <c r="I41" s="2410"/>
      <c r="J41" s="2586"/>
      <c r="K41" s="3045"/>
      <c r="L41" s="3044"/>
      <c r="M41" s="3044"/>
      <c r="N41" s="2586"/>
      <c r="O41" s="2411"/>
      <c r="P41" s="2586"/>
      <c r="Q41" s="2586"/>
      <c r="R41" s="2586"/>
      <c r="S41" s="2586"/>
      <c r="T41" s="2586"/>
      <c r="U41" s="2586"/>
      <c r="V41" s="2586"/>
    </row>
    <row r="42" spans="1:30" ht="25.5">
      <c r="A42" s="970" t="s">
        <v>555</v>
      </c>
      <c r="B42" s="1239" t="s">
        <v>556</v>
      </c>
      <c r="C42" s="1239" t="s">
        <v>557</v>
      </c>
      <c r="D42" s="1239" t="s">
        <v>558</v>
      </c>
      <c r="E42" s="1239" t="s">
        <v>559</v>
      </c>
      <c r="F42" s="1239" t="s">
        <v>560</v>
      </c>
      <c r="G42" s="1239" t="s">
        <v>561</v>
      </c>
      <c r="H42" s="1239" t="s">
        <v>562</v>
      </c>
      <c r="I42" s="1239" t="s">
        <v>563</v>
      </c>
      <c r="J42" s="3057" t="s">
        <v>564</v>
      </c>
      <c r="K42" s="3058" t="s">
        <v>565</v>
      </c>
      <c r="L42" s="3058" t="s">
        <v>566</v>
      </c>
      <c r="M42" s="3058" t="s">
        <v>567</v>
      </c>
      <c r="N42" s="3059" t="s">
        <v>568</v>
      </c>
      <c r="O42" s="3059" t="s">
        <v>569</v>
      </c>
      <c r="P42" s="3059" t="s">
        <v>570</v>
      </c>
      <c r="Q42" s="3064" t="s">
        <v>571</v>
      </c>
      <c r="R42" s="3064" t="s">
        <v>572</v>
      </c>
      <c r="S42" s="2586"/>
      <c r="T42" s="2586"/>
      <c r="U42" s="2586"/>
      <c r="V42" s="2586"/>
    </row>
    <row r="43" spans="1:30" s="2802" customFormat="1">
      <c r="A43" s="2896"/>
      <c r="B43" s="1201"/>
      <c r="C43" s="1201"/>
      <c r="D43" s="1201"/>
      <c r="E43" s="1201"/>
      <c r="F43" s="1201"/>
      <c r="G43" s="1201"/>
      <c r="H43" s="1201"/>
      <c r="I43" s="1201"/>
      <c r="J43" s="3060"/>
      <c r="K43" s="3061"/>
      <c r="L43" s="3061"/>
      <c r="M43" s="1201"/>
      <c r="N43" s="1201"/>
      <c r="O43" s="1201"/>
      <c r="P43" s="1201"/>
      <c r="Q43" s="1201"/>
      <c r="R43" s="1201"/>
      <c r="S43" s="2586"/>
      <c r="T43" s="2586"/>
      <c r="U43" s="2586"/>
      <c r="V43" s="2586"/>
    </row>
    <row r="44" spans="1:30" s="2802" customFormat="1">
      <c r="A44" s="2896"/>
      <c r="B44" s="2896"/>
      <c r="C44" s="1201"/>
      <c r="D44" s="1201"/>
      <c r="E44" s="1201"/>
      <c r="F44" s="1201"/>
      <c r="G44" s="1201"/>
      <c r="H44" s="1201"/>
      <c r="I44" s="1201"/>
      <c r="J44" s="3060"/>
      <c r="K44" s="3061"/>
      <c r="L44" s="3061"/>
      <c r="M44" s="1201"/>
      <c r="N44" s="1201"/>
      <c r="O44" s="1201"/>
      <c r="P44" s="1201"/>
      <c r="Q44" s="1201"/>
      <c r="R44" s="1201"/>
      <c r="S44" s="2586"/>
      <c r="T44" s="2586"/>
      <c r="U44" s="2586"/>
      <c r="V44" s="2586"/>
    </row>
    <row r="45" spans="1:30" s="2802" customFormat="1">
      <c r="A45" s="2896"/>
      <c r="B45" s="2896"/>
      <c r="C45" s="1201"/>
      <c r="D45" s="1201"/>
      <c r="E45" s="1201"/>
      <c r="F45" s="1201"/>
      <c r="G45" s="1201"/>
      <c r="H45" s="1201"/>
      <c r="I45" s="1201"/>
      <c r="J45" s="3060"/>
      <c r="K45" s="3061"/>
      <c r="L45" s="3061"/>
      <c r="M45" s="1201"/>
      <c r="N45" s="1201"/>
      <c r="O45" s="1201"/>
      <c r="P45" s="1201"/>
      <c r="Q45" s="1201"/>
      <c r="R45" s="1201"/>
      <c r="S45" s="2586"/>
      <c r="T45" s="2586"/>
      <c r="U45" s="2586"/>
      <c r="V45" s="2586"/>
    </row>
    <row r="46" spans="1:30" s="2802" customFormat="1">
      <c r="A46" s="2896"/>
      <c r="B46" s="2896"/>
      <c r="C46" s="1201"/>
      <c r="D46" s="1201"/>
      <c r="E46" s="1201"/>
      <c r="F46" s="1201"/>
      <c r="G46" s="1201"/>
      <c r="H46" s="1201"/>
      <c r="I46" s="1201"/>
      <c r="J46" s="3060"/>
      <c r="K46" s="3061"/>
      <c r="L46" s="3061"/>
      <c r="M46" s="1201"/>
      <c r="N46" s="1201"/>
      <c r="O46" s="1201"/>
      <c r="P46" s="1201"/>
      <c r="Q46" s="1201"/>
      <c r="R46" s="1201"/>
      <c r="S46" s="2586"/>
      <c r="T46" s="2586"/>
      <c r="U46" s="2586"/>
      <c r="V46" s="2586"/>
    </row>
    <row r="47" spans="1:30" s="2802" customFormat="1">
      <c r="A47" s="2896"/>
      <c r="B47" s="2896"/>
      <c r="C47" s="1201"/>
      <c r="D47" s="1201"/>
      <c r="E47" s="1201"/>
      <c r="F47" s="1201"/>
      <c r="G47" s="1201"/>
      <c r="H47" s="1201"/>
      <c r="I47" s="1201"/>
      <c r="J47" s="3060"/>
      <c r="K47" s="3061"/>
      <c r="L47" s="3061"/>
      <c r="M47" s="1201"/>
      <c r="N47" s="1201"/>
      <c r="O47" s="1201"/>
      <c r="P47" s="1201"/>
      <c r="Q47" s="1201"/>
      <c r="R47" s="1201"/>
      <c r="S47" s="2586"/>
      <c r="T47" s="2586"/>
      <c r="U47" s="2586"/>
      <c r="V47" s="2586"/>
    </row>
    <row r="48" spans="1:30" s="2802" customFormat="1">
      <c r="A48" s="2896"/>
      <c r="B48" s="2896"/>
      <c r="C48" s="1201"/>
      <c r="D48" s="1201"/>
      <c r="E48" s="1201"/>
      <c r="F48" s="1201"/>
      <c r="G48" s="1201"/>
      <c r="H48" s="1201"/>
      <c r="I48" s="1201"/>
      <c r="J48" s="3060"/>
      <c r="K48" s="3061"/>
      <c r="L48" s="3061"/>
      <c r="M48" s="1201"/>
      <c r="N48" s="1201"/>
      <c r="O48" s="1201"/>
      <c r="P48" s="1201"/>
      <c r="Q48" s="1201"/>
      <c r="R48" s="1201"/>
      <c r="S48" s="2586"/>
      <c r="T48" s="2586"/>
      <c r="U48" s="2586"/>
      <c r="V48" s="2586"/>
    </row>
    <row r="49" spans="1:22" s="2802" customFormat="1">
      <c r="A49" s="2896"/>
      <c r="B49" s="2896"/>
      <c r="C49" s="1201"/>
      <c r="D49" s="1201"/>
      <c r="E49" s="1201"/>
      <c r="F49" s="1201"/>
      <c r="G49" s="1201"/>
      <c r="H49" s="1201"/>
      <c r="I49" s="1201"/>
      <c r="J49" s="3060"/>
      <c r="K49" s="3061"/>
      <c r="L49" s="3061"/>
      <c r="M49" s="1201"/>
      <c r="N49" s="1201"/>
      <c r="O49" s="1201"/>
      <c r="P49" s="1201"/>
      <c r="Q49" s="1201"/>
      <c r="R49" s="1201"/>
      <c r="S49" s="2586"/>
      <c r="T49" s="2586"/>
      <c r="U49" s="2586"/>
      <c r="V49" s="2586"/>
    </row>
    <row r="50" spans="1:22" s="2802" customFormat="1">
      <c r="A50" s="2896"/>
      <c r="B50" s="2896"/>
      <c r="C50" s="1201"/>
      <c r="D50" s="1201"/>
      <c r="E50" s="1201"/>
      <c r="F50" s="1201"/>
      <c r="G50" s="1201"/>
      <c r="H50" s="1201"/>
      <c r="I50" s="1201"/>
      <c r="J50" s="3060"/>
      <c r="K50" s="3061"/>
      <c r="L50" s="3061"/>
      <c r="M50" s="1201"/>
      <c r="N50" s="1201"/>
      <c r="O50" s="1201"/>
      <c r="P50" s="1201"/>
      <c r="Q50" s="1201"/>
      <c r="R50" s="1201"/>
      <c r="S50" s="2586"/>
      <c r="T50" s="2586"/>
      <c r="U50" s="2586"/>
      <c r="V50" s="2586"/>
    </row>
    <row r="51" spans="1:22" s="2802" customFormat="1">
      <c r="A51" s="2896"/>
      <c r="B51" s="2896"/>
      <c r="C51" s="1201"/>
      <c r="D51" s="1201"/>
      <c r="E51" s="1201"/>
      <c r="F51" s="1201"/>
      <c r="G51" s="1201"/>
      <c r="H51" s="1201"/>
      <c r="I51" s="1201"/>
      <c r="J51" s="3060"/>
      <c r="K51" s="3061"/>
      <c r="L51" s="3061"/>
      <c r="M51" s="1201"/>
      <c r="N51" s="1201"/>
      <c r="O51" s="1201"/>
      <c r="P51" s="1201"/>
      <c r="Q51" s="1201"/>
      <c r="R51" s="1201"/>
    </row>
    <row r="52" spans="1:22" s="2802" customFormat="1">
      <c r="A52" s="2896"/>
      <c r="B52" s="2896"/>
      <c r="C52" s="2896"/>
      <c r="D52" s="2896"/>
      <c r="E52" s="2896"/>
      <c r="F52" s="1201"/>
      <c r="G52" s="2896"/>
      <c r="H52" s="2896"/>
      <c r="I52" s="2896"/>
      <c r="J52" s="3062"/>
      <c r="K52" s="3061"/>
      <c r="L52" s="3061"/>
      <c r="M52" s="3061"/>
      <c r="N52" s="2896"/>
      <c r="O52" s="2896"/>
      <c r="P52" s="2896"/>
      <c r="Q52" s="2896"/>
      <c r="R52" s="2896"/>
    </row>
    <row r="53" spans="1:22" s="2802" customFormat="1">
      <c r="A53" s="2896"/>
      <c r="B53" s="2896"/>
      <c r="C53" s="2896"/>
      <c r="D53" s="2896"/>
      <c r="E53" s="2896"/>
      <c r="F53" s="1201"/>
      <c r="G53" s="2896"/>
      <c r="H53" s="2896"/>
      <c r="I53" s="2896"/>
      <c r="J53" s="3062"/>
      <c r="K53" s="3061"/>
      <c r="L53" s="3061"/>
      <c r="M53" s="3061"/>
      <c r="N53" s="2896"/>
      <c r="O53" s="2896"/>
      <c r="P53" s="2896"/>
      <c r="Q53" s="2896"/>
      <c r="R53" s="2896"/>
    </row>
    <row r="54" spans="1:22" s="2802" customFormat="1">
      <c r="A54" s="2896"/>
      <c r="B54" s="2896"/>
      <c r="C54" s="2896"/>
      <c r="D54" s="2896"/>
      <c r="E54" s="2896"/>
      <c r="F54" s="1201"/>
      <c r="G54" s="2896"/>
      <c r="H54" s="2896"/>
      <c r="I54" s="2896"/>
      <c r="J54" s="3062"/>
      <c r="K54" s="3061"/>
      <c r="L54" s="3061"/>
      <c r="M54" s="3061"/>
      <c r="N54" s="2896"/>
      <c r="O54" s="2896"/>
      <c r="P54" s="2896"/>
      <c r="Q54" s="2896"/>
      <c r="R54" s="2896"/>
    </row>
    <row r="55" spans="1:22" s="2802" customFormat="1">
      <c r="A55" s="2896"/>
      <c r="B55" s="2896"/>
      <c r="C55" s="2896"/>
      <c r="D55" s="2896"/>
      <c r="E55" s="2896"/>
      <c r="F55" s="1201"/>
      <c r="G55" s="2896"/>
      <c r="H55" s="2896"/>
      <c r="I55" s="2896"/>
      <c r="J55" s="3062"/>
      <c r="K55" s="3061"/>
      <c r="L55" s="3061"/>
      <c r="M55" s="3061"/>
      <c r="N55" s="2896"/>
      <c r="O55" s="2896"/>
      <c r="P55" s="2896"/>
      <c r="Q55" s="2896"/>
      <c r="R55" s="2896"/>
    </row>
    <row r="56" spans="1:22" s="2802" customFormat="1">
      <c r="A56" s="2896"/>
      <c r="B56" s="2896"/>
      <c r="C56" s="2896"/>
      <c r="D56" s="2896"/>
      <c r="E56" s="2896"/>
      <c r="F56" s="1201"/>
      <c r="G56" s="2896"/>
      <c r="H56" s="2896"/>
      <c r="I56" s="2896"/>
      <c r="J56" s="3062"/>
      <c r="K56" s="3061"/>
      <c r="L56" s="3061"/>
      <c r="M56" s="3061"/>
      <c r="N56" s="2896"/>
      <c r="O56" s="2896"/>
      <c r="P56" s="2896"/>
      <c r="Q56" s="2896"/>
      <c r="R56" s="289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C32" sqref="AC32"/>
    </sheetView>
  </sheetViews>
  <sheetFormatPr defaultColWidth="8.875" defaultRowHeight="14.25"/>
  <cols>
    <col min="1" max="1" width="10.625" style="2869" customWidth="1"/>
    <col min="2" max="2" width="11" style="2869" customWidth="1"/>
    <col min="3" max="3" width="10.375" style="2869" customWidth="1"/>
    <col min="4" max="4" width="9.125" style="2869" customWidth="1"/>
    <col min="5" max="8" width="10" style="2869" customWidth="1"/>
    <col min="9" max="9" width="10.625" style="2869" customWidth="1"/>
    <col min="10" max="10" width="9.5" style="2869" customWidth="1"/>
    <col min="11" max="11" width="11" style="2869" customWidth="1"/>
    <col min="12" max="12" width="9.5" style="2869" customWidth="1"/>
    <col min="13" max="14" width="9.5" style="2869" hidden="1" customWidth="1"/>
    <col min="15" max="15" width="9.875" style="2869" hidden="1" customWidth="1"/>
    <col min="16" max="16" width="9.75" style="2869" hidden="1" customWidth="1"/>
    <col min="17" max="17" width="9.375" style="2869" hidden="1" customWidth="1"/>
    <col min="18" max="18" width="9.25" style="2869" hidden="1" customWidth="1"/>
    <col min="19" max="19" width="10.875" style="2869" hidden="1" customWidth="1"/>
    <col min="20" max="21" width="10.75" style="2869" hidden="1" customWidth="1"/>
    <col min="22" max="22" width="10.875" style="2869" hidden="1" customWidth="1"/>
    <col min="23" max="27" width="10.75" style="2869" hidden="1" customWidth="1"/>
    <col min="28" max="28" width="10.875" style="2869" hidden="1" customWidth="1"/>
    <col min="29" max="29" width="11" style="2869" customWidth="1"/>
    <col min="30" max="30" width="10" style="2869" customWidth="1"/>
    <col min="31" max="31" width="9.75" style="2869" customWidth="1"/>
    <col min="32" max="46" width="9.5" style="2869" customWidth="1"/>
    <col min="47" max="47" width="18.125" style="2869" customWidth="1"/>
    <col min="48" max="50" width="9.75" style="2869" customWidth="1"/>
    <col min="51" max="55" width="10.5" style="2869" customWidth="1"/>
    <col min="56" max="56" width="9.5" style="2869" customWidth="1"/>
    <col min="57" max="63" width="9.125" style="2869" customWidth="1"/>
    <col min="64" max="64" width="9.5" style="2869" customWidth="1"/>
    <col min="65" max="65" width="9.125" style="2869" customWidth="1"/>
    <col min="66" max="66" width="9.5" style="2869" customWidth="1"/>
    <col min="67" max="69" width="9.125" style="2869" customWidth="1"/>
    <col min="70" max="70" width="9.5" style="2869" customWidth="1"/>
    <col min="71" max="71" width="9" style="2869" customWidth="1"/>
    <col min="72" max="72" width="9.125" style="2869" customWidth="1"/>
    <col min="73" max="16384" width="8.875" style="2869"/>
  </cols>
  <sheetData>
    <row r="1" spans="1:72" ht="20.25">
      <c r="A1" s="2373" t="s">
        <v>573</v>
      </c>
      <c r="B1" s="2870"/>
      <c r="C1" s="2870"/>
      <c r="D1" s="2870"/>
      <c r="E1" s="2870"/>
      <c r="F1" s="2870"/>
      <c r="G1" s="2870"/>
      <c r="H1" s="2870"/>
      <c r="I1" s="2870"/>
      <c r="J1" s="2870"/>
      <c r="K1" s="2870"/>
      <c r="L1" s="2870"/>
      <c r="M1" s="2870"/>
      <c r="N1" s="2870"/>
      <c r="O1" s="2870"/>
      <c r="P1" s="2870"/>
      <c r="Q1" s="2870"/>
      <c r="R1" s="2870"/>
      <c r="S1" s="2870"/>
      <c r="T1" s="2870"/>
      <c r="U1" s="2870"/>
      <c r="V1" s="2870"/>
      <c r="W1" s="2870"/>
      <c r="X1" s="2870"/>
      <c r="Y1" s="2870"/>
      <c r="Z1" s="2870"/>
      <c r="AA1" s="2870"/>
      <c r="AB1" s="2870"/>
      <c r="AC1" s="2870"/>
      <c r="AD1" s="2870"/>
      <c r="AE1" s="2870"/>
      <c r="AF1" s="2870"/>
      <c r="AG1" s="2870"/>
      <c r="AH1" s="2870"/>
      <c r="AI1" s="2870"/>
      <c r="AJ1" s="2870"/>
      <c r="AK1" s="2870"/>
      <c r="AL1" s="2870"/>
      <c r="AM1" s="2870"/>
      <c r="AN1" s="2870"/>
      <c r="AO1" s="2870"/>
      <c r="AP1" s="2870"/>
      <c r="AQ1" s="2870"/>
      <c r="AR1" s="2870"/>
      <c r="AS1" s="2870"/>
      <c r="AT1" s="2870"/>
      <c r="AU1" s="2870"/>
      <c r="AV1" s="2920" t="s">
        <v>574</v>
      </c>
      <c r="AW1" s="2870"/>
      <c r="AX1" s="2870"/>
      <c r="AY1" s="2870"/>
      <c r="AZ1" s="2870"/>
      <c r="BA1" s="2870"/>
      <c r="BB1" s="2870"/>
      <c r="BC1" s="2870"/>
      <c r="BD1" s="2870"/>
      <c r="BE1" s="2870"/>
      <c r="BF1" s="2870"/>
      <c r="BG1" s="2870"/>
      <c r="BH1" s="2870"/>
      <c r="BI1" s="2870"/>
      <c r="BJ1" s="2870"/>
      <c r="BK1" s="2870"/>
      <c r="BL1" s="2870"/>
      <c r="BM1" s="2870"/>
      <c r="BN1" s="2870"/>
      <c r="BO1" s="2870"/>
      <c r="BP1" s="2870"/>
      <c r="BQ1" s="2870"/>
      <c r="BR1" s="2870"/>
      <c r="BS1" s="2870"/>
      <c r="BT1" s="2870"/>
    </row>
    <row r="2" spans="1:72" s="2866" customFormat="1" ht="24">
      <c r="A2" s="1239" t="s">
        <v>512</v>
      </c>
      <c r="B2" s="1239" t="s">
        <v>508</v>
      </c>
      <c r="C2" s="1239" t="s">
        <v>575</v>
      </c>
      <c r="D2" s="2410"/>
      <c r="E2" s="2371"/>
      <c r="F2" s="2410"/>
      <c r="G2" s="2410"/>
      <c r="H2" s="2410"/>
      <c r="I2" s="2410"/>
      <c r="J2" s="2410"/>
      <c r="K2" s="2410"/>
      <c r="L2" s="2410"/>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410"/>
      <c r="AO2" s="2410"/>
      <c r="AP2" s="2410"/>
      <c r="AQ2" s="2410"/>
      <c r="AR2" s="2410"/>
      <c r="AS2" s="2410"/>
      <c r="AT2" s="2410"/>
      <c r="AU2" s="2410"/>
      <c r="AV2" s="2410"/>
      <c r="AW2" s="2410"/>
      <c r="AX2" s="2410"/>
      <c r="AY2" s="2928" t="s">
        <v>576</v>
      </c>
      <c r="AZ2" s="2929" t="s">
        <v>577</v>
      </c>
      <c r="BA2" s="1239" t="s">
        <v>578</v>
      </c>
      <c r="BB2" s="2410"/>
      <c r="BC2" s="2410"/>
      <c r="BD2" s="2410"/>
      <c r="BE2" s="2410"/>
      <c r="BF2" s="2410"/>
      <c r="BG2" s="2410"/>
      <c r="BH2" s="2410"/>
      <c r="BI2" s="2410"/>
      <c r="BJ2" s="2410"/>
      <c r="BK2" s="2410"/>
      <c r="BL2" s="2410"/>
      <c r="BM2" s="2410"/>
      <c r="BN2" s="2410"/>
      <c r="BO2" s="2410"/>
      <c r="BP2" s="2410"/>
      <c r="BQ2" s="2410"/>
      <c r="BR2" s="2410"/>
      <c r="BS2" s="2410"/>
      <c r="BT2" s="2410"/>
    </row>
    <row r="3" spans="1:72" s="2866" customFormat="1" ht="12.75">
      <c r="A3" s="2871">
        <v>12590.6</v>
      </c>
      <c r="B3" s="2872">
        <f>IF(C3="否",G5-AT5,G5)</f>
        <v>65221.919999999998</v>
      </c>
      <c r="C3" s="2873" t="s">
        <v>579</v>
      </c>
      <c r="D3" s="2410"/>
      <c r="E3" s="2410"/>
      <c r="F3" s="2410"/>
      <c r="G3" s="2410"/>
      <c r="H3" s="2410"/>
      <c r="I3" s="2410"/>
      <c r="J3" s="2410"/>
      <c r="K3" s="2410"/>
      <c r="L3" s="2410"/>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410"/>
      <c r="AO3" s="2410"/>
      <c r="AP3" s="2410"/>
      <c r="AQ3" s="2410"/>
      <c r="AR3" s="2410"/>
      <c r="AS3" s="2410"/>
      <c r="AT3" s="2410"/>
      <c r="AU3" s="2410"/>
      <c r="AV3" s="2410"/>
      <c r="AW3" s="2410"/>
      <c r="AX3" s="2410"/>
      <c r="AY3" s="2930"/>
      <c r="AZ3" s="1201"/>
      <c r="BA3" s="2917"/>
      <c r="BB3" s="2410"/>
      <c r="BC3" s="2410"/>
      <c r="BD3" s="2410"/>
      <c r="BE3" s="2410"/>
      <c r="BF3" s="2410"/>
      <c r="BG3" s="2410"/>
      <c r="BH3" s="2410"/>
      <c r="BI3" s="2410"/>
      <c r="BJ3" s="2410"/>
      <c r="BK3" s="2410"/>
      <c r="BL3" s="2410"/>
      <c r="BM3" s="2410"/>
      <c r="BN3" s="2410"/>
      <c r="BO3" s="2410"/>
      <c r="BP3" s="2410"/>
      <c r="BQ3" s="2410"/>
      <c r="BR3" s="2410"/>
      <c r="BS3" s="2410"/>
      <c r="BT3" s="2410"/>
    </row>
    <row r="4" spans="1:72" s="2866" customFormat="1" ht="12.75">
      <c r="A4" s="570"/>
      <c r="B4" s="2874"/>
      <c r="C4" s="2875"/>
      <c r="D4" s="2410"/>
      <c r="E4" s="2410"/>
      <c r="F4" s="2410"/>
      <c r="G4" s="2410"/>
      <c r="H4" s="2410"/>
      <c r="I4" s="2410"/>
      <c r="J4" s="2410"/>
      <c r="K4" s="2410"/>
      <c r="L4" s="2410"/>
      <c r="M4" s="2410"/>
      <c r="N4" s="2410"/>
      <c r="O4" s="2410"/>
      <c r="P4" s="2410"/>
      <c r="Q4" s="2410"/>
      <c r="R4" s="2410"/>
      <c r="S4" s="2410"/>
      <c r="T4" s="2410"/>
      <c r="U4" s="2410"/>
      <c r="V4" s="2410"/>
      <c r="W4" s="2410"/>
      <c r="X4" s="2410"/>
      <c r="Y4" s="2410"/>
      <c r="Z4" s="2410"/>
      <c r="AA4" s="2410"/>
      <c r="AB4" s="2410"/>
      <c r="AC4" s="2410"/>
      <c r="AD4" s="2410"/>
      <c r="AE4" s="2410"/>
      <c r="AF4" s="2410"/>
      <c r="AG4" s="2410"/>
      <c r="AH4" s="2410"/>
      <c r="AI4" s="2410"/>
      <c r="AJ4" s="2410"/>
      <c r="AK4" s="2410"/>
      <c r="AL4" s="2410"/>
      <c r="AM4" s="2410"/>
      <c r="AN4" s="2410"/>
      <c r="AO4" s="2410"/>
      <c r="AP4" s="2410"/>
      <c r="AQ4" s="2410"/>
      <c r="AR4" s="2410"/>
      <c r="AS4" s="2410"/>
      <c r="AT4" s="2410"/>
      <c r="AU4" s="2410"/>
      <c r="AV4" s="2410"/>
      <c r="AW4" s="2410"/>
      <c r="AX4" s="2410"/>
      <c r="AY4" s="2410"/>
      <c r="AZ4" s="2410"/>
      <c r="BA4" s="2931"/>
      <c r="BB4" s="2410"/>
      <c r="BC4" s="2410"/>
      <c r="BD4" s="2410"/>
      <c r="BE4" s="2410"/>
      <c r="BF4" s="2410"/>
      <c r="BG4" s="2410"/>
      <c r="BH4" s="2410"/>
      <c r="BI4" s="2410"/>
      <c r="BJ4" s="2410"/>
      <c r="BK4" s="2410"/>
      <c r="BL4" s="2410"/>
      <c r="BM4" s="2410"/>
      <c r="BN4" s="2410"/>
      <c r="BO4" s="2410"/>
      <c r="BP4" s="2410"/>
      <c r="BQ4" s="2410"/>
      <c r="BR4" s="2410"/>
      <c r="BS4" s="2410"/>
      <c r="BT4" s="2410"/>
    </row>
    <row r="5" spans="1:72" s="2866" customFormat="1" ht="12.75">
      <c r="A5" s="1082" t="s">
        <v>580</v>
      </c>
      <c r="B5" s="2297"/>
      <c r="C5" s="2297"/>
      <c r="D5" s="2420"/>
      <c r="E5" s="2876" t="s">
        <v>124</v>
      </c>
      <c r="F5" s="2876">
        <f>SUM(F13:F587)</f>
        <v>0</v>
      </c>
      <c r="G5" s="2876">
        <f>SUM(G13:G587)</f>
        <v>65221.919999999998</v>
      </c>
      <c r="H5" s="2876">
        <f t="shared" ref="H5:AT5" si="0">SUM(H13:H656)</f>
        <v>64848.28</v>
      </c>
      <c r="I5" s="2876">
        <f t="shared" si="0"/>
        <v>54071.78</v>
      </c>
      <c r="J5" s="2876">
        <f t="shared" si="0"/>
        <v>0</v>
      </c>
      <c r="K5" s="2876">
        <f t="shared" si="0"/>
        <v>10776.5</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373.64</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373.64</v>
      </c>
      <c r="AM5" s="2876">
        <f t="shared" si="0"/>
        <v>0</v>
      </c>
      <c r="AN5" s="2876">
        <f t="shared" si="0"/>
        <v>0</v>
      </c>
      <c r="AO5" s="2876">
        <f t="shared" si="0"/>
        <v>0</v>
      </c>
      <c r="AP5" s="2876">
        <f t="shared" si="0"/>
        <v>0</v>
      </c>
      <c r="AQ5" s="2876">
        <f t="shared" si="0"/>
        <v>0</v>
      </c>
      <c r="AR5" s="2876">
        <f t="shared" si="0"/>
        <v>0</v>
      </c>
      <c r="AS5" s="2876">
        <f t="shared" si="0"/>
        <v>0</v>
      </c>
      <c r="AT5" s="2876">
        <f t="shared" si="0"/>
        <v>0</v>
      </c>
      <c r="AU5" s="2296"/>
      <c r="AV5" s="1082" t="s">
        <v>580</v>
      </c>
      <c r="AW5" s="2297"/>
      <c r="AX5" s="2297"/>
      <c r="AY5" s="1196" t="s">
        <v>124</v>
      </c>
      <c r="AZ5" s="2932">
        <f t="shared" ref="AZ5:BT5" si="1">SUM(AZ13:AZ656)</f>
        <v>65221.919999999998</v>
      </c>
      <c r="BA5" s="2932">
        <f t="shared" si="1"/>
        <v>64848.28</v>
      </c>
      <c r="BB5" s="2932">
        <f t="shared" si="1"/>
        <v>54071.78</v>
      </c>
      <c r="BC5" s="2932">
        <f t="shared" si="1"/>
        <v>10776.5</v>
      </c>
      <c r="BD5" s="2932">
        <f t="shared" si="1"/>
        <v>0</v>
      </c>
      <c r="BE5" s="2932">
        <f t="shared" si="1"/>
        <v>0</v>
      </c>
      <c r="BF5" s="2932">
        <f t="shared" si="1"/>
        <v>0</v>
      </c>
      <c r="BG5" s="2932">
        <f t="shared" si="1"/>
        <v>0</v>
      </c>
      <c r="BH5" s="2932">
        <f t="shared" si="1"/>
        <v>0</v>
      </c>
      <c r="BI5" s="2932">
        <f t="shared" si="1"/>
        <v>0</v>
      </c>
      <c r="BJ5" s="2932">
        <f t="shared" si="1"/>
        <v>0</v>
      </c>
      <c r="BK5" s="2932">
        <f t="shared" si="1"/>
        <v>0</v>
      </c>
      <c r="BL5" s="2932">
        <f t="shared" si="1"/>
        <v>373.64</v>
      </c>
      <c r="BM5" s="2932">
        <f t="shared" si="1"/>
        <v>0</v>
      </c>
      <c r="BN5" s="2932">
        <f t="shared" si="1"/>
        <v>0</v>
      </c>
      <c r="BO5" s="2932">
        <f t="shared" si="1"/>
        <v>0</v>
      </c>
      <c r="BP5" s="2932">
        <f t="shared" si="1"/>
        <v>0</v>
      </c>
      <c r="BQ5" s="2932">
        <f t="shared" si="1"/>
        <v>373.64</v>
      </c>
      <c r="BR5" s="2932">
        <f t="shared" si="1"/>
        <v>0</v>
      </c>
      <c r="BS5" s="2932">
        <f t="shared" si="1"/>
        <v>0</v>
      </c>
      <c r="BT5" s="2940">
        <f t="shared" si="1"/>
        <v>0</v>
      </c>
    </row>
    <row r="6" spans="1:72" s="2867" customFormat="1" ht="12.75">
      <c r="A6" s="1082" t="s">
        <v>581</v>
      </c>
      <c r="B6" s="2877"/>
      <c r="C6" s="2877"/>
      <c r="D6" s="2878"/>
      <c r="E6" s="2876">
        <f>H6+AC6+AT6</f>
        <v>12590.599999999999</v>
      </c>
      <c r="F6" s="2876" t="s">
        <v>124</v>
      </c>
      <c r="G6" s="2876" t="s">
        <v>124</v>
      </c>
      <c r="H6" s="2879">
        <f>SUMIF(I$12:AB$12,"总值",I6:AB6)</f>
        <v>12518.47</v>
      </c>
      <c r="I6" s="2876">
        <f t="shared" ref="I6:AB6" si="2">ROUND($A$3*I5/$B$3,2)</f>
        <v>10438.15</v>
      </c>
      <c r="J6" s="2876">
        <f t="shared" si="2"/>
        <v>0</v>
      </c>
      <c r="K6" s="2876">
        <f t="shared" si="2"/>
        <v>2080.3200000000002</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72.13</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72.13</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082" t="s">
        <v>581</v>
      </c>
      <c r="AW6" s="2877"/>
      <c r="AX6" s="2877"/>
      <c r="AY6" s="2933">
        <f>IF(AY3&gt;0,AY3,ROUND($A$3*AZ5/$B$3,2))</f>
        <v>12590.6</v>
      </c>
      <c r="AZ6" s="2876" t="s">
        <v>124</v>
      </c>
      <c r="BA6" s="2876">
        <f>ROUND($AY$6*BA5/$AZ$5,2)</f>
        <v>12518.47</v>
      </c>
      <c r="BB6" s="2876">
        <f>ROUND($AY$6*BB5/$AZ$5,2)</f>
        <v>10438.15</v>
      </c>
      <c r="BC6" s="2876">
        <f t="shared" ref="BC6:BH6" si="4">ROUND($AY$6*BC5/$AZ$5,2)</f>
        <v>2080.3200000000002</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72.13</v>
      </c>
      <c r="BM6" s="2876">
        <f t="shared" si="5"/>
        <v>0</v>
      </c>
      <c r="BN6" s="2876">
        <f t="shared" si="5"/>
        <v>0</v>
      </c>
      <c r="BO6" s="2876">
        <f t="shared" si="5"/>
        <v>0</v>
      </c>
      <c r="BP6" s="2876">
        <f t="shared" si="5"/>
        <v>0</v>
      </c>
      <c r="BQ6" s="2876">
        <f t="shared" si="5"/>
        <v>72.13</v>
      </c>
      <c r="BR6" s="2876">
        <f t="shared" si="5"/>
        <v>0</v>
      </c>
      <c r="BS6" s="2876">
        <f t="shared" si="5"/>
        <v>0</v>
      </c>
      <c r="BT6" s="2941">
        <f t="shared" si="5"/>
        <v>0</v>
      </c>
    </row>
    <row r="7" spans="1:72" s="2866" customFormat="1" ht="24.75">
      <c r="A7" s="2880" t="s">
        <v>582</v>
      </c>
      <c r="B7" s="2880" t="s">
        <v>583</v>
      </c>
      <c r="C7" s="2880" t="s">
        <v>556</v>
      </c>
      <c r="D7" s="2880" t="s">
        <v>584</v>
      </c>
      <c r="E7" s="2880" t="s">
        <v>581</v>
      </c>
      <c r="F7" s="2880" t="s">
        <v>585</v>
      </c>
      <c r="G7" s="2390" t="s">
        <v>586</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420"/>
      <c r="AU7" s="2881" t="s">
        <v>587</v>
      </c>
      <c r="AV7" s="2922" t="s">
        <v>582</v>
      </c>
      <c r="AW7" s="2410" t="s">
        <v>583</v>
      </c>
      <c r="AX7" s="2922" t="s">
        <v>556</v>
      </c>
      <c r="AY7" s="2297" t="s">
        <v>588</v>
      </c>
      <c r="AZ7" s="2913"/>
      <c r="BA7" s="2881"/>
      <c r="BB7" s="2881"/>
      <c r="BC7" s="2881"/>
      <c r="BD7" s="2881"/>
      <c r="BE7" s="2881"/>
      <c r="BF7" s="2881"/>
      <c r="BG7" s="2881"/>
      <c r="BH7" s="2881"/>
      <c r="BI7" s="2881"/>
      <c r="BJ7" s="2881"/>
      <c r="BK7" s="2881"/>
      <c r="BL7" s="2881"/>
      <c r="BM7" s="2881"/>
      <c r="BN7" s="2881"/>
      <c r="BO7" s="2881"/>
      <c r="BP7" s="2881"/>
      <c r="BQ7" s="2881"/>
      <c r="BR7" s="2881"/>
      <c r="BS7" s="2881"/>
      <c r="BT7" s="2942"/>
    </row>
    <row r="8" spans="1:72" s="2627" customFormat="1" ht="24">
      <c r="A8" s="2882"/>
      <c r="B8" s="2882"/>
      <c r="C8" s="2882"/>
      <c r="D8" s="2882"/>
      <c r="E8" s="2882"/>
      <c r="F8" s="2882"/>
      <c r="G8" s="2883" t="s">
        <v>589</v>
      </c>
      <c r="H8" s="2884" t="s">
        <v>590</v>
      </c>
      <c r="I8" s="2902"/>
      <c r="J8" s="969"/>
      <c r="K8" s="969"/>
      <c r="L8" s="969"/>
      <c r="M8" s="969"/>
      <c r="N8" s="969"/>
      <c r="O8" s="969"/>
      <c r="P8" s="969"/>
      <c r="Q8" s="969"/>
      <c r="R8" s="969"/>
      <c r="S8" s="969"/>
      <c r="T8" s="969"/>
      <c r="U8" s="969"/>
      <c r="V8" s="2909"/>
      <c r="W8" s="969"/>
      <c r="X8" s="969"/>
      <c r="Y8" s="969"/>
      <c r="Z8" s="969"/>
      <c r="AA8" s="2909"/>
      <c r="AB8" s="2911"/>
      <c r="AC8" s="2153" t="s">
        <v>591</v>
      </c>
      <c r="AD8" s="2912"/>
      <c r="AE8" s="2913"/>
      <c r="AF8" s="969"/>
      <c r="AG8" s="969"/>
      <c r="AH8" s="969"/>
      <c r="AI8" s="969"/>
      <c r="AJ8" s="969"/>
      <c r="AK8" s="969"/>
      <c r="AL8" s="969"/>
      <c r="AM8" s="969"/>
      <c r="AN8" s="969"/>
      <c r="AO8" s="969"/>
      <c r="AP8" s="969"/>
      <c r="AQ8" s="969"/>
      <c r="AR8" s="969"/>
      <c r="AS8" s="969"/>
      <c r="AT8" s="918" t="s">
        <v>592</v>
      </c>
      <c r="AU8" s="2882" t="s">
        <v>593</v>
      </c>
      <c r="AV8" s="918"/>
      <c r="AW8" s="2371"/>
      <c r="AX8" s="918"/>
      <c r="AY8" s="2410" t="s">
        <v>581</v>
      </c>
      <c r="AZ8" s="1025" t="s">
        <v>508</v>
      </c>
      <c r="BA8" s="969"/>
      <c r="BB8" s="969"/>
      <c r="BC8" s="969"/>
      <c r="BD8" s="969"/>
      <c r="BE8" s="969"/>
      <c r="BF8" s="969"/>
      <c r="BG8" s="969"/>
      <c r="BH8" s="969"/>
      <c r="BI8" s="969"/>
      <c r="BJ8" s="969"/>
      <c r="BK8" s="969"/>
      <c r="BL8" s="969"/>
      <c r="BM8" s="969"/>
      <c r="BN8" s="969"/>
      <c r="BO8" s="969"/>
      <c r="BP8" s="969"/>
      <c r="BQ8" s="969"/>
      <c r="BR8" s="969"/>
      <c r="BS8" s="969"/>
      <c r="BT8" s="967"/>
    </row>
    <row r="9" spans="1:72" s="2627" customFormat="1" ht="12.75">
      <c r="A9" s="2882"/>
      <c r="B9" s="2882"/>
      <c r="C9" s="2882"/>
      <c r="D9" s="2882"/>
      <c r="E9" s="2882"/>
      <c r="F9" s="2882"/>
      <c r="G9" s="918"/>
      <c r="H9" s="2885" t="s">
        <v>594</v>
      </c>
      <c r="I9" s="2903" t="s">
        <v>470</v>
      </c>
      <c r="J9" s="2153"/>
      <c r="K9" s="2903" t="s">
        <v>471</v>
      </c>
      <c r="L9" s="2153"/>
      <c r="M9" s="2903"/>
      <c r="N9" s="2153"/>
      <c r="O9" s="2903"/>
      <c r="P9" s="2153"/>
      <c r="Q9" s="2903"/>
      <c r="R9" s="2153"/>
      <c r="S9" s="2903"/>
      <c r="T9" s="2153"/>
      <c r="U9" s="2903"/>
      <c r="V9" s="2153"/>
      <c r="W9" s="2903"/>
      <c r="X9" s="2910"/>
      <c r="Y9" s="2903"/>
      <c r="Z9" s="2153"/>
      <c r="AA9" s="2903"/>
      <c r="AB9" s="2153"/>
      <c r="AC9" s="2883" t="s">
        <v>594</v>
      </c>
      <c r="AD9" s="1082" t="s">
        <v>595</v>
      </c>
      <c r="AE9" s="930"/>
      <c r="AF9" s="1082" t="s">
        <v>596</v>
      </c>
      <c r="AG9" s="930"/>
      <c r="AH9" s="1082" t="s">
        <v>595</v>
      </c>
      <c r="AI9" s="930"/>
      <c r="AJ9" s="1082" t="s">
        <v>596</v>
      </c>
      <c r="AK9" s="930"/>
      <c r="AL9" s="1082" t="s">
        <v>595</v>
      </c>
      <c r="AM9" s="930"/>
      <c r="AN9" s="1082" t="s">
        <v>596</v>
      </c>
      <c r="AO9" s="930"/>
      <c r="AP9" s="1082" t="s">
        <v>595</v>
      </c>
      <c r="AQ9" s="930"/>
      <c r="AR9" s="1082" t="s">
        <v>596</v>
      </c>
      <c r="AS9" s="2923"/>
      <c r="AT9" s="2882"/>
      <c r="AU9" s="2882" t="s">
        <v>597</v>
      </c>
      <c r="AV9" s="918"/>
      <c r="AW9" s="2371"/>
      <c r="AX9" s="918"/>
      <c r="AY9" s="2886"/>
      <c r="AZ9" s="2886" t="s">
        <v>589</v>
      </c>
      <c r="BA9" s="2934" t="s">
        <v>598</v>
      </c>
      <c r="BB9" s="2935"/>
      <c r="BC9" s="980"/>
      <c r="BD9" s="980"/>
      <c r="BE9" s="980"/>
      <c r="BF9" s="980"/>
      <c r="BG9" s="980"/>
      <c r="BH9" s="980"/>
      <c r="BI9" s="980"/>
      <c r="BJ9" s="980"/>
      <c r="BK9" s="2939"/>
      <c r="BL9" s="1082" t="s">
        <v>599</v>
      </c>
      <c r="BM9" s="969"/>
      <c r="BN9" s="2902"/>
      <c r="BO9" s="969"/>
      <c r="BP9" s="969"/>
      <c r="BQ9" s="969"/>
      <c r="BR9" s="969"/>
      <c r="BS9" s="969"/>
      <c r="BT9" s="967"/>
    </row>
    <row r="10" spans="1:72" s="2627" customFormat="1" ht="12.75">
      <c r="A10" s="2882"/>
      <c r="B10" s="2882"/>
      <c r="C10" s="2882"/>
      <c r="D10" s="2882"/>
      <c r="E10" s="2882"/>
      <c r="F10" s="2882"/>
      <c r="G10" s="918"/>
      <c r="H10" s="2886"/>
      <c r="I10" s="2903" t="s">
        <v>230</v>
      </c>
      <c r="J10" s="2153"/>
      <c r="K10" s="2904" t="s">
        <v>600</v>
      </c>
      <c r="L10" s="2153"/>
      <c r="M10" s="2904"/>
      <c r="N10" s="2153"/>
      <c r="O10" s="2904"/>
      <c r="P10" s="2153"/>
      <c r="Q10" s="2904"/>
      <c r="R10" s="2153"/>
      <c r="S10" s="2904"/>
      <c r="T10" s="2153"/>
      <c r="U10" s="2904"/>
      <c r="V10" s="2153"/>
      <c r="W10" s="2904"/>
      <c r="X10" s="2153"/>
      <c r="Y10" s="2904"/>
      <c r="Z10" s="2153"/>
      <c r="AA10" s="2904"/>
      <c r="AB10" s="2153"/>
      <c r="AC10" s="918"/>
      <c r="AD10" s="1082" t="s">
        <v>601</v>
      </c>
      <c r="AE10" s="2914"/>
      <c r="AF10" s="1082" t="s">
        <v>601</v>
      </c>
      <c r="AG10" s="2914"/>
      <c r="AH10" s="1082" t="s">
        <v>602</v>
      </c>
      <c r="AI10" s="2914"/>
      <c r="AJ10" s="1082" t="s">
        <v>602</v>
      </c>
      <c r="AK10" s="2914"/>
      <c r="AL10" s="1082" t="s">
        <v>603</v>
      </c>
      <c r="AM10" s="930"/>
      <c r="AN10" s="1082" t="s">
        <v>603</v>
      </c>
      <c r="AO10" s="930"/>
      <c r="AP10" s="1082" t="s">
        <v>604</v>
      </c>
      <c r="AQ10" s="930"/>
      <c r="AR10" s="1082" t="s">
        <v>604</v>
      </c>
      <c r="AS10" s="930"/>
      <c r="AT10" s="2882"/>
      <c r="AU10" s="2882"/>
      <c r="AV10" s="918"/>
      <c r="AW10" s="2371"/>
      <c r="AX10" s="918"/>
      <c r="AY10" s="2886"/>
      <c r="AZ10" s="2886"/>
      <c r="BA10" s="2887" t="s">
        <v>594</v>
      </c>
      <c r="BB10" s="2936" t="str">
        <f>I9</f>
        <v>地上</v>
      </c>
      <c r="BC10" s="992" t="str">
        <f>K9</f>
        <v>地下</v>
      </c>
      <c r="BD10" s="992">
        <f>M9</f>
        <v>0</v>
      </c>
      <c r="BE10" s="992">
        <f>O9</f>
        <v>0</v>
      </c>
      <c r="BF10" s="992">
        <f>Q9</f>
        <v>0</v>
      </c>
      <c r="BG10" s="992">
        <f>S9</f>
        <v>0</v>
      </c>
      <c r="BH10" s="992">
        <f>U9</f>
        <v>0</v>
      </c>
      <c r="BI10" s="992">
        <f>W9</f>
        <v>0</v>
      </c>
      <c r="BJ10" s="992">
        <f>Y9</f>
        <v>0</v>
      </c>
      <c r="BK10" s="992">
        <f>AA9</f>
        <v>0</v>
      </c>
      <c r="BL10" s="988" t="s">
        <v>594</v>
      </c>
      <c r="BM10" s="1025" t="str">
        <f>AD9</f>
        <v>地上</v>
      </c>
      <c r="BN10" s="992" t="str">
        <f>AF9</f>
        <v>地下</v>
      </c>
      <c r="BO10" s="1025" t="str">
        <f>AH9</f>
        <v>地上</v>
      </c>
      <c r="BP10" s="992" t="str">
        <f>AJ9</f>
        <v>地下</v>
      </c>
      <c r="BQ10" s="1025" t="str">
        <f>AL9</f>
        <v>地上</v>
      </c>
      <c r="BR10" s="992" t="str">
        <f>AN9</f>
        <v>地下</v>
      </c>
      <c r="BS10" s="1025" t="str">
        <f>AP9</f>
        <v>地上</v>
      </c>
      <c r="BT10" s="2943" t="str">
        <f>AR9</f>
        <v>地下</v>
      </c>
    </row>
    <row r="11" spans="1:72" s="2627" customFormat="1" ht="12.75">
      <c r="A11" s="2882"/>
      <c r="B11" s="2882"/>
      <c r="C11" s="2882"/>
      <c r="D11" s="2882"/>
      <c r="E11" s="2882"/>
      <c r="F11" s="2882"/>
      <c r="G11" s="918"/>
      <c r="H11" s="2887"/>
      <c r="I11" s="2905"/>
      <c r="J11" s="2906"/>
      <c r="K11" s="2905"/>
      <c r="L11" s="2906"/>
      <c r="M11" s="2905"/>
      <c r="N11" s="2906"/>
      <c r="O11" s="2905"/>
      <c r="P11" s="2906"/>
      <c r="Q11" s="2905"/>
      <c r="R11" s="2906"/>
      <c r="S11" s="2905"/>
      <c r="T11" s="2906"/>
      <c r="U11" s="2905"/>
      <c r="V11" s="2906"/>
      <c r="W11" s="2905"/>
      <c r="X11" s="2906"/>
      <c r="Y11" s="2905"/>
      <c r="Z11" s="2906"/>
      <c r="AA11" s="2905"/>
      <c r="AB11" s="2906"/>
      <c r="AC11" s="918"/>
      <c r="AD11" s="2915" t="s">
        <v>605</v>
      </c>
      <c r="AE11" s="1288"/>
      <c r="AF11" s="2915" t="s">
        <v>605</v>
      </c>
      <c r="AG11" s="1288"/>
      <c r="AH11" s="2915" t="s">
        <v>606</v>
      </c>
      <c r="AI11" s="2919"/>
      <c r="AJ11" s="2915" t="s">
        <v>606</v>
      </c>
      <c r="AK11" s="1288"/>
      <c r="AL11" s="1025"/>
      <c r="AM11" s="1288"/>
      <c r="AN11" s="1025"/>
      <c r="AO11" s="1288"/>
      <c r="AP11" s="1025"/>
      <c r="AQ11" s="1288"/>
      <c r="AR11" s="1025"/>
      <c r="AS11" s="1288"/>
      <c r="AT11" s="2371"/>
      <c r="AU11" s="2882"/>
      <c r="AV11" s="918"/>
      <c r="AW11" s="2371"/>
      <c r="AX11" s="918"/>
      <c r="AY11" s="2886"/>
      <c r="AZ11" s="2886"/>
      <c r="BA11" s="2886"/>
      <c r="BB11" s="2911" t="str">
        <f>I10</f>
        <v>办公</v>
      </c>
      <c r="BC11" s="2911" t="str">
        <f>K10</f>
        <v>车库</v>
      </c>
      <c r="BD11" s="2911">
        <f>M10</f>
        <v>0</v>
      </c>
      <c r="BE11" s="2911">
        <f>O10</f>
        <v>0</v>
      </c>
      <c r="BF11" s="2911">
        <f>Q10</f>
        <v>0</v>
      </c>
      <c r="BG11" s="2911">
        <f>S10</f>
        <v>0</v>
      </c>
      <c r="BH11" s="2911">
        <f>U10</f>
        <v>0</v>
      </c>
      <c r="BI11" s="2911">
        <f>W10</f>
        <v>0</v>
      </c>
      <c r="BJ11" s="2911">
        <f>Y10</f>
        <v>0</v>
      </c>
      <c r="BK11" s="2911">
        <f>AA10</f>
        <v>0</v>
      </c>
      <c r="BL11" s="918"/>
      <c r="BM11" s="1025" t="str">
        <f>AD10</f>
        <v>公共配套设施</v>
      </c>
      <c r="BN11" s="1025" t="str">
        <f>AF10</f>
        <v>公共配套设施</v>
      </c>
      <c r="BO11" s="961" t="str">
        <f>AH10</f>
        <v>物业管理用房</v>
      </c>
      <c r="BP11" s="961" t="str">
        <f>AJ10</f>
        <v>物业管理用房</v>
      </c>
      <c r="BQ11" s="961" t="str">
        <f>AL10</f>
        <v>设备及其他</v>
      </c>
      <c r="BR11" s="961" t="str">
        <f>AN10</f>
        <v>设备及其他</v>
      </c>
      <c r="BS11" s="988" t="str">
        <f>AP10</f>
        <v>未注明</v>
      </c>
      <c r="BT11" s="2944" t="str">
        <f>AR10</f>
        <v>未注明</v>
      </c>
    </row>
    <row r="12" spans="1:72" s="2866" customFormat="1" ht="12.75">
      <c r="A12" s="2888"/>
      <c r="B12" s="2888"/>
      <c r="C12" s="2888"/>
      <c r="D12" s="2888"/>
      <c r="E12" s="2888"/>
      <c r="F12" s="2888"/>
      <c r="G12" s="564"/>
      <c r="H12" s="2889"/>
      <c r="I12" s="2420" t="s">
        <v>607</v>
      </c>
      <c r="J12" s="1239" t="s">
        <v>608</v>
      </c>
      <c r="K12" s="1239" t="s">
        <v>607</v>
      </c>
      <c r="L12" s="1239" t="s">
        <v>608</v>
      </c>
      <c r="M12" s="1239" t="s">
        <v>607</v>
      </c>
      <c r="N12" s="1239" t="s">
        <v>608</v>
      </c>
      <c r="O12" s="1239" t="s">
        <v>607</v>
      </c>
      <c r="P12" s="1239" t="s">
        <v>608</v>
      </c>
      <c r="Q12" s="1239" t="s">
        <v>607</v>
      </c>
      <c r="R12" s="1239" t="s">
        <v>608</v>
      </c>
      <c r="S12" s="1239" t="s">
        <v>607</v>
      </c>
      <c r="T12" s="1239" t="s">
        <v>608</v>
      </c>
      <c r="U12" s="1239" t="s">
        <v>607</v>
      </c>
      <c r="V12" s="2296" t="s">
        <v>608</v>
      </c>
      <c r="W12" s="1239" t="s">
        <v>607</v>
      </c>
      <c r="X12" s="1239" t="s">
        <v>608</v>
      </c>
      <c r="Y12" s="1239" t="s">
        <v>607</v>
      </c>
      <c r="Z12" s="1239" t="s">
        <v>608</v>
      </c>
      <c r="AA12" s="1239" t="s">
        <v>607</v>
      </c>
      <c r="AB12" s="1239" t="s">
        <v>608</v>
      </c>
      <c r="AC12" s="2916"/>
      <c r="AD12" s="2420" t="s">
        <v>607</v>
      </c>
      <c r="AE12" s="1239" t="s">
        <v>608</v>
      </c>
      <c r="AF12" s="1239" t="s">
        <v>607</v>
      </c>
      <c r="AG12" s="1239" t="s">
        <v>608</v>
      </c>
      <c r="AH12" s="1239" t="s">
        <v>607</v>
      </c>
      <c r="AI12" s="1239" t="s">
        <v>608</v>
      </c>
      <c r="AJ12" s="1239" t="s">
        <v>607</v>
      </c>
      <c r="AK12" s="1239" t="s">
        <v>608</v>
      </c>
      <c r="AL12" s="1239" t="s">
        <v>607</v>
      </c>
      <c r="AM12" s="1239" t="s">
        <v>608</v>
      </c>
      <c r="AN12" s="1239" t="s">
        <v>607</v>
      </c>
      <c r="AO12" s="1239" t="s">
        <v>608</v>
      </c>
      <c r="AP12" s="1239" t="s">
        <v>607</v>
      </c>
      <c r="AQ12" s="1239" t="s">
        <v>608</v>
      </c>
      <c r="AR12" s="564" t="s">
        <v>607</v>
      </c>
      <c r="AS12" s="2888" t="s">
        <v>608</v>
      </c>
      <c r="AT12" s="2924"/>
      <c r="AU12" s="2888"/>
      <c r="AV12" s="2925"/>
      <c r="AW12" s="2410"/>
      <c r="AX12" s="2925"/>
      <c r="AY12" s="2937"/>
      <c r="AZ12" s="2886"/>
      <c r="BA12" s="2887"/>
      <c r="BB12" s="961">
        <f>I11</f>
        <v>0</v>
      </c>
      <c r="BC12" s="2938">
        <f>K11</f>
        <v>0</v>
      </c>
      <c r="BD12" s="2938">
        <f>M11</f>
        <v>0</v>
      </c>
      <c r="BE12" s="2911">
        <f>O11</f>
        <v>0</v>
      </c>
      <c r="BF12" s="2911">
        <f>Q11</f>
        <v>0</v>
      </c>
      <c r="BG12" s="2911">
        <f>S11</f>
        <v>0</v>
      </c>
      <c r="BH12" s="2911">
        <f>U11</f>
        <v>0</v>
      </c>
      <c r="BI12" s="2911">
        <f>W11</f>
        <v>0</v>
      </c>
      <c r="BJ12" s="2911">
        <f>Y11</f>
        <v>0</v>
      </c>
      <c r="BK12" s="2911">
        <f>AA11</f>
        <v>0</v>
      </c>
      <c r="BL12" s="918"/>
      <c r="BM12" s="1025" t="str">
        <f>AD11</f>
        <v>（住宅）</v>
      </c>
      <c r="BN12" s="1025" t="str">
        <f>AF11</f>
        <v>（住宅）</v>
      </c>
      <c r="BO12" s="961" t="str">
        <f>AH11</f>
        <v>（住宅、计出让金）</v>
      </c>
      <c r="BP12" s="961" t="str">
        <f>AJ11</f>
        <v>（住宅、计出让金）</v>
      </c>
      <c r="BQ12" s="961">
        <f>AL11</f>
        <v>0</v>
      </c>
      <c r="BR12" s="961">
        <f>AN11</f>
        <v>0</v>
      </c>
      <c r="BS12" s="988">
        <f>AP11</f>
        <v>0</v>
      </c>
      <c r="BT12" s="2944">
        <f>AR11</f>
        <v>0</v>
      </c>
    </row>
    <row r="13" spans="1:72" s="2866" customFormat="1" ht="12.75">
      <c r="A13" s="1201"/>
      <c r="B13" s="1201"/>
      <c r="C13" s="2890" t="s">
        <v>230</v>
      </c>
      <c r="D13" s="2891" t="s">
        <v>516</v>
      </c>
      <c r="E13" s="2876">
        <f>IF($C$3="是",ROUND($A$3*G13/$B$3,2),ROUND($A$3*(G13-AT13)/$B$3,2))</f>
        <v>10510.28</v>
      </c>
      <c r="F13" s="2892"/>
      <c r="G13" s="2893">
        <f>H13+AC13+AT13</f>
        <v>54445.42</v>
      </c>
      <c r="H13" s="2879">
        <f>SUMIF(I$12:AB$12,"总值",I13:AB13)</f>
        <v>54071.78</v>
      </c>
      <c r="I13" s="2907">
        <f>54071.78</f>
        <v>54071.78</v>
      </c>
      <c r="J13" s="2907"/>
      <c r="K13" s="2907"/>
      <c r="L13" s="2907"/>
      <c r="M13" s="2907"/>
      <c r="N13" s="2907"/>
      <c r="O13" s="2907"/>
      <c r="P13" s="2907"/>
      <c r="Q13" s="2907"/>
      <c r="R13" s="2907"/>
      <c r="S13" s="2907"/>
      <c r="T13" s="2907"/>
      <c r="U13" s="2907"/>
      <c r="V13" s="2907"/>
      <c r="W13" s="2907"/>
      <c r="X13" s="2907"/>
      <c r="Y13" s="2907"/>
      <c r="Z13" s="2907"/>
      <c r="AA13" s="2907"/>
      <c r="AB13" s="2907"/>
      <c r="AC13" s="2876">
        <f>SUMIF(AD$12:AS$12,"总值",AD13:AS13)</f>
        <v>373.64</v>
      </c>
      <c r="AD13" s="2917"/>
      <c r="AE13" s="2917"/>
      <c r="AF13" s="2917"/>
      <c r="AG13" s="2917"/>
      <c r="AH13" s="2917"/>
      <c r="AI13" s="2917"/>
      <c r="AJ13" s="2917"/>
      <c r="AK13" s="2917"/>
      <c r="AL13" s="2917">
        <v>373.64</v>
      </c>
      <c r="AM13" s="2917"/>
      <c r="AN13" s="2917"/>
      <c r="AO13" s="2917"/>
      <c r="AP13" s="2917"/>
      <c r="AQ13" s="2917"/>
      <c r="AR13" s="2917"/>
      <c r="AS13" s="2917"/>
      <c r="AT13" s="2892"/>
      <c r="AU13" s="2926"/>
      <c r="AV13" s="1239">
        <f t="shared" ref="AV13:AX17" si="6">A13</f>
        <v>0</v>
      </c>
      <c r="AW13" s="1239">
        <f t="shared" si="6"/>
        <v>0</v>
      </c>
      <c r="AX13" s="1239" t="str">
        <f t="shared" si="6"/>
        <v>办公</v>
      </c>
      <c r="AY13" s="2420">
        <f>ROUND($AY$6*AZ13/$AZ$5,2)</f>
        <v>10510.28</v>
      </c>
      <c r="AZ13" s="2876">
        <f>BA13+BL13</f>
        <v>54445.42</v>
      </c>
      <c r="BA13" s="2876">
        <f>SUM(BB13:BK13)</f>
        <v>54071.78</v>
      </c>
      <c r="BB13" s="2876">
        <f>IF($D13="是",I13-J13,0)</f>
        <v>54071.78</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373.64</v>
      </c>
      <c r="BM13" s="2876">
        <f>IF($D13="是",AD13-AE13,0)</f>
        <v>0</v>
      </c>
      <c r="BN13" s="2876">
        <f>IF($D13="是",AF13-AG13,0)</f>
        <v>0</v>
      </c>
      <c r="BO13" s="2876">
        <f>IF($D13="是",AH13-AI13,0)</f>
        <v>0</v>
      </c>
      <c r="BP13" s="2876">
        <f>IF($D13="是",AJ13-AK13,0)</f>
        <v>0</v>
      </c>
      <c r="BQ13" s="2876">
        <f>IF($D13="是",AL13-AM13,0)</f>
        <v>373.64</v>
      </c>
      <c r="BR13" s="2876">
        <f>IF($D13="是",AN13-AO13,0)</f>
        <v>0</v>
      </c>
      <c r="BS13" s="2876">
        <f>IF($D13="是",AP13-AQ13,0)</f>
        <v>0</v>
      </c>
      <c r="BT13" s="2941">
        <f>IF($D13="是",AR13-AS13,0)</f>
        <v>0</v>
      </c>
    </row>
    <row r="14" spans="1:72" s="2866" customFormat="1" ht="12.75">
      <c r="A14" s="1201"/>
      <c r="B14" s="1201"/>
      <c r="C14" s="2894" t="s">
        <v>609</v>
      </c>
      <c r="D14" s="2891" t="s">
        <v>516</v>
      </c>
      <c r="E14" s="2876">
        <f>IF($C$3="是",ROUND($A$3*G14/$B$3,2),ROUND($A$3*(G14-AT14)/$B$3,2))</f>
        <v>2080.3200000000002</v>
      </c>
      <c r="F14" s="2892"/>
      <c r="G14" s="2893">
        <f>H14+AC14+AT14</f>
        <v>10776.5</v>
      </c>
      <c r="H14" s="2879">
        <f>SUMIF(I$12:AB$12,"总值",I14:AB14)</f>
        <v>10776.5</v>
      </c>
      <c r="I14" s="2907"/>
      <c r="J14" s="2907"/>
      <c r="K14" s="2907">
        <v>10776.5</v>
      </c>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892"/>
      <c r="AU14" s="2926"/>
      <c r="AV14" s="1239">
        <f t="shared" si="6"/>
        <v>0</v>
      </c>
      <c r="AW14" s="1239">
        <f t="shared" si="6"/>
        <v>0</v>
      </c>
      <c r="AX14" s="1239" t="str">
        <f t="shared" si="6"/>
        <v>地下车库</v>
      </c>
      <c r="AY14" s="2420">
        <f>ROUND($AY$6*AZ14/$AZ$5,2)</f>
        <v>2080.3200000000002</v>
      </c>
      <c r="AZ14" s="2876">
        <f>BA14+BL14</f>
        <v>10776.5</v>
      </c>
      <c r="BA14" s="2876">
        <f>SUM(BB14:BK14)</f>
        <v>10776.5</v>
      </c>
      <c r="BB14" s="2876">
        <f>IF($D14="是",I14-J14,0)</f>
        <v>0</v>
      </c>
      <c r="BC14" s="2876">
        <f>IF($D14="是",K14-L14,0)</f>
        <v>10776.5</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1">
        <f>IF($D14="是",AR14-AS14,0)</f>
        <v>0</v>
      </c>
    </row>
    <row r="15" spans="1:72" s="2866" customFormat="1" ht="12.75">
      <c r="A15" s="1201"/>
      <c r="B15" s="1201"/>
      <c r="C15" s="2895" t="s">
        <v>229</v>
      </c>
      <c r="D15" s="2891" t="s">
        <v>516</v>
      </c>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892"/>
      <c r="AU15" s="2926"/>
      <c r="AV15" s="1239">
        <f t="shared" si="6"/>
        <v>0</v>
      </c>
      <c r="AW15" s="1239">
        <f t="shared" si="6"/>
        <v>0</v>
      </c>
      <c r="AX15" s="1239" t="str">
        <f t="shared" si="6"/>
        <v>商业</v>
      </c>
      <c r="AY15" s="2420">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1">
        <f>IF($D15="是",AR15-AS15,0)</f>
        <v>0</v>
      </c>
    </row>
    <row r="16" spans="1:72" s="2866" customFormat="1" ht="12.75">
      <c r="A16" s="1201"/>
      <c r="B16" s="1201"/>
      <c r="C16" s="2896"/>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892"/>
      <c r="AU16" s="2926"/>
      <c r="AV16" s="1239">
        <f t="shared" si="6"/>
        <v>0</v>
      </c>
      <c r="AW16" s="1239">
        <f t="shared" si="6"/>
        <v>0</v>
      </c>
      <c r="AX16" s="1239">
        <f t="shared" si="6"/>
        <v>0</v>
      </c>
      <c r="AY16" s="2420">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1">
        <f>IF($D16="是",AR16-AS16,0)</f>
        <v>0</v>
      </c>
    </row>
    <row r="17" spans="1:72" s="2866" customFormat="1" ht="12.75">
      <c r="A17" s="1201"/>
      <c r="B17" s="1201"/>
      <c r="C17" s="2896"/>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892"/>
      <c r="AU17" s="2926"/>
      <c r="AV17" s="1239">
        <f t="shared" si="6"/>
        <v>0</v>
      </c>
      <c r="AW17" s="1239">
        <f t="shared" si="6"/>
        <v>0</v>
      </c>
      <c r="AX17" s="1239">
        <f t="shared" si="6"/>
        <v>0</v>
      </c>
      <c r="AY17" s="2420">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1">
        <f>IF($D17="是",AR17-AS17,0)</f>
        <v>0</v>
      </c>
    </row>
    <row r="18" spans="1:72">
      <c r="A18" s="1526"/>
      <c r="B18" s="1534"/>
      <c r="C18" s="1534"/>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899"/>
      <c r="AU18" s="2927"/>
      <c r="AV18" s="794">
        <f t="shared" ref="AV18:AV112" si="11">A18</f>
        <v>0</v>
      </c>
      <c r="AW18" s="794">
        <f t="shared" ref="AW18:AW112" si="12">B18</f>
        <v>0</v>
      </c>
      <c r="AX18" s="794">
        <f t="shared" ref="AX18:AX112" si="13">C18</f>
        <v>0</v>
      </c>
      <c r="AY18" s="1462">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45">
        <f t="shared" ref="BT18:BT109" si="35">IF($D18="是",AR18-AS18,0)</f>
        <v>0</v>
      </c>
    </row>
    <row r="19" spans="1:72">
      <c r="A19" s="1526"/>
      <c r="B19" s="1534"/>
      <c r="C19" s="1534"/>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899"/>
      <c r="AU19" s="2927"/>
      <c r="AV19" s="794">
        <f t="shared" si="11"/>
        <v>0</v>
      </c>
      <c r="AW19" s="794">
        <f t="shared" si="12"/>
        <v>0</v>
      </c>
      <c r="AX19" s="794">
        <f t="shared" si="13"/>
        <v>0</v>
      </c>
      <c r="AY19" s="1462">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45">
        <f t="shared" si="35"/>
        <v>0</v>
      </c>
    </row>
    <row r="20" spans="1:72">
      <c r="A20" s="1526"/>
      <c r="B20" s="1534"/>
      <c r="C20" s="1534"/>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899"/>
      <c r="AU20" s="2927"/>
      <c r="AV20" s="794">
        <f t="shared" si="11"/>
        <v>0</v>
      </c>
      <c r="AW20" s="794">
        <f t="shared" si="12"/>
        <v>0</v>
      </c>
      <c r="AX20" s="794">
        <f t="shared" si="13"/>
        <v>0</v>
      </c>
      <c r="AY20" s="1462">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45">
        <f t="shared" si="35"/>
        <v>0</v>
      </c>
    </row>
    <row r="21" spans="1:72">
      <c r="A21" s="1526"/>
      <c r="B21" s="1534"/>
      <c r="C21" s="1534"/>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899"/>
      <c r="AU21" s="2927"/>
      <c r="AV21" s="794">
        <f t="shared" si="11"/>
        <v>0</v>
      </c>
      <c r="AW21" s="794">
        <f t="shared" si="12"/>
        <v>0</v>
      </c>
      <c r="AX21" s="794">
        <f t="shared" si="13"/>
        <v>0</v>
      </c>
      <c r="AY21" s="1462">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45">
        <f t="shared" si="35"/>
        <v>0</v>
      </c>
    </row>
    <row r="22" spans="1:72">
      <c r="A22" s="1526"/>
      <c r="B22" s="1534"/>
      <c r="C22" s="1534"/>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899"/>
      <c r="AU22" s="2927"/>
      <c r="AV22" s="794">
        <f t="shared" si="11"/>
        <v>0</v>
      </c>
      <c r="AW22" s="794">
        <f t="shared" si="12"/>
        <v>0</v>
      </c>
      <c r="AX22" s="794">
        <f t="shared" si="13"/>
        <v>0</v>
      </c>
      <c r="AY22" s="1462">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45">
        <f t="shared" si="35"/>
        <v>0</v>
      </c>
    </row>
    <row r="23" spans="1:72">
      <c r="A23" s="1526"/>
      <c r="B23" s="1534"/>
      <c r="C23" s="1534"/>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899"/>
      <c r="AU23" s="2927"/>
      <c r="AV23" s="794">
        <f t="shared" si="11"/>
        <v>0</v>
      </c>
      <c r="AW23" s="794">
        <f t="shared" si="12"/>
        <v>0</v>
      </c>
      <c r="AX23" s="794">
        <f t="shared" si="13"/>
        <v>0</v>
      </c>
      <c r="AY23" s="1462">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45">
        <f t="shared" si="35"/>
        <v>0</v>
      </c>
    </row>
    <row r="24" spans="1:72">
      <c r="A24" s="1526"/>
      <c r="B24" s="1534"/>
      <c r="C24" s="1534"/>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899"/>
      <c r="AU24" s="2927"/>
      <c r="AV24" s="794">
        <f t="shared" si="11"/>
        <v>0</v>
      </c>
      <c r="AW24" s="794">
        <f t="shared" si="12"/>
        <v>0</v>
      </c>
      <c r="AX24" s="794">
        <f t="shared" si="13"/>
        <v>0</v>
      </c>
      <c r="AY24" s="1462">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45">
        <f t="shared" si="35"/>
        <v>0</v>
      </c>
    </row>
    <row r="25" spans="1:72">
      <c r="A25" s="1526"/>
      <c r="B25" s="1534"/>
      <c r="C25" s="1534"/>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899"/>
      <c r="AU25" s="2927"/>
      <c r="AV25" s="794">
        <f t="shared" si="11"/>
        <v>0</v>
      </c>
      <c r="AW25" s="794">
        <f t="shared" si="12"/>
        <v>0</v>
      </c>
      <c r="AX25" s="794">
        <f t="shared" si="13"/>
        <v>0</v>
      </c>
      <c r="AY25" s="1462">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45">
        <f t="shared" si="35"/>
        <v>0</v>
      </c>
    </row>
    <row r="26" spans="1:72">
      <c r="A26" s="1526"/>
      <c r="B26" s="1534"/>
      <c r="C26" s="1534"/>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899"/>
      <c r="AU26" s="2927"/>
      <c r="AV26" s="794">
        <f t="shared" si="11"/>
        <v>0</v>
      </c>
      <c r="AW26" s="794">
        <f t="shared" si="12"/>
        <v>0</v>
      </c>
      <c r="AX26" s="794">
        <f t="shared" si="13"/>
        <v>0</v>
      </c>
      <c r="AY26" s="1462">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45">
        <f t="shared" si="35"/>
        <v>0</v>
      </c>
    </row>
    <row r="27" spans="1:72">
      <c r="A27" s="1526"/>
      <c r="B27" s="1534"/>
      <c r="C27" s="1534"/>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899"/>
      <c r="AU27" s="2927"/>
      <c r="AV27" s="794">
        <f t="shared" si="11"/>
        <v>0</v>
      </c>
      <c r="AW27" s="794">
        <f t="shared" si="12"/>
        <v>0</v>
      </c>
      <c r="AX27" s="794">
        <f t="shared" si="13"/>
        <v>0</v>
      </c>
      <c r="AY27" s="1462">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45">
        <f t="shared" si="35"/>
        <v>0</v>
      </c>
    </row>
    <row r="28" spans="1:72">
      <c r="A28" s="1526"/>
      <c r="B28" s="1534"/>
      <c r="C28" s="1534"/>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899"/>
      <c r="AU28" s="2927"/>
      <c r="AV28" s="794">
        <f t="shared" si="11"/>
        <v>0</v>
      </c>
      <c r="AW28" s="794">
        <f t="shared" si="12"/>
        <v>0</v>
      </c>
      <c r="AX28" s="794">
        <f t="shared" si="13"/>
        <v>0</v>
      </c>
      <c r="AY28" s="1462">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45">
        <f t="shared" si="35"/>
        <v>0</v>
      </c>
    </row>
    <row r="29" spans="1:72">
      <c r="A29" s="1526"/>
      <c r="B29" s="1534"/>
      <c r="C29" s="1534"/>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899"/>
      <c r="AU29" s="2927"/>
      <c r="AV29" s="794">
        <f t="shared" si="11"/>
        <v>0</v>
      </c>
      <c r="AW29" s="794">
        <f t="shared" si="12"/>
        <v>0</v>
      </c>
      <c r="AX29" s="794">
        <f t="shared" si="13"/>
        <v>0</v>
      </c>
      <c r="AY29" s="1462">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45">
        <f t="shared" si="35"/>
        <v>0</v>
      </c>
    </row>
    <row r="30" spans="1:72">
      <c r="A30" s="1526"/>
      <c r="B30" s="1534"/>
      <c r="C30" s="1534"/>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899"/>
      <c r="AU30" s="2927"/>
      <c r="AV30" s="794">
        <f t="shared" si="11"/>
        <v>0</v>
      </c>
      <c r="AW30" s="794">
        <f t="shared" si="12"/>
        <v>0</v>
      </c>
      <c r="AX30" s="794">
        <f t="shared" si="13"/>
        <v>0</v>
      </c>
      <c r="AY30" s="1462">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45">
        <f t="shared" si="35"/>
        <v>0</v>
      </c>
    </row>
    <row r="31" spans="1:72">
      <c r="A31" s="1526"/>
      <c r="B31" s="1534"/>
      <c r="C31" s="1534"/>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899"/>
      <c r="AU31" s="2927"/>
      <c r="AV31" s="794">
        <f t="shared" si="11"/>
        <v>0</v>
      </c>
      <c r="AW31" s="794">
        <f t="shared" si="12"/>
        <v>0</v>
      </c>
      <c r="AX31" s="794">
        <f t="shared" si="13"/>
        <v>0</v>
      </c>
      <c r="AY31" s="1462">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45">
        <f t="shared" si="35"/>
        <v>0</v>
      </c>
    </row>
    <row r="32" spans="1:72">
      <c r="A32" s="1526"/>
      <c r="B32" s="1534"/>
      <c r="C32" s="1534"/>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899"/>
      <c r="AU32" s="2927"/>
      <c r="AV32" s="794">
        <f t="shared" si="11"/>
        <v>0</v>
      </c>
      <c r="AW32" s="794">
        <f t="shared" si="12"/>
        <v>0</v>
      </c>
      <c r="AX32" s="794">
        <f t="shared" si="13"/>
        <v>0</v>
      </c>
      <c r="AY32" s="1462">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45">
        <f t="shared" si="35"/>
        <v>0</v>
      </c>
    </row>
    <row r="33" spans="1:72">
      <c r="A33" s="1526"/>
      <c r="B33" s="1534"/>
      <c r="C33" s="1534"/>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899"/>
      <c r="AU33" s="2927"/>
      <c r="AV33" s="794">
        <f t="shared" si="11"/>
        <v>0</v>
      </c>
      <c r="AW33" s="794">
        <f t="shared" si="12"/>
        <v>0</v>
      </c>
      <c r="AX33" s="794">
        <f t="shared" si="13"/>
        <v>0</v>
      </c>
      <c r="AY33" s="1462">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45">
        <f t="shared" si="35"/>
        <v>0</v>
      </c>
    </row>
    <row r="34" spans="1:72">
      <c r="A34" s="1526"/>
      <c r="B34" s="1534"/>
      <c r="C34" s="1534"/>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899"/>
      <c r="AU34" s="2927"/>
      <c r="AV34" s="794">
        <f t="shared" si="11"/>
        <v>0</v>
      </c>
      <c r="AW34" s="794">
        <f t="shared" si="12"/>
        <v>0</v>
      </c>
      <c r="AX34" s="794">
        <f t="shared" si="13"/>
        <v>0</v>
      </c>
      <c r="AY34" s="1462">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45">
        <f t="shared" si="35"/>
        <v>0</v>
      </c>
    </row>
    <row r="35" spans="1:72">
      <c r="A35" s="1526"/>
      <c r="B35" s="1534"/>
      <c r="C35" s="1534"/>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899"/>
      <c r="AU35" s="2927"/>
      <c r="AV35" s="794">
        <f t="shared" si="11"/>
        <v>0</v>
      </c>
      <c r="AW35" s="794">
        <f t="shared" si="12"/>
        <v>0</v>
      </c>
      <c r="AX35" s="794">
        <f t="shared" si="13"/>
        <v>0</v>
      </c>
      <c r="AY35" s="1462">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45">
        <f t="shared" si="35"/>
        <v>0</v>
      </c>
    </row>
    <row r="36" spans="1:72">
      <c r="A36" s="1526"/>
      <c r="B36" s="1534"/>
      <c r="C36" s="1534"/>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899"/>
      <c r="AU36" s="2927"/>
      <c r="AV36" s="794">
        <f t="shared" si="11"/>
        <v>0</v>
      </c>
      <c r="AW36" s="794">
        <f t="shared" si="12"/>
        <v>0</v>
      </c>
      <c r="AX36" s="794">
        <f t="shared" si="13"/>
        <v>0</v>
      </c>
      <c r="AY36" s="1462">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45">
        <f t="shared" si="35"/>
        <v>0</v>
      </c>
    </row>
    <row r="37" spans="1:72">
      <c r="A37" s="1526"/>
      <c r="B37" s="1534"/>
      <c r="C37" s="1534"/>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899"/>
      <c r="AU37" s="2927"/>
      <c r="AV37" s="794">
        <f t="shared" si="11"/>
        <v>0</v>
      </c>
      <c r="AW37" s="794">
        <f t="shared" si="12"/>
        <v>0</v>
      </c>
      <c r="AX37" s="794">
        <f t="shared" si="13"/>
        <v>0</v>
      </c>
      <c r="AY37" s="1462">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45">
        <f t="shared" si="35"/>
        <v>0</v>
      </c>
    </row>
    <row r="38" spans="1:72">
      <c r="A38" s="1526"/>
      <c r="B38" s="1534"/>
      <c r="C38" s="1534"/>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899"/>
      <c r="AU38" s="2927"/>
      <c r="AV38" s="794">
        <f t="shared" si="11"/>
        <v>0</v>
      </c>
      <c r="AW38" s="794">
        <f t="shared" si="12"/>
        <v>0</v>
      </c>
      <c r="AX38" s="794">
        <f t="shared" si="13"/>
        <v>0</v>
      </c>
      <c r="AY38" s="1462">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45">
        <f t="shared" si="35"/>
        <v>0</v>
      </c>
    </row>
    <row r="39" spans="1:72">
      <c r="A39" s="1526"/>
      <c r="B39" s="1534"/>
      <c r="C39" s="1534"/>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899"/>
      <c r="AU39" s="2927"/>
      <c r="AV39" s="794">
        <f t="shared" si="11"/>
        <v>0</v>
      </c>
      <c r="AW39" s="794">
        <f t="shared" si="12"/>
        <v>0</v>
      </c>
      <c r="AX39" s="794">
        <f t="shared" si="13"/>
        <v>0</v>
      </c>
      <c r="AY39" s="1462">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45">
        <f t="shared" si="35"/>
        <v>0</v>
      </c>
    </row>
    <row r="40" spans="1:72">
      <c r="A40" s="1526"/>
      <c r="B40" s="1534"/>
      <c r="C40" s="1534"/>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899"/>
      <c r="AU40" s="2927"/>
      <c r="AV40" s="794">
        <f t="shared" si="11"/>
        <v>0</v>
      </c>
      <c r="AW40" s="794">
        <f t="shared" si="12"/>
        <v>0</v>
      </c>
      <c r="AX40" s="794">
        <f t="shared" si="13"/>
        <v>0</v>
      </c>
      <c r="AY40" s="1462">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45">
        <f t="shared" si="35"/>
        <v>0</v>
      </c>
    </row>
    <row r="41" spans="1:72">
      <c r="A41" s="1526"/>
      <c r="B41" s="1534"/>
      <c r="C41" s="1534"/>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899"/>
      <c r="AU41" s="2927"/>
      <c r="AV41" s="794">
        <f t="shared" si="11"/>
        <v>0</v>
      </c>
      <c r="AW41" s="794">
        <f t="shared" si="12"/>
        <v>0</v>
      </c>
      <c r="AX41" s="794">
        <f t="shared" si="13"/>
        <v>0</v>
      </c>
      <c r="AY41" s="1462">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45">
        <f t="shared" si="35"/>
        <v>0</v>
      </c>
    </row>
    <row r="42" spans="1:72">
      <c r="A42" s="1526"/>
      <c r="B42" s="1534"/>
      <c r="C42" s="1534"/>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899"/>
      <c r="AU42" s="2927"/>
      <c r="AV42" s="794">
        <f t="shared" si="11"/>
        <v>0</v>
      </c>
      <c r="AW42" s="794">
        <f t="shared" si="12"/>
        <v>0</v>
      </c>
      <c r="AX42" s="794">
        <f t="shared" si="13"/>
        <v>0</v>
      </c>
      <c r="AY42" s="1462">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45">
        <f t="shared" si="35"/>
        <v>0</v>
      </c>
    </row>
    <row r="43" spans="1:72">
      <c r="A43" s="1526"/>
      <c r="B43" s="1534"/>
      <c r="C43" s="1534"/>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899"/>
      <c r="AU43" s="2927"/>
      <c r="AV43" s="794">
        <f t="shared" si="11"/>
        <v>0</v>
      </c>
      <c r="AW43" s="794">
        <f t="shared" si="12"/>
        <v>0</v>
      </c>
      <c r="AX43" s="794">
        <f t="shared" si="13"/>
        <v>0</v>
      </c>
      <c r="AY43" s="1462">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45">
        <f t="shared" si="35"/>
        <v>0</v>
      </c>
    </row>
    <row r="44" spans="1:72">
      <c r="A44" s="1526"/>
      <c r="B44" s="1534"/>
      <c r="C44" s="1534"/>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899"/>
      <c r="AU44" s="2927"/>
      <c r="AV44" s="794">
        <f t="shared" si="11"/>
        <v>0</v>
      </c>
      <c r="AW44" s="794">
        <f t="shared" si="12"/>
        <v>0</v>
      </c>
      <c r="AX44" s="794">
        <f t="shared" si="13"/>
        <v>0</v>
      </c>
      <c r="AY44" s="1462">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45">
        <f t="shared" si="35"/>
        <v>0</v>
      </c>
    </row>
    <row r="45" spans="1:72">
      <c r="A45" s="1526"/>
      <c r="B45" s="1534"/>
      <c r="C45" s="1534"/>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899"/>
      <c r="AU45" s="2927"/>
      <c r="AV45" s="794">
        <f t="shared" si="11"/>
        <v>0</v>
      </c>
      <c r="AW45" s="794">
        <f t="shared" si="12"/>
        <v>0</v>
      </c>
      <c r="AX45" s="794">
        <f t="shared" si="13"/>
        <v>0</v>
      </c>
      <c r="AY45" s="1462">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45">
        <f t="shared" si="35"/>
        <v>0</v>
      </c>
    </row>
    <row r="46" spans="1:72">
      <c r="A46" s="1526"/>
      <c r="B46" s="1534"/>
      <c r="C46" s="1534"/>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899"/>
      <c r="AU46" s="2927"/>
      <c r="AV46" s="794">
        <f t="shared" si="11"/>
        <v>0</v>
      </c>
      <c r="AW46" s="794">
        <f t="shared" si="12"/>
        <v>0</v>
      </c>
      <c r="AX46" s="794">
        <f t="shared" si="13"/>
        <v>0</v>
      </c>
      <c r="AY46" s="1462">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45">
        <f t="shared" si="35"/>
        <v>0</v>
      </c>
    </row>
    <row r="47" spans="1:72">
      <c r="A47" s="1526"/>
      <c r="B47" s="1534"/>
      <c r="C47" s="1534"/>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899"/>
      <c r="AU47" s="2927"/>
      <c r="AV47" s="794">
        <f t="shared" si="11"/>
        <v>0</v>
      </c>
      <c r="AW47" s="794">
        <f t="shared" si="12"/>
        <v>0</v>
      </c>
      <c r="AX47" s="794">
        <f t="shared" si="13"/>
        <v>0</v>
      </c>
      <c r="AY47" s="1462">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45">
        <f t="shared" si="35"/>
        <v>0</v>
      </c>
    </row>
    <row r="48" spans="1:72">
      <c r="A48" s="1526"/>
      <c r="B48" s="1534"/>
      <c r="C48" s="1534"/>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899"/>
      <c r="AU48" s="2927"/>
      <c r="AV48" s="794">
        <f t="shared" si="11"/>
        <v>0</v>
      </c>
      <c r="AW48" s="794">
        <f t="shared" si="12"/>
        <v>0</v>
      </c>
      <c r="AX48" s="794">
        <f t="shared" si="13"/>
        <v>0</v>
      </c>
      <c r="AY48" s="1462">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45">
        <f t="shared" si="35"/>
        <v>0</v>
      </c>
    </row>
    <row r="49" spans="1:72">
      <c r="A49" s="1526"/>
      <c r="B49" s="1534"/>
      <c r="C49" s="1534"/>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899"/>
      <c r="AU49" s="2927"/>
      <c r="AV49" s="794">
        <f t="shared" si="11"/>
        <v>0</v>
      </c>
      <c r="AW49" s="794">
        <f t="shared" si="12"/>
        <v>0</v>
      </c>
      <c r="AX49" s="794">
        <f t="shared" si="13"/>
        <v>0</v>
      </c>
      <c r="AY49" s="1462">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45">
        <f t="shared" si="35"/>
        <v>0</v>
      </c>
    </row>
    <row r="50" spans="1:72">
      <c r="A50" s="1526"/>
      <c r="B50" s="1534"/>
      <c r="C50" s="1534"/>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899"/>
      <c r="AU50" s="2927"/>
      <c r="AV50" s="794">
        <f t="shared" si="11"/>
        <v>0</v>
      </c>
      <c r="AW50" s="794">
        <f t="shared" si="12"/>
        <v>0</v>
      </c>
      <c r="AX50" s="794">
        <f t="shared" si="13"/>
        <v>0</v>
      </c>
      <c r="AY50" s="1462">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45">
        <f t="shared" si="35"/>
        <v>0</v>
      </c>
    </row>
    <row r="51" spans="1:72">
      <c r="A51" s="1526"/>
      <c r="B51" s="1534"/>
      <c r="C51" s="1534"/>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899"/>
      <c r="AU51" s="2927"/>
      <c r="AV51" s="794">
        <f t="shared" si="11"/>
        <v>0</v>
      </c>
      <c r="AW51" s="794">
        <f t="shared" si="12"/>
        <v>0</v>
      </c>
      <c r="AX51" s="794">
        <f t="shared" si="13"/>
        <v>0</v>
      </c>
      <c r="AY51" s="1462">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45">
        <f t="shared" si="35"/>
        <v>0</v>
      </c>
    </row>
    <row r="52" spans="1:72">
      <c r="A52" s="1526"/>
      <c r="B52" s="1534"/>
      <c r="C52" s="1534"/>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899"/>
      <c r="AU52" s="2927"/>
      <c r="AV52" s="794">
        <f t="shared" si="11"/>
        <v>0</v>
      </c>
      <c r="AW52" s="794">
        <f t="shared" si="12"/>
        <v>0</v>
      </c>
      <c r="AX52" s="794">
        <f t="shared" si="13"/>
        <v>0</v>
      </c>
      <c r="AY52" s="1462">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45">
        <f t="shared" si="35"/>
        <v>0</v>
      </c>
    </row>
    <row r="53" spans="1:72">
      <c r="A53" s="1526"/>
      <c r="B53" s="1534"/>
      <c r="C53" s="1534"/>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899"/>
      <c r="AU53" s="2927"/>
      <c r="AV53" s="794">
        <f t="shared" si="11"/>
        <v>0</v>
      </c>
      <c r="AW53" s="794">
        <f t="shared" si="12"/>
        <v>0</v>
      </c>
      <c r="AX53" s="794">
        <f t="shared" si="13"/>
        <v>0</v>
      </c>
      <c r="AY53" s="1462">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45">
        <f t="shared" si="35"/>
        <v>0</v>
      </c>
    </row>
    <row r="54" spans="1:72">
      <c r="A54" s="1526"/>
      <c r="B54" s="1534"/>
      <c r="C54" s="1534"/>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899"/>
      <c r="AU54" s="2927"/>
      <c r="AV54" s="794">
        <f t="shared" si="11"/>
        <v>0</v>
      </c>
      <c r="AW54" s="794">
        <f t="shared" si="12"/>
        <v>0</v>
      </c>
      <c r="AX54" s="794">
        <f t="shared" si="13"/>
        <v>0</v>
      </c>
      <c r="AY54" s="1462">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45">
        <f t="shared" si="35"/>
        <v>0</v>
      </c>
    </row>
    <row r="55" spans="1:72">
      <c r="A55" s="1526"/>
      <c r="B55" s="1534"/>
      <c r="C55" s="1534"/>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899"/>
      <c r="AU55" s="2927"/>
      <c r="AV55" s="794">
        <f t="shared" si="11"/>
        <v>0</v>
      </c>
      <c r="AW55" s="794">
        <f t="shared" si="12"/>
        <v>0</v>
      </c>
      <c r="AX55" s="794">
        <f t="shared" si="13"/>
        <v>0</v>
      </c>
      <c r="AY55" s="1462">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45">
        <f t="shared" si="35"/>
        <v>0</v>
      </c>
    </row>
    <row r="56" spans="1:72">
      <c r="A56" s="1526"/>
      <c r="B56" s="1534"/>
      <c r="C56" s="1534"/>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899"/>
      <c r="AU56" s="2927"/>
      <c r="AV56" s="794">
        <f t="shared" si="11"/>
        <v>0</v>
      </c>
      <c r="AW56" s="794">
        <f t="shared" si="12"/>
        <v>0</v>
      </c>
      <c r="AX56" s="794">
        <f t="shared" si="13"/>
        <v>0</v>
      </c>
      <c r="AY56" s="1462">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45">
        <f t="shared" si="35"/>
        <v>0</v>
      </c>
    </row>
    <row r="57" spans="1:72">
      <c r="A57" s="1526"/>
      <c r="B57" s="1534"/>
      <c r="C57" s="1534"/>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899"/>
      <c r="AU57" s="2927"/>
      <c r="AV57" s="794">
        <f t="shared" si="11"/>
        <v>0</v>
      </c>
      <c r="AW57" s="794">
        <f t="shared" si="12"/>
        <v>0</v>
      </c>
      <c r="AX57" s="794">
        <f t="shared" si="13"/>
        <v>0</v>
      </c>
      <c r="AY57" s="1462">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45">
        <f t="shared" si="35"/>
        <v>0</v>
      </c>
    </row>
    <row r="58" spans="1:72">
      <c r="A58" s="1526"/>
      <c r="B58" s="1534"/>
      <c r="C58" s="1534"/>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899"/>
      <c r="AU58" s="2927"/>
      <c r="AV58" s="794">
        <f t="shared" si="11"/>
        <v>0</v>
      </c>
      <c r="AW58" s="794">
        <f t="shared" si="12"/>
        <v>0</v>
      </c>
      <c r="AX58" s="794">
        <f t="shared" si="13"/>
        <v>0</v>
      </c>
      <c r="AY58" s="1462">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45">
        <f t="shared" si="35"/>
        <v>0</v>
      </c>
    </row>
    <row r="59" spans="1:72">
      <c r="A59" s="1526"/>
      <c r="B59" s="1534"/>
      <c r="C59" s="1534"/>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899"/>
      <c r="AU59" s="2927"/>
      <c r="AV59" s="794">
        <f t="shared" si="11"/>
        <v>0</v>
      </c>
      <c r="AW59" s="794">
        <f t="shared" si="12"/>
        <v>0</v>
      </c>
      <c r="AX59" s="794">
        <f t="shared" si="13"/>
        <v>0</v>
      </c>
      <c r="AY59" s="1462">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45">
        <f t="shared" si="35"/>
        <v>0</v>
      </c>
    </row>
    <row r="60" spans="1:72">
      <c r="A60" s="1526"/>
      <c r="B60" s="1534"/>
      <c r="C60" s="1534"/>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899"/>
      <c r="AU60" s="2927"/>
      <c r="AV60" s="794">
        <f t="shared" si="11"/>
        <v>0</v>
      </c>
      <c r="AW60" s="794">
        <f t="shared" si="12"/>
        <v>0</v>
      </c>
      <c r="AX60" s="794">
        <f t="shared" si="13"/>
        <v>0</v>
      </c>
      <c r="AY60" s="1462">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45">
        <f t="shared" si="35"/>
        <v>0</v>
      </c>
    </row>
    <row r="61" spans="1:72">
      <c r="A61" s="1526"/>
      <c r="B61" s="1534"/>
      <c r="C61" s="1534"/>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899"/>
      <c r="AU61" s="2927"/>
      <c r="AV61" s="794">
        <f t="shared" si="11"/>
        <v>0</v>
      </c>
      <c r="AW61" s="794">
        <f t="shared" si="12"/>
        <v>0</v>
      </c>
      <c r="AX61" s="794">
        <f t="shared" si="13"/>
        <v>0</v>
      </c>
      <c r="AY61" s="1462">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45">
        <f t="shared" si="35"/>
        <v>0</v>
      </c>
    </row>
    <row r="62" spans="1:72">
      <c r="A62" s="1526"/>
      <c r="B62" s="1534"/>
      <c r="C62" s="1534"/>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899"/>
      <c r="AU62" s="2927"/>
      <c r="AV62" s="794">
        <f t="shared" si="11"/>
        <v>0</v>
      </c>
      <c r="AW62" s="794">
        <f t="shared" si="12"/>
        <v>0</v>
      </c>
      <c r="AX62" s="794">
        <f t="shared" si="13"/>
        <v>0</v>
      </c>
      <c r="AY62" s="1462">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45">
        <f t="shared" si="35"/>
        <v>0</v>
      </c>
    </row>
    <row r="63" spans="1:72">
      <c r="A63" s="1526"/>
      <c r="B63" s="1534"/>
      <c r="C63" s="1534"/>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899"/>
      <c r="AU63" s="2927"/>
      <c r="AV63" s="794">
        <f t="shared" si="11"/>
        <v>0</v>
      </c>
      <c r="AW63" s="794">
        <f t="shared" si="12"/>
        <v>0</v>
      </c>
      <c r="AX63" s="794">
        <f t="shared" si="13"/>
        <v>0</v>
      </c>
      <c r="AY63" s="1462">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45">
        <f t="shared" si="35"/>
        <v>0</v>
      </c>
    </row>
    <row r="64" spans="1:72">
      <c r="A64" s="1526"/>
      <c r="B64" s="1534"/>
      <c r="C64" s="1534"/>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899"/>
      <c r="AU64" s="2927"/>
      <c r="AV64" s="794">
        <f t="shared" si="11"/>
        <v>0</v>
      </c>
      <c r="AW64" s="794">
        <f t="shared" si="12"/>
        <v>0</v>
      </c>
      <c r="AX64" s="794">
        <f t="shared" si="13"/>
        <v>0</v>
      </c>
      <c r="AY64" s="1462">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45">
        <f t="shared" si="35"/>
        <v>0</v>
      </c>
    </row>
    <row r="65" spans="1:72">
      <c r="A65" s="1526"/>
      <c r="B65" s="1534"/>
      <c r="C65" s="1534"/>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899"/>
      <c r="AU65" s="2927"/>
      <c r="AV65" s="794">
        <f t="shared" si="11"/>
        <v>0</v>
      </c>
      <c r="AW65" s="794">
        <f t="shared" si="12"/>
        <v>0</v>
      </c>
      <c r="AX65" s="794">
        <f t="shared" si="13"/>
        <v>0</v>
      </c>
      <c r="AY65" s="1462">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45">
        <f t="shared" si="35"/>
        <v>0</v>
      </c>
    </row>
    <row r="66" spans="1:72">
      <c r="A66" s="1526"/>
      <c r="B66" s="1534"/>
      <c r="C66" s="1534"/>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899"/>
      <c r="AU66" s="2927"/>
      <c r="AV66" s="794">
        <f t="shared" si="11"/>
        <v>0</v>
      </c>
      <c r="AW66" s="794">
        <f t="shared" si="12"/>
        <v>0</v>
      </c>
      <c r="AX66" s="794">
        <f t="shared" si="13"/>
        <v>0</v>
      </c>
      <c r="AY66" s="1462">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45">
        <f t="shared" si="35"/>
        <v>0</v>
      </c>
    </row>
    <row r="67" spans="1:72">
      <c r="A67" s="1526"/>
      <c r="B67" s="1534"/>
      <c r="C67" s="1534"/>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899"/>
      <c r="AU67" s="2927"/>
      <c r="AV67" s="794">
        <f t="shared" si="11"/>
        <v>0</v>
      </c>
      <c r="AW67" s="794">
        <f t="shared" si="12"/>
        <v>0</v>
      </c>
      <c r="AX67" s="794">
        <f t="shared" si="13"/>
        <v>0</v>
      </c>
      <c r="AY67" s="1462">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45">
        <f t="shared" si="35"/>
        <v>0</v>
      </c>
    </row>
    <row r="68" spans="1:72">
      <c r="A68" s="1526"/>
      <c r="B68" s="1534"/>
      <c r="C68" s="1534"/>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899"/>
      <c r="AU68" s="2927"/>
      <c r="AV68" s="794">
        <f t="shared" si="11"/>
        <v>0</v>
      </c>
      <c r="AW68" s="794">
        <f t="shared" si="12"/>
        <v>0</v>
      </c>
      <c r="AX68" s="794">
        <f t="shared" si="13"/>
        <v>0</v>
      </c>
      <c r="AY68" s="1462">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45">
        <f t="shared" si="35"/>
        <v>0</v>
      </c>
    </row>
    <row r="69" spans="1:72">
      <c r="A69" s="1526"/>
      <c r="B69" s="1534"/>
      <c r="C69" s="1534"/>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899"/>
      <c r="AU69" s="2927"/>
      <c r="AV69" s="794">
        <f t="shared" si="11"/>
        <v>0</v>
      </c>
      <c r="AW69" s="794">
        <f t="shared" si="12"/>
        <v>0</v>
      </c>
      <c r="AX69" s="794">
        <f t="shared" si="13"/>
        <v>0</v>
      </c>
      <c r="AY69" s="1462">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45">
        <f t="shared" si="35"/>
        <v>0</v>
      </c>
    </row>
    <row r="70" spans="1:72">
      <c r="A70" s="1526"/>
      <c r="B70" s="1534"/>
      <c r="C70" s="1534"/>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899"/>
      <c r="AU70" s="2927"/>
      <c r="AV70" s="794">
        <f t="shared" si="11"/>
        <v>0</v>
      </c>
      <c r="AW70" s="794">
        <f t="shared" si="12"/>
        <v>0</v>
      </c>
      <c r="AX70" s="794">
        <f t="shared" si="13"/>
        <v>0</v>
      </c>
      <c r="AY70" s="1462">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45">
        <f t="shared" si="35"/>
        <v>0</v>
      </c>
    </row>
    <row r="71" spans="1:72">
      <c r="A71" s="1526"/>
      <c r="B71" s="1534"/>
      <c r="C71" s="1534"/>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899"/>
      <c r="AU71" s="2927"/>
      <c r="AV71" s="794">
        <f t="shared" si="11"/>
        <v>0</v>
      </c>
      <c r="AW71" s="794">
        <f t="shared" si="12"/>
        <v>0</v>
      </c>
      <c r="AX71" s="794">
        <f t="shared" si="13"/>
        <v>0</v>
      </c>
      <c r="AY71" s="1462">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45">
        <f t="shared" si="35"/>
        <v>0</v>
      </c>
    </row>
    <row r="72" spans="1:72">
      <c r="A72" s="1526"/>
      <c r="B72" s="1534"/>
      <c r="C72" s="1534"/>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899"/>
      <c r="AU72" s="2927"/>
      <c r="AV72" s="794">
        <f t="shared" si="11"/>
        <v>0</v>
      </c>
      <c r="AW72" s="794">
        <f t="shared" si="12"/>
        <v>0</v>
      </c>
      <c r="AX72" s="794">
        <f t="shared" si="13"/>
        <v>0</v>
      </c>
      <c r="AY72" s="1462">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45">
        <f t="shared" si="35"/>
        <v>0</v>
      </c>
    </row>
    <row r="73" spans="1:72">
      <c r="A73" s="1526"/>
      <c r="B73" s="1534"/>
      <c r="C73" s="1534"/>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899"/>
      <c r="AU73" s="2927"/>
      <c r="AV73" s="794">
        <f t="shared" si="11"/>
        <v>0</v>
      </c>
      <c r="AW73" s="794">
        <f t="shared" si="12"/>
        <v>0</v>
      </c>
      <c r="AX73" s="794">
        <f t="shared" si="13"/>
        <v>0</v>
      </c>
      <c r="AY73" s="1462">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45">
        <f t="shared" si="35"/>
        <v>0</v>
      </c>
    </row>
    <row r="74" spans="1:72">
      <c r="A74" s="1526"/>
      <c r="B74" s="1534"/>
      <c r="C74" s="1534"/>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899"/>
      <c r="AU74" s="2927"/>
      <c r="AV74" s="794">
        <f t="shared" si="11"/>
        <v>0</v>
      </c>
      <c r="AW74" s="794">
        <f t="shared" si="12"/>
        <v>0</v>
      </c>
      <c r="AX74" s="794">
        <f t="shared" si="13"/>
        <v>0</v>
      </c>
      <c r="AY74" s="1462">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45">
        <f t="shared" si="35"/>
        <v>0</v>
      </c>
    </row>
    <row r="75" spans="1:72">
      <c r="A75" s="1526"/>
      <c r="B75" s="1534"/>
      <c r="C75" s="1534"/>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899"/>
      <c r="AU75" s="2927"/>
      <c r="AV75" s="794">
        <f t="shared" si="11"/>
        <v>0</v>
      </c>
      <c r="AW75" s="794">
        <f t="shared" si="12"/>
        <v>0</v>
      </c>
      <c r="AX75" s="794">
        <f t="shared" si="13"/>
        <v>0</v>
      </c>
      <c r="AY75" s="1462">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45">
        <f t="shared" si="35"/>
        <v>0</v>
      </c>
    </row>
    <row r="76" spans="1:72">
      <c r="A76" s="1526"/>
      <c r="B76" s="1534"/>
      <c r="C76" s="1534"/>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899"/>
      <c r="AU76" s="2927"/>
      <c r="AV76" s="794">
        <f t="shared" si="11"/>
        <v>0</v>
      </c>
      <c r="AW76" s="794">
        <f t="shared" si="12"/>
        <v>0</v>
      </c>
      <c r="AX76" s="794">
        <f t="shared" si="13"/>
        <v>0</v>
      </c>
      <c r="AY76" s="1462">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45">
        <f t="shared" si="35"/>
        <v>0</v>
      </c>
    </row>
    <row r="77" spans="1:72">
      <c r="A77" s="1526"/>
      <c r="B77" s="1534"/>
      <c r="C77" s="1534"/>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899"/>
      <c r="AU77" s="2927"/>
      <c r="AV77" s="794">
        <f t="shared" si="11"/>
        <v>0</v>
      </c>
      <c r="AW77" s="794">
        <f t="shared" si="12"/>
        <v>0</v>
      </c>
      <c r="AX77" s="794">
        <f t="shared" si="13"/>
        <v>0</v>
      </c>
      <c r="AY77" s="1462">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45">
        <f t="shared" si="35"/>
        <v>0</v>
      </c>
    </row>
    <row r="78" spans="1:72">
      <c r="A78" s="1526"/>
      <c r="B78" s="1534"/>
      <c r="C78" s="1534"/>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899"/>
      <c r="AU78" s="2927"/>
      <c r="AV78" s="794">
        <f t="shared" si="11"/>
        <v>0</v>
      </c>
      <c r="AW78" s="794">
        <f t="shared" si="12"/>
        <v>0</v>
      </c>
      <c r="AX78" s="794">
        <f t="shared" si="13"/>
        <v>0</v>
      </c>
      <c r="AY78" s="1462">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45">
        <f t="shared" si="35"/>
        <v>0</v>
      </c>
    </row>
    <row r="79" spans="1:72">
      <c r="A79" s="1526"/>
      <c r="B79" s="1534"/>
      <c r="C79" s="1534"/>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899"/>
      <c r="AU79" s="2927"/>
      <c r="AV79" s="794">
        <f t="shared" si="11"/>
        <v>0</v>
      </c>
      <c r="AW79" s="794">
        <f t="shared" si="12"/>
        <v>0</v>
      </c>
      <c r="AX79" s="794">
        <f t="shared" si="13"/>
        <v>0</v>
      </c>
      <c r="AY79" s="1462">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45">
        <f t="shared" si="35"/>
        <v>0</v>
      </c>
    </row>
    <row r="80" spans="1:72">
      <c r="A80" s="1526"/>
      <c r="B80" s="1534"/>
      <c r="C80" s="1534"/>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899"/>
      <c r="AU80" s="2927"/>
      <c r="AV80" s="794">
        <f t="shared" si="11"/>
        <v>0</v>
      </c>
      <c r="AW80" s="794">
        <f t="shared" si="12"/>
        <v>0</v>
      </c>
      <c r="AX80" s="794">
        <f t="shared" si="13"/>
        <v>0</v>
      </c>
      <c r="AY80" s="1462">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45">
        <f t="shared" si="35"/>
        <v>0</v>
      </c>
    </row>
    <row r="81" spans="1:72">
      <c r="A81" s="1526"/>
      <c r="B81" s="1534"/>
      <c r="C81" s="1534"/>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899"/>
      <c r="AU81" s="2927"/>
      <c r="AV81" s="794">
        <f t="shared" si="11"/>
        <v>0</v>
      </c>
      <c r="AW81" s="794">
        <f t="shared" si="12"/>
        <v>0</v>
      </c>
      <c r="AX81" s="794">
        <f t="shared" si="13"/>
        <v>0</v>
      </c>
      <c r="AY81" s="1462">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45">
        <f t="shared" si="35"/>
        <v>0</v>
      </c>
    </row>
    <row r="82" spans="1:72">
      <c r="A82" s="1526"/>
      <c r="B82" s="1534"/>
      <c r="C82" s="1534"/>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899"/>
      <c r="AU82" s="2927"/>
      <c r="AV82" s="794">
        <f t="shared" si="11"/>
        <v>0</v>
      </c>
      <c r="AW82" s="794">
        <f t="shared" si="12"/>
        <v>0</v>
      </c>
      <c r="AX82" s="794">
        <f t="shared" si="13"/>
        <v>0</v>
      </c>
      <c r="AY82" s="1462">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45">
        <f t="shared" si="35"/>
        <v>0</v>
      </c>
    </row>
    <row r="83" spans="1:72">
      <c r="A83" s="1526"/>
      <c r="B83" s="1534"/>
      <c r="C83" s="1534"/>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899"/>
      <c r="AU83" s="2927"/>
      <c r="AV83" s="794">
        <f t="shared" si="11"/>
        <v>0</v>
      </c>
      <c r="AW83" s="794">
        <f t="shared" si="12"/>
        <v>0</v>
      </c>
      <c r="AX83" s="794">
        <f t="shared" si="13"/>
        <v>0</v>
      </c>
      <c r="AY83" s="1462">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45">
        <f t="shared" si="35"/>
        <v>0</v>
      </c>
    </row>
    <row r="84" spans="1:72">
      <c r="A84" s="1526"/>
      <c r="B84" s="1534"/>
      <c r="C84" s="1534"/>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899"/>
      <c r="AU84" s="2927"/>
      <c r="AV84" s="794">
        <f t="shared" si="11"/>
        <v>0</v>
      </c>
      <c r="AW84" s="794">
        <f t="shared" si="12"/>
        <v>0</v>
      </c>
      <c r="AX84" s="794">
        <f t="shared" si="13"/>
        <v>0</v>
      </c>
      <c r="AY84" s="1462">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45">
        <f t="shared" si="35"/>
        <v>0</v>
      </c>
    </row>
    <row r="85" spans="1:72">
      <c r="A85" s="1526"/>
      <c r="B85" s="1534"/>
      <c r="C85" s="1534"/>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899"/>
      <c r="AU85" s="2927"/>
      <c r="AV85" s="794">
        <f t="shared" si="11"/>
        <v>0</v>
      </c>
      <c r="AW85" s="794">
        <f t="shared" si="12"/>
        <v>0</v>
      </c>
      <c r="AX85" s="794">
        <f t="shared" si="13"/>
        <v>0</v>
      </c>
      <c r="AY85" s="1462">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45">
        <f t="shared" si="35"/>
        <v>0</v>
      </c>
    </row>
    <row r="86" spans="1:72">
      <c r="A86" s="1526"/>
      <c r="B86" s="1534"/>
      <c r="C86" s="1534"/>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899"/>
      <c r="AU86" s="2927"/>
      <c r="AV86" s="794">
        <f t="shared" si="11"/>
        <v>0</v>
      </c>
      <c r="AW86" s="794">
        <f t="shared" si="12"/>
        <v>0</v>
      </c>
      <c r="AX86" s="794">
        <f t="shared" si="13"/>
        <v>0</v>
      </c>
      <c r="AY86" s="1462">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45">
        <f t="shared" si="35"/>
        <v>0</v>
      </c>
    </row>
    <row r="87" spans="1:72">
      <c r="A87" s="1526"/>
      <c r="B87" s="1534"/>
      <c r="C87" s="1534"/>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899"/>
      <c r="AU87" s="2927"/>
      <c r="AV87" s="794">
        <f t="shared" si="11"/>
        <v>0</v>
      </c>
      <c r="AW87" s="794">
        <f t="shared" si="12"/>
        <v>0</v>
      </c>
      <c r="AX87" s="794">
        <f t="shared" si="13"/>
        <v>0</v>
      </c>
      <c r="AY87" s="1462">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45">
        <f t="shared" si="35"/>
        <v>0</v>
      </c>
    </row>
    <row r="88" spans="1:72">
      <c r="A88" s="1526"/>
      <c r="B88" s="1534"/>
      <c r="C88" s="1534"/>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899"/>
      <c r="AU88" s="2927"/>
      <c r="AV88" s="794">
        <f t="shared" si="11"/>
        <v>0</v>
      </c>
      <c r="AW88" s="794">
        <f t="shared" si="12"/>
        <v>0</v>
      </c>
      <c r="AX88" s="794">
        <f t="shared" si="13"/>
        <v>0</v>
      </c>
      <c r="AY88" s="1462">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45">
        <f t="shared" si="35"/>
        <v>0</v>
      </c>
    </row>
    <row r="89" spans="1:72">
      <c r="A89" s="1526"/>
      <c r="B89" s="1534"/>
      <c r="C89" s="1534"/>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899"/>
      <c r="AU89" s="2927"/>
      <c r="AV89" s="794">
        <f t="shared" si="11"/>
        <v>0</v>
      </c>
      <c r="AW89" s="794">
        <f t="shared" si="12"/>
        <v>0</v>
      </c>
      <c r="AX89" s="794">
        <f t="shared" si="13"/>
        <v>0</v>
      </c>
      <c r="AY89" s="1462">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45">
        <f t="shared" si="35"/>
        <v>0</v>
      </c>
    </row>
    <row r="90" spans="1:72">
      <c r="A90" s="1526"/>
      <c r="B90" s="1534"/>
      <c r="C90" s="1534"/>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899"/>
      <c r="AU90" s="2927"/>
      <c r="AV90" s="794">
        <f t="shared" si="11"/>
        <v>0</v>
      </c>
      <c r="AW90" s="794">
        <f t="shared" si="12"/>
        <v>0</v>
      </c>
      <c r="AX90" s="794">
        <f t="shared" si="13"/>
        <v>0</v>
      </c>
      <c r="AY90" s="1462">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45">
        <f t="shared" si="35"/>
        <v>0</v>
      </c>
    </row>
    <row r="91" spans="1:72">
      <c r="A91" s="1526"/>
      <c r="B91" s="1534"/>
      <c r="C91" s="1534"/>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899"/>
      <c r="AU91" s="2927"/>
      <c r="AV91" s="794">
        <f t="shared" si="11"/>
        <v>0</v>
      </c>
      <c r="AW91" s="794">
        <f t="shared" si="12"/>
        <v>0</v>
      </c>
      <c r="AX91" s="794">
        <f t="shared" si="13"/>
        <v>0</v>
      </c>
      <c r="AY91" s="1462">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45">
        <f t="shared" si="35"/>
        <v>0</v>
      </c>
    </row>
    <row r="92" spans="1:72">
      <c r="A92" s="1526"/>
      <c r="B92" s="1534"/>
      <c r="C92" s="1534"/>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899"/>
      <c r="AU92" s="2927"/>
      <c r="AV92" s="794">
        <f t="shared" si="11"/>
        <v>0</v>
      </c>
      <c r="AW92" s="794">
        <f t="shared" si="12"/>
        <v>0</v>
      </c>
      <c r="AX92" s="794">
        <f t="shared" si="13"/>
        <v>0</v>
      </c>
      <c r="AY92" s="1462">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45">
        <f t="shared" si="35"/>
        <v>0</v>
      </c>
    </row>
    <row r="93" spans="1:72">
      <c r="A93" s="1526"/>
      <c r="B93" s="1534"/>
      <c r="C93" s="1534"/>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899"/>
      <c r="AU93" s="2927"/>
      <c r="AV93" s="794">
        <f t="shared" si="11"/>
        <v>0</v>
      </c>
      <c r="AW93" s="794">
        <f t="shared" si="12"/>
        <v>0</v>
      </c>
      <c r="AX93" s="794">
        <f t="shared" si="13"/>
        <v>0</v>
      </c>
      <c r="AY93" s="1462">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45">
        <f t="shared" si="35"/>
        <v>0</v>
      </c>
    </row>
    <row r="94" spans="1:72">
      <c r="A94" s="1526"/>
      <c r="B94" s="1534"/>
      <c r="C94" s="1534"/>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899"/>
      <c r="AU94" s="2927"/>
      <c r="AV94" s="794">
        <f t="shared" si="11"/>
        <v>0</v>
      </c>
      <c r="AW94" s="794">
        <f t="shared" si="12"/>
        <v>0</v>
      </c>
      <c r="AX94" s="794">
        <f t="shared" si="13"/>
        <v>0</v>
      </c>
      <c r="AY94" s="1462">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45">
        <f t="shared" si="35"/>
        <v>0</v>
      </c>
    </row>
    <row r="95" spans="1:72">
      <c r="A95" s="1526"/>
      <c r="B95" s="1534"/>
      <c r="C95" s="1534"/>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899"/>
      <c r="AU95" s="2927"/>
      <c r="AV95" s="794">
        <f t="shared" si="11"/>
        <v>0</v>
      </c>
      <c r="AW95" s="794">
        <f t="shared" si="12"/>
        <v>0</v>
      </c>
      <c r="AX95" s="794">
        <f t="shared" si="13"/>
        <v>0</v>
      </c>
      <c r="AY95" s="1462">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45">
        <f t="shared" si="35"/>
        <v>0</v>
      </c>
    </row>
    <row r="96" spans="1:72">
      <c r="A96" s="1526"/>
      <c r="B96" s="1534"/>
      <c r="C96" s="1534"/>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899"/>
      <c r="AU96" s="2927"/>
      <c r="AV96" s="794">
        <f t="shared" si="11"/>
        <v>0</v>
      </c>
      <c r="AW96" s="794">
        <f t="shared" si="12"/>
        <v>0</v>
      </c>
      <c r="AX96" s="794">
        <f t="shared" si="13"/>
        <v>0</v>
      </c>
      <c r="AY96" s="1462">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45">
        <f t="shared" si="35"/>
        <v>0</v>
      </c>
    </row>
    <row r="97" spans="1:72">
      <c r="A97" s="1526"/>
      <c r="B97" s="1534"/>
      <c r="C97" s="1534"/>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899"/>
      <c r="AU97" s="2927"/>
      <c r="AV97" s="794">
        <f t="shared" si="11"/>
        <v>0</v>
      </c>
      <c r="AW97" s="794">
        <f t="shared" si="12"/>
        <v>0</v>
      </c>
      <c r="AX97" s="794">
        <f t="shared" si="13"/>
        <v>0</v>
      </c>
      <c r="AY97" s="1462">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45">
        <f t="shared" si="35"/>
        <v>0</v>
      </c>
    </row>
    <row r="98" spans="1:72">
      <c r="A98" s="1526"/>
      <c r="B98" s="1534"/>
      <c r="C98" s="1534"/>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899"/>
      <c r="AU98" s="2927"/>
      <c r="AV98" s="794">
        <f t="shared" si="11"/>
        <v>0</v>
      </c>
      <c r="AW98" s="794">
        <f t="shared" si="12"/>
        <v>0</v>
      </c>
      <c r="AX98" s="794">
        <f t="shared" si="13"/>
        <v>0</v>
      </c>
      <c r="AY98" s="1462">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45">
        <f t="shared" si="35"/>
        <v>0</v>
      </c>
    </row>
    <row r="99" spans="1:72">
      <c r="A99" s="1526"/>
      <c r="B99" s="1534"/>
      <c r="C99" s="1534"/>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899"/>
      <c r="AU99" s="2927"/>
      <c r="AV99" s="794">
        <f t="shared" si="11"/>
        <v>0</v>
      </c>
      <c r="AW99" s="794">
        <f t="shared" si="12"/>
        <v>0</v>
      </c>
      <c r="AX99" s="794">
        <f t="shared" si="13"/>
        <v>0</v>
      </c>
      <c r="AY99" s="1462">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45">
        <f t="shared" si="35"/>
        <v>0</v>
      </c>
    </row>
    <row r="100" spans="1:72">
      <c r="A100" s="1526"/>
      <c r="B100" s="1534"/>
      <c r="C100" s="1534"/>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899"/>
      <c r="AU100" s="2927"/>
      <c r="AV100" s="794">
        <f t="shared" si="11"/>
        <v>0</v>
      </c>
      <c r="AW100" s="794">
        <f t="shared" si="12"/>
        <v>0</v>
      </c>
      <c r="AX100" s="794">
        <f t="shared" si="13"/>
        <v>0</v>
      </c>
      <c r="AY100" s="1462">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45">
        <f t="shared" si="35"/>
        <v>0</v>
      </c>
    </row>
    <row r="101" spans="1:72">
      <c r="A101" s="1526"/>
      <c r="B101" s="1534"/>
      <c r="C101" s="1534"/>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899"/>
      <c r="AU101" s="2927"/>
      <c r="AV101" s="794">
        <f t="shared" si="11"/>
        <v>0</v>
      </c>
      <c r="AW101" s="794">
        <f t="shared" si="12"/>
        <v>0</v>
      </c>
      <c r="AX101" s="794">
        <f t="shared" si="13"/>
        <v>0</v>
      </c>
      <c r="AY101" s="1462">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45">
        <f t="shared" si="35"/>
        <v>0</v>
      </c>
    </row>
    <row r="102" spans="1:72">
      <c r="A102" s="1526"/>
      <c r="B102" s="1534"/>
      <c r="C102" s="1534"/>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899"/>
      <c r="AU102" s="2927"/>
      <c r="AV102" s="794">
        <f t="shared" si="11"/>
        <v>0</v>
      </c>
      <c r="AW102" s="794">
        <f t="shared" si="12"/>
        <v>0</v>
      </c>
      <c r="AX102" s="794">
        <f t="shared" si="13"/>
        <v>0</v>
      </c>
      <c r="AY102" s="1462">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45">
        <f t="shared" si="35"/>
        <v>0</v>
      </c>
    </row>
    <row r="103" spans="1:72">
      <c r="A103" s="1526"/>
      <c r="B103" s="1534"/>
      <c r="C103" s="1534"/>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899"/>
      <c r="AU103" s="2927"/>
      <c r="AV103" s="794">
        <f t="shared" si="11"/>
        <v>0</v>
      </c>
      <c r="AW103" s="794">
        <f t="shared" si="12"/>
        <v>0</v>
      </c>
      <c r="AX103" s="794">
        <f t="shared" si="13"/>
        <v>0</v>
      </c>
      <c r="AY103" s="1462">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45">
        <f t="shared" si="35"/>
        <v>0</v>
      </c>
    </row>
    <row r="104" spans="1:72">
      <c r="A104" s="1526"/>
      <c r="B104" s="1534"/>
      <c r="C104" s="1534"/>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899"/>
      <c r="AU104" s="2927"/>
      <c r="AV104" s="794">
        <f t="shared" si="11"/>
        <v>0</v>
      </c>
      <c r="AW104" s="794">
        <f t="shared" si="12"/>
        <v>0</v>
      </c>
      <c r="AX104" s="794">
        <f t="shared" si="13"/>
        <v>0</v>
      </c>
      <c r="AY104" s="1462">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45">
        <f t="shared" si="35"/>
        <v>0</v>
      </c>
    </row>
    <row r="105" spans="1:72">
      <c r="A105" s="1526"/>
      <c r="B105" s="1534"/>
      <c r="C105" s="1534"/>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899"/>
      <c r="AU105" s="2927"/>
      <c r="AV105" s="794">
        <f t="shared" si="11"/>
        <v>0</v>
      </c>
      <c r="AW105" s="794">
        <f t="shared" si="12"/>
        <v>0</v>
      </c>
      <c r="AX105" s="794">
        <f t="shared" si="13"/>
        <v>0</v>
      </c>
      <c r="AY105" s="1462">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45">
        <f t="shared" si="35"/>
        <v>0</v>
      </c>
    </row>
    <row r="106" spans="1:72">
      <c r="A106" s="1526"/>
      <c r="B106" s="1534"/>
      <c r="C106" s="1534"/>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899"/>
      <c r="AU106" s="2927"/>
      <c r="AV106" s="794">
        <f t="shared" si="11"/>
        <v>0</v>
      </c>
      <c r="AW106" s="794">
        <f t="shared" si="12"/>
        <v>0</v>
      </c>
      <c r="AX106" s="794">
        <f t="shared" si="13"/>
        <v>0</v>
      </c>
      <c r="AY106" s="1462">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45">
        <f t="shared" si="35"/>
        <v>0</v>
      </c>
    </row>
    <row r="107" spans="1:72">
      <c r="A107" s="1526"/>
      <c r="B107" s="1534"/>
      <c r="C107" s="1534"/>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899"/>
      <c r="AU107" s="2927"/>
      <c r="AV107" s="794">
        <f t="shared" si="11"/>
        <v>0</v>
      </c>
      <c r="AW107" s="794">
        <f t="shared" si="12"/>
        <v>0</v>
      </c>
      <c r="AX107" s="794">
        <f t="shared" si="13"/>
        <v>0</v>
      </c>
      <c r="AY107" s="1462">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45">
        <f t="shared" si="35"/>
        <v>0</v>
      </c>
    </row>
    <row r="108" spans="1:72">
      <c r="A108" s="1526"/>
      <c r="B108" s="1534"/>
      <c r="C108" s="1534"/>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899"/>
      <c r="AU108" s="2927"/>
      <c r="AV108" s="794">
        <f t="shared" si="11"/>
        <v>0</v>
      </c>
      <c r="AW108" s="794">
        <f t="shared" si="12"/>
        <v>0</v>
      </c>
      <c r="AX108" s="794">
        <f t="shared" si="13"/>
        <v>0</v>
      </c>
      <c r="AY108" s="1462">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45">
        <f t="shared" si="35"/>
        <v>0</v>
      </c>
    </row>
    <row r="109" spans="1:72">
      <c r="A109" s="1526"/>
      <c r="B109" s="1534"/>
      <c r="C109" s="1534"/>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899"/>
      <c r="AU109" s="2927"/>
      <c r="AV109" s="794">
        <f t="shared" si="11"/>
        <v>0</v>
      </c>
      <c r="AW109" s="794">
        <f t="shared" si="12"/>
        <v>0</v>
      </c>
      <c r="AX109" s="794">
        <f t="shared" si="13"/>
        <v>0</v>
      </c>
      <c r="AY109" s="1462">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45">
        <f t="shared" si="35"/>
        <v>0</v>
      </c>
    </row>
    <row r="110" spans="1:72">
      <c r="A110" s="1526"/>
      <c r="B110" s="1526"/>
      <c r="C110" s="1526"/>
      <c r="D110" s="2897"/>
      <c r="E110" s="2898">
        <f t="shared" si="7"/>
        <v>0</v>
      </c>
      <c r="F110" s="2918"/>
      <c r="G110" s="2900">
        <f t="shared" ref="G110:G141" si="36">H110+AC110+AT110</f>
        <v>0</v>
      </c>
      <c r="H110" s="2901">
        <f t="shared" ref="H110:H141" si="37">SUMIF(I$12:AB$12,"总值",I110:AB110)</f>
        <v>0</v>
      </c>
      <c r="I110" s="2946"/>
      <c r="J110" s="2946"/>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1569"/>
      <c r="AV110" s="794">
        <f t="shared" si="11"/>
        <v>0</v>
      </c>
      <c r="AW110" s="794">
        <f t="shared" si="12"/>
        <v>0</v>
      </c>
      <c r="AX110" s="794">
        <f t="shared" si="13"/>
        <v>0</v>
      </c>
      <c r="AY110" s="1462">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45">
        <f t="shared" ref="BT110:BT141" si="60">IF($D110="是",AR110-AS110,0)</f>
        <v>0</v>
      </c>
    </row>
    <row r="111" spans="1:72">
      <c r="A111" s="1526"/>
      <c r="B111" s="1526"/>
      <c r="C111" s="1526"/>
      <c r="D111" s="2897"/>
      <c r="E111" s="2898">
        <f t="shared" si="7"/>
        <v>0</v>
      </c>
      <c r="F111" s="2918"/>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1569"/>
      <c r="AV111" s="794">
        <f t="shared" si="11"/>
        <v>0</v>
      </c>
      <c r="AW111" s="794">
        <f t="shared" si="12"/>
        <v>0</v>
      </c>
      <c r="AX111" s="794">
        <f t="shared" si="13"/>
        <v>0</v>
      </c>
      <c r="AY111" s="1462">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45">
        <f t="shared" si="60"/>
        <v>0</v>
      </c>
    </row>
    <row r="112" spans="1:72">
      <c r="A112" s="1526"/>
      <c r="B112" s="1526"/>
      <c r="C112" s="1526"/>
      <c r="D112" s="2897"/>
      <c r="E112" s="2898">
        <f t="shared" si="7"/>
        <v>0</v>
      </c>
      <c r="F112" s="2918"/>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1569"/>
      <c r="AV112" s="794">
        <f t="shared" si="11"/>
        <v>0</v>
      </c>
      <c r="AW112" s="794">
        <f t="shared" si="12"/>
        <v>0</v>
      </c>
      <c r="AX112" s="794">
        <f t="shared" si="13"/>
        <v>0</v>
      </c>
      <c r="AY112" s="1462">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45">
        <f t="shared" si="60"/>
        <v>0</v>
      </c>
    </row>
    <row r="113" spans="1:72">
      <c r="A113" s="1526"/>
      <c r="B113" s="1534"/>
      <c r="C113" s="1534"/>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899"/>
      <c r="AU113" s="2927"/>
      <c r="AV113" s="794">
        <f t="shared" ref="AV113:AV144" si="62">A113</f>
        <v>0</v>
      </c>
      <c r="AW113" s="794">
        <f t="shared" ref="AW113:AW144" si="63">B113</f>
        <v>0</v>
      </c>
      <c r="AX113" s="794">
        <f t="shared" ref="AX113:AX144" si="64">C113</f>
        <v>0</v>
      </c>
      <c r="AY113" s="1462">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45">
        <f t="shared" si="60"/>
        <v>0</v>
      </c>
    </row>
    <row r="114" spans="1:72">
      <c r="A114" s="1526"/>
      <c r="B114" s="1534"/>
      <c r="C114" s="1534"/>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899"/>
      <c r="AU114" s="2927"/>
      <c r="AV114" s="794">
        <f t="shared" si="62"/>
        <v>0</v>
      </c>
      <c r="AW114" s="794">
        <f t="shared" si="63"/>
        <v>0</v>
      </c>
      <c r="AX114" s="794">
        <f t="shared" si="64"/>
        <v>0</v>
      </c>
      <c r="AY114" s="1462">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45">
        <f t="shared" si="60"/>
        <v>0</v>
      </c>
    </row>
    <row r="115" spans="1:72">
      <c r="A115" s="1526"/>
      <c r="B115" s="1534"/>
      <c r="C115" s="1534"/>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899"/>
      <c r="AU115" s="2927"/>
      <c r="AV115" s="794">
        <f t="shared" si="62"/>
        <v>0</v>
      </c>
      <c r="AW115" s="794">
        <f t="shared" si="63"/>
        <v>0</v>
      </c>
      <c r="AX115" s="794">
        <f t="shared" si="64"/>
        <v>0</v>
      </c>
      <c r="AY115" s="1462">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45">
        <f t="shared" si="60"/>
        <v>0</v>
      </c>
    </row>
    <row r="116" spans="1:72">
      <c r="A116" s="1526"/>
      <c r="B116" s="1534"/>
      <c r="C116" s="1534"/>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899"/>
      <c r="AU116" s="2927"/>
      <c r="AV116" s="794">
        <f t="shared" si="62"/>
        <v>0</v>
      </c>
      <c r="AW116" s="794">
        <f t="shared" si="63"/>
        <v>0</v>
      </c>
      <c r="AX116" s="794">
        <f t="shared" si="64"/>
        <v>0</v>
      </c>
      <c r="AY116" s="1462">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45">
        <f t="shared" si="60"/>
        <v>0</v>
      </c>
    </row>
    <row r="117" spans="1:72">
      <c r="A117" s="1526"/>
      <c r="B117" s="1534"/>
      <c r="C117" s="1534"/>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899"/>
      <c r="AU117" s="2927"/>
      <c r="AV117" s="794">
        <f t="shared" si="62"/>
        <v>0</v>
      </c>
      <c r="AW117" s="794">
        <f t="shared" si="63"/>
        <v>0</v>
      </c>
      <c r="AX117" s="794">
        <f t="shared" si="64"/>
        <v>0</v>
      </c>
      <c r="AY117" s="1462">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45">
        <f t="shared" si="60"/>
        <v>0</v>
      </c>
    </row>
    <row r="118" spans="1:72">
      <c r="A118" s="1526"/>
      <c r="B118" s="1534"/>
      <c r="C118" s="1534"/>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899"/>
      <c r="AU118" s="2927"/>
      <c r="AV118" s="794">
        <f t="shared" si="62"/>
        <v>0</v>
      </c>
      <c r="AW118" s="794">
        <f t="shared" si="63"/>
        <v>0</v>
      </c>
      <c r="AX118" s="794">
        <f t="shared" si="64"/>
        <v>0</v>
      </c>
      <c r="AY118" s="1462">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45">
        <f t="shared" si="60"/>
        <v>0</v>
      </c>
    </row>
    <row r="119" spans="1:72">
      <c r="A119" s="1526"/>
      <c r="B119" s="1534"/>
      <c r="C119" s="1534"/>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899"/>
      <c r="AU119" s="2927"/>
      <c r="AV119" s="794">
        <f t="shared" si="62"/>
        <v>0</v>
      </c>
      <c r="AW119" s="794">
        <f t="shared" si="63"/>
        <v>0</v>
      </c>
      <c r="AX119" s="794">
        <f t="shared" si="64"/>
        <v>0</v>
      </c>
      <c r="AY119" s="1462">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45">
        <f t="shared" si="60"/>
        <v>0</v>
      </c>
    </row>
    <row r="120" spans="1:72">
      <c r="A120" s="1526"/>
      <c r="B120" s="1534"/>
      <c r="C120" s="1534"/>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899"/>
      <c r="AU120" s="2927"/>
      <c r="AV120" s="794">
        <f t="shared" si="62"/>
        <v>0</v>
      </c>
      <c r="AW120" s="794">
        <f t="shared" si="63"/>
        <v>0</v>
      </c>
      <c r="AX120" s="794">
        <f t="shared" si="64"/>
        <v>0</v>
      </c>
      <c r="AY120" s="1462">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45">
        <f t="shared" si="60"/>
        <v>0</v>
      </c>
    </row>
    <row r="121" spans="1:72">
      <c r="A121" s="1526"/>
      <c r="B121" s="1534"/>
      <c r="C121" s="1534"/>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899"/>
      <c r="AU121" s="2927"/>
      <c r="AV121" s="794">
        <f t="shared" si="62"/>
        <v>0</v>
      </c>
      <c r="AW121" s="794">
        <f t="shared" si="63"/>
        <v>0</v>
      </c>
      <c r="AX121" s="794">
        <f t="shared" si="64"/>
        <v>0</v>
      </c>
      <c r="AY121" s="1462">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45">
        <f t="shared" si="60"/>
        <v>0</v>
      </c>
    </row>
    <row r="122" spans="1:72">
      <c r="A122" s="1526"/>
      <c r="B122" s="1534"/>
      <c r="C122" s="1534"/>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899"/>
      <c r="AU122" s="2927"/>
      <c r="AV122" s="794">
        <f t="shared" si="62"/>
        <v>0</v>
      </c>
      <c r="AW122" s="794">
        <f t="shared" si="63"/>
        <v>0</v>
      </c>
      <c r="AX122" s="794">
        <f t="shared" si="64"/>
        <v>0</v>
      </c>
      <c r="AY122" s="1462">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45">
        <f t="shared" si="60"/>
        <v>0</v>
      </c>
    </row>
    <row r="123" spans="1:72">
      <c r="A123" s="1526"/>
      <c r="B123" s="1534"/>
      <c r="C123" s="1534"/>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899"/>
      <c r="AU123" s="2927"/>
      <c r="AV123" s="794">
        <f t="shared" si="62"/>
        <v>0</v>
      </c>
      <c r="AW123" s="794">
        <f t="shared" si="63"/>
        <v>0</v>
      </c>
      <c r="AX123" s="794">
        <f t="shared" si="64"/>
        <v>0</v>
      </c>
      <c r="AY123" s="1462">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45">
        <f t="shared" si="60"/>
        <v>0</v>
      </c>
    </row>
    <row r="124" spans="1:72">
      <c r="A124" s="1526"/>
      <c r="B124" s="1534"/>
      <c r="C124" s="1534"/>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899"/>
      <c r="AU124" s="2927"/>
      <c r="AV124" s="794">
        <f t="shared" si="62"/>
        <v>0</v>
      </c>
      <c r="AW124" s="794">
        <f t="shared" si="63"/>
        <v>0</v>
      </c>
      <c r="AX124" s="794">
        <f t="shared" si="64"/>
        <v>0</v>
      </c>
      <c r="AY124" s="1462">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45">
        <f t="shared" si="60"/>
        <v>0</v>
      </c>
    </row>
    <row r="125" spans="1:72">
      <c r="A125" s="1526"/>
      <c r="B125" s="1534"/>
      <c r="C125" s="1534"/>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899"/>
      <c r="AU125" s="2927"/>
      <c r="AV125" s="794">
        <f t="shared" si="62"/>
        <v>0</v>
      </c>
      <c r="AW125" s="794">
        <f t="shared" si="63"/>
        <v>0</v>
      </c>
      <c r="AX125" s="794">
        <f t="shared" si="64"/>
        <v>0</v>
      </c>
      <c r="AY125" s="1462">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45">
        <f t="shared" si="60"/>
        <v>0</v>
      </c>
    </row>
    <row r="126" spans="1:72">
      <c r="A126" s="1526"/>
      <c r="B126" s="1534"/>
      <c r="C126" s="1534"/>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899"/>
      <c r="AU126" s="2927"/>
      <c r="AV126" s="794">
        <f t="shared" si="62"/>
        <v>0</v>
      </c>
      <c r="AW126" s="794">
        <f t="shared" si="63"/>
        <v>0</v>
      </c>
      <c r="AX126" s="794">
        <f t="shared" si="64"/>
        <v>0</v>
      </c>
      <c r="AY126" s="1462">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45">
        <f t="shared" si="60"/>
        <v>0</v>
      </c>
    </row>
    <row r="127" spans="1:72">
      <c r="A127" s="1526"/>
      <c r="B127" s="1534"/>
      <c r="C127" s="1534"/>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899"/>
      <c r="AU127" s="2927"/>
      <c r="AV127" s="794">
        <f t="shared" si="62"/>
        <v>0</v>
      </c>
      <c r="AW127" s="794">
        <f t="shared" si="63"/>
        <v>0</v>
      </c>
      <c r="AX127" s="794">
        <f t="shared" si="64"/>
        <v>0</v>
      </c>
      <c r="AY127" s="1462">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45">
        <f t="shared" si="60"/>
        <v>0</v>
      </c>
    </row>
    <row r="128" spans="1:72">
      <c r="A128" s="1526"/>
      <c r="B128" s="1534"/>
      <c r="C128" s="1534"/>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899"/>
      <c r="AU128" s="2927"/>
      <c r="AV128" s="794">
        <f t="shared" si="62"/>
        <v>0</v>
      </c>
      <c r="AW128" s="794">
        <f t="shared" si="63"/>
        <v>0</v>
      </c>
      <c r="AX128" s="794">
        <f t="shared" si="64"/>
        <v>0</v>
      </c>
      <c r="AY128" s="1462">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45">
        <f t="shared" si="60"/>
        <v>0</v>
      </c>
    </row>
    <row r="129" spans="1:72">
      <c r="A129" s="1526"/>
      <c r="B129" s="1534"/>
      <c r="C129" s="1534"/>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899"/>
      <c r="AU129" s="2927"/>
      <c r="AV129" s="794">
        <f t="shared" si="62"/>
        <v>0</v>
      </c>
      <c r="AW129" s="794">
        <f t="shared" si="63"/>
        <v>0</v>
      </c>
      <c r="AX129" s="794">
        <f t="shared" si="64"/>
        <v>0</v>
      </c>
      <c r="AY129" s="1462">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45">
        <f t="shared" si="60"/>
        <v>0</v>
      </c>
    </row>
    <row r="130" spans="1:72">
      <c r="A130" s="1526"/>
      <c r="B130" s="1534"/>
      <c r="C130" s="1534"/>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899"/>
      <c r="AU130" s="2927"/>
      <c r="AV130" s="794">
        <f t="shared" si="62"/>
        <v>0</v>
      </c>
      <c r="AW130" s="794">
        <f t="shared" si="63"/>
        <v>0</v>
      </c>
      <c r="AX130" s="794">
        <f t="shared" si="64"/>
        <v>0</v>
      </c>
      <c r="AY130" s="1462">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45">
        <f t="shared" si="60"/>
        <v>0</v>
      </c>
    </row>
    <row r="131" spans="1:72">
      <c r="A131" s="1526"/>
      <c r="B131" s="1534"/>
      <c r="C131" s="1534"/>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899"/>
      <c r="AU131" s="2927"/>
      <c r="AV131" s="794">
        <f t="shared" si="62"/>
        <v>0</v>
      </c>
      <c r="AW131" s="794">
        <f t="shared" si="63"/>
        <v>0</v>
      </c>
      <c r="AX131" s="794">
        <f t="shared" si="64"/>
        <v>0</v>
      </c>
      <c r="AY131" s="1462">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45">
        <f t="shared" si="60"/>
        <v>0</v>
      </c>
    </row>
    <row r="132" spans="1:72">
      <c r="A132" s="1526"/>
      <c r="B132" s="1534"/>
      <c r="C132" s="1534"/>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899"/>
      <c r="AU132" s="2927"/>
      <c r="AV132" s="794">
        <f t="shared" si="62"/>
        <v>0</v>
      </c>
      <c r="AW132" s="794">
        <f t="shared" si="63"/>
        <v>0</v>
      </c>
      <c r="AX132" s="794">
        <f t="shared" si="64"/>
        <v>0</v>
      </c>
      <c r="AY132" s="1462">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45">
        <f t="shared" si="60"/>
        <v>0</v>
      </c>
    </row>
    <row r="133" spans="1:72">
      <c r="A133" s="1526"/>
      <c r="B133" s="1534"/>
      <c r="C133" s="1534"/>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899"/>
      <c r="AU133" s="2927"/>
      <c r="AV133" s="794">
        <f t="shared" si="62"/>
        <v>0</v>
      </c>
      <c r="AW133" s="794">
        <f t="shared" si="63"/>
        <v>0</v>
      </c>
      <c r="AX133" s="794">
        <f t="shared" si="64"/>
        <v>0</v>
      </c>
      <c r="AY133" s="1462">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45">
        <f t="shared" si="60"/>
        <v>0</v>
      </c>
    </row>
    <row r="134" spans="1:72">
      <c r="A134" s="1526"/>
      <c r="B134" s="1534"/>
      <c r="C134" s="1534"/>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899"/>
      <c r="AU134" s="2927"/>
      <c r="AV134" s="794">
        <f t="shared" si="62"/>
        <v>0</v>
      </c>
      <c r="AW134" s="794">
        <f t="shared" si="63"/>
        <v>0</v>
      </c>
      <c r="AX134" s="794">
        <f t="shared" si="64"/>
        <v>0</v>
      </c>
      <c r="AY134" s="1462">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45">
        <f t="shared" si="60"/>
        <v>0</v>
      </c>
    </row>
    <row r="135" spans="1:72">
      <c r="A135" s="1526"/>
      <c r="B135" s="1534"/>
      <c r="C135" s="1534"/>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899"/>
      <c r="AU135" s="2927"/>
      <c r="AV135" s="794">
        <f t="shared" si="62"/>
        <v>0</v>
      </c>
      <c r="AW135" s="794">
        <f t="shared" si="63"/>
        <v>0</v>
      </c>
      <c r="AX135" s="794">
        <f t="shared" si="64"/>
        <v>0</v>
      </c>
      <c r="AY135" s="1462">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45">
        <f t="shared" si="60"/>
        <v>0</v>
      </c>
    </row>
    <row r="136" spans="1:72">
      <c r="A136" s="1526"/>
      <c r="B136" s="1534"/>
      <c r="C136" s="1534"/>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899"/>
      <c r="AU136" s="2927"/>
      <c r="AV136" s="794">
        <f t="shared" si="62"/>
        <v>0</v>
      </c>
      <c r="AW136" s="794">
        <f t="shared" si="63"/>
        <v>0</v>
      </c>
      <c r="AX136" s="794">
        <f t="shared" si="64"/>
        <v>0</v>
      </c>
      <c r="AY136" s="1462">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45">
        <f t="shared" si="60"/>
        <v>0</v>
      </c>
    </row>
    <row r="137" spans="1:72">
      <c r="A137" s="1526"/>
      <c r="B137" s="1534"/>
      <c r="C137" s="1534"/>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899"/>
      <c r="AU137" s="2927"/>
      <c r="AV137" s="794">
        <f t="shared" si="62"/>
        <v>0</v>
      </c>
      <c r="AW137" s="794">
        <f t="shared" si="63"/>
        <v>0</v>
      </c>
      <c r="AX137" s="794">
        <f t="shared" si="64"/>
        <v>0</v>
      </c>
      <c r="AY137" s="1462">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45">
        <f t="shared" si="60"/>
        <v>0</v>
      </c>
    </row>
    <row r="138" spans="1:72">
      <c r="A138" s="1526"/>
      <c r="B138" s="1534"/>
      <c r="C138" s="1534"/>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899"/>
      <c r="AU138" s="2927"/>
      <c r="AV138" s="794">
        <f t="shared" si="62"/>
        <v>0</v>
      </c>
      <c r="AW138" s="794">
        <f t="shared" si="63"/>
        <v>0</v>
      </c>
      <c r="AX138" s="794">
        <f t="shared" si="64"/>
        <v>0</v>
      </c>
      <c r="AY138" s="1462">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45">
        <f t="shared" si="60"/>
        <v>0</v>
      </c>
    </row>
    <row r="139" spans="1:72">
      <c r="A139" s="1526"/>
      <c r="B139" s="1534"/>
      <c r="C139" s="1534"/>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899"/>
      <c r="AU139" s="2927"/>
      <c r="AV139" s="794">
        <f t="shared" si="62"/>
        <v>0</v>
      </c>
      <c r="AW139" s="794">
        <f t="shared" si="63"/>
        <v>0</v>
      </c>
      <c r="AX139" s="794">
        <f t="shared" si="64"/>
        <v>0</v>
      </c>
      <c r="AY139" s="1462">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45">
        <f t="shared" si="60"/>
        <v>0</v>
      </c>
    </row>
    <row r="140" spans="1:72">
      <c r="A140" s="1526"/>
      <c r="B140" s="1534"/>
      <c r="C140" s="1534"/>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899"/>
      <c r="AU140" s="2927"/>
      <c r="AV140" s="794">
        <f t="shared" si="62"/>
        <v>0</v>
      </c>
      <c r="AW140" s="794">
        <f t="shared" si="63"/>
        <v>0</v>
      </c>
      <c r="AX140" s="794">
        <f t="shared" si="64"/>
        <v>0</v>
      </c>
      <c r="AY140" s="1462">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45">
        <f t="shared" si="60"/>
        <v>0</v>
      </c>
    </row>
    <row r="141" spans="1:72">
      <c r="A141" s="1526"/>
      <c r="B141" s="1534"/>
      <c r="C141" s="1534"/>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899"/>
      <c r="AU141" s="2927"/>
      <c r="AV141" s="794">
        <f t="shared" si="62"/>
        <v>0</v>
      </c>
      <c r="AW141" s="794">
        <f t="shared" si="63"/>
        <v>0</v>
      </c>
      <c r="AX141" s="794">
        <f t="shared" si="64"/>
        <v>0</v>
      </c>
      <c r="AY141" s="1462">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45">
        <f t="shared" si="60"/>
        <v>0</v>
      </c>
    </row>
    <row r="142" spans="1:72">
      <c r="A142" s="1526"/>
      <c r="B142" s="1534"/>
      <c r="C142" s="1534"/>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899"/>
      <c r="AU142" s="2927"/>
      <c r="AV142" s="794">
        <f t="shared" si="62"/>
        <v>0</v>
      </c>
      <c r="AW142" s="794">
        <f t="shared" si="63"/>
        <v>0</v>
      </c>
      <c r="AX142" s="794">
        <f t="shared" si="64"/>
        <v>0</v>
      </c>
      <c r="AY142" s="1462">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45">
        <f t="shared" ref="BT142:BT173" si="89">IF($D142="是",AR142-AS142,0)</f>
        <v>0</v>
      </c>
    </row>
    <row r="143" spans="1:72">
      <c r="A143" s="1526"/>
      <c r="B143" s="1534"/>
      <c r="C143" s="1534"/>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899"/>
      <c r="AU143" s="2927"/>
      <c r="AV143" s="794">
        <f t="shared" si="62"/>
        <v>0</v>
      </c>
      <c r="AW143" s="794">
        <f t="shared" si="63"/>
        <v>0</v>
      </c>
      <c r="AX143" s="794">
        <f t="shared" si="64"/>
        <v>0</v>
      </c>
      <c r="AY143" s="1462">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45">
        <f t="shared" si="89"/>
        <v>0</v>
      </c>
    </row>
    <row r="144" spans="1:72">
      <c r="A144" s="1526"/>
      <c r="B144" s="1534"/>
      <c r="C144" s="1534"/>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899"/>
      <c r="AU144" s="2927"/>
      <c r="AV144" s="794">
        <f t="shared" si="62"/>
        <v>0</v>
      </c>
      <c r="AW144" s="794">
        <f t="shared" si="63"/>
        <v>0</v>
      </c>
      <c r="AX144" s="794">
        <f t="shared" si="64"/>
        <v>0</v>
      </c>
      <c r="AY144" s="1462">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45">
        <f t="shared" si="89"/>
        <v>0</v>
      </c>
    </row>
    <row r="145" spans="1:72">
      <c r="A145" s="1526"/>
      <c r="B145" s="1534"/>
      <c r="C145" s="1534"/>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899"/>
      <c r="AU145" s="2927"/>
      <c r="AV145" s="794">
        <f t="shared" ref="AV145:AV176" si="91">A145</f>
        <v>0</v>
      </c>
      <c r="AW145" s="794">
        <f t="shared" ref="AW145:AW176" si="92">B145</f>
        <v>0</v>
      </c>
      <c r="AX145" s="794">
        <f t="shared" ref="AX145:AX176" si="93">C145</f>
        <v>0</v>
      </c>
      <c r="AY145" s="1462">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45">
        <f t="shared" si="89"/>
        <v>0</v>
      </c>
    </row>
    <row r="146" spans="1:72">
      <c r="A146" s="1526"/>
      <c r="B146" s="1534"/>
      <c r="C146" s="1534"/>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899"/>
      <c r="AU146" s="2927"/>
      <c r="AV146" s="794">
        <f t="shared" si="91"/>
        <v>0</v>
      </c>
      <c r="AW146" s="794">
        <f t="shared" si="92"/>
        <v>0</v>
      </c>
      <c r="AX146" s="794">
        <f t="shared" si="93"/>
        <v>0</v>
      </c>
      <c r="AY146" s="1462">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45">
        <f t="shared" si="89"/>
        <v>0</v>
      </c>
    </row>
    <row r="147" spans="1:72">
      <c r="A147" s="1526"/>
      <c r="B147" s="1534"/>
      <c r="C147" s="1534"/>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899"/>
      <c r="AU147" s="2927"/>
      <c r="AV147" s="794">
        <f t="shared" si="91"/>
        <v>0</v>
      </c>
      <c r="AW147" s="794">
        <f t="shared" si="92"/>
        <v>0</v>
      </c>
      <c r="AX147" s="794">
        <f t="shared" si="93"/>
        <v>0</v>
      </c>
      <c r="AY147" s="1462">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45">
        <f t="shared" si="89"/>
        <v>0</v>
      </c>
    </row>
    <row r="148" spans="1:72">
      <c r="A148" s="1526"/>
      <c r="B148" s="1534"/>
      <c r="C148" s="1534"/>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899"/>
      <c r="AU148" s="2927"/>
      <c r="AV148" s="794">
        <f t="shared" si="91"/>
        <v>0</v>
      </c>
      <c r="AW148" s="794">
        <f t="shared" si="92"/>
        <v>0</v>
      </c>
      <c r="AX148" s="794">
        <f t="shared" si="93"/>
        <v>0</v>
      </c>
      <c r="AY148" s="1462">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45">
        <f t="shared" si="89"/>
        <v>0</v>
      </c>
    </row>
    <row r="149" spans="1:72">
      <c r="A149" s="1526"/>
      <c r="B149" s="1534"/>
      <c r="C149" s="1534"/>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899"/>
      <c r="AU149" s="2927"/>
      <c r="AV149" s="794">
        <f t="shared" si="91"/>
        <v>0</v>
      </c>
      <c r="AW149" s="794">
        <f t="shared" si="92"/>
        <v>0</v>
      </c>
      <c r="AX149" s="794">
        <f t="shared" si="93"/>
        <v>0</v>
      </c>
      <c r="AY149" s="1462">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45">
        <f t="shared" si="89"/>
        <v>0</v>
      </c>
    </row>
    <row r="150" spans="1:72">
      <c r="A150" s="1526"/>
      <c r="B150" s="1534"/>
      <c r="C150" s="1534"/>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899"/>
      <c r="AU150" s="2927"/>
      <c r="AV150" s="794">
        <f t="shared" si="91"/>
        <v>0</v>
      </c>
      <c r="AW150" s="794">
        <f t="shared" si="92"/>
        <v>0</v>
      </c>
      <c r="AX150" s="794">
        <f t="shared" si="93"/>
        <v>0</v>
      </c>
      <c r="AY150" s="1462">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45">
        <f t="shared" si="89"/>
        <v>0</v>
      </c>
    </row>
    <row r="151" spans="1:72">
      <c r="A151" s="1526"/>
      <c r="B151" s="1534"/>
      <c r="C151" s="1534"/>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899"/>
      <c r="AU151" s="2927"/>
      <c r="AV151" s="794">
        <f t="shared" si="91"/>
        <v>0</v>
      </c>
      <c r="AW151" s="794">
        <f t="shared" si="92"/>
        <v>0</v>
      </c>
      <c r="AX151" s="794">
        <f t="shared" si="93"/>
        <v>0</v>
      </c>
      <c r="AY151" s="1462">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45">
        <f t="shared" si="89"/>
        <v>0</v>
      </c>
    </row>
    <row r="152" spans="1:72">
      <c r="A152" s="1526"/>
      <c r="B152" s="1534"/>
      <c r="C152" s="1534"/>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899"/>
      <c r="AU152" s="2927"/>
      <c r="AV152" s="794">
        <f t="shared" si="91"/>
        <v>0</v>
      </c>
      <c r="AW152" s="794">
        <f t="shared" si="92"/>
        <v>0</v>
      </c>
      <c r="AX152" s="794">
        <f t="shared" si="93"/>
        <v>0</v>
      </c>
      <c r="AY152" s="1462">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45">
        <f t="shared" si="89"/>
        <v>0</v>
      </c>
    </row>
    <row r="153" spans="1:72">
      <c r="A153" s="1526"/>
      <c r="B153" s="1534"/>
      <c r="C153" s="1534"/>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899"/>
      <c r="AU153" s="2927"/>
      <c r="AV153" s="794">
        <f t="shared" si="91"/>
        <v>0</v>
      </c>
      <c r="AW153" s="794">
        <f t="shared" si="92"/>
        <v>0</v>
      </c>
      <c r="AX153" s="794">
        <f t="shared" si="93"/>
        <v>0</v>
      </c>
      <c r="AY153" s="1462">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45">
        <f t="shared" si="89"/>
        <v>0</v>
      </c>
    </row>
    <row r="154" spans="1:72">
      <c r="A154" s="1526"/>
      <c r="B154" s="1534"/>
      <c r="C154" s="1534"/>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899"/>
      <c r="AU154" s="2927"/>
      <c r="AV154" s="794">
        <f t="shared" si="91"/>
        <v>0</v>
      </c>
      <c r="AW154" s="794">
        <f t="shared" si="92"/>
        <v>0</v>
      </c>
      <c r="AX154" s="794">
        <f t="shared" si="93"/>
        <v>0</v>
      </c>
      <c r="AY154" s="1462">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45">
        <f t="shared" si="89"/>
        <v>0</v>
      </c>
    </row>
    <row r="155" spans="1:72">
      <c r="A155" s="1526"/>
      <c r="B155" s="1534"/>
      <c r="C155" s="1534"/>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899"/>
      <c r="AU155" s="2927"/>
      <c r="AV155" s="794">
        <f t="shared" si="91"/>
        <v>0</v>
      </c>
      <c r="AW155" s="794">
        <f t="shared" si="92"/>
        <v>0</v>
      </c>
      <c r="AX155" s="794">
        <f t="shared" si="93"/>
        <v>0</v>
      </c>
      <c r="AY155" s="1462">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45">
        <f t="shared" si="89"/>
        <v>0</v>
      </c>
    </row>
    <row r="156" spans="1:72">
      <c r="A156" s="1526"/>
      <c r="B156" s="1534"/>
      <c r="C156" s="1534"/>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899"/>
      <c r="AU156" s="2927"/>
      <c r="AV156" s="794">
        <f t="shared" si="91"/>
        <v>0</v>
      </c>
      <c r="AW156" s="794">
        <f t="shared" si="92"/>
        <v>0</v>
      </c>
      <c r="AX156" s="794">
        <f t="shared" si="93"/>
        <v>0</v>
      </c>
      <c r="AY156" s="1462">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45">
        <f t="shared" si="89"/>
        <v>0</v>
      </c>
    </row>
    <row r="157" spans="1:72">
      <c r="A157" s="1526"/>
      <c r="B157" s="1534"/>
      <c r="C157" s="1534"/>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899"/>
      <c r="AU157" s="2927"/>
      <c r="AV157" s="794">
        <f t="shared" si="91"/>
        <v>0</v>
      </c>
      <c r="AW157" s="794">
        <f t="shared" si="92"/>
        <v>0</v>
      </c>
      <c r="AX157" s="794">
        <f t="shared" si="93"/>
        <v>0</v>
      </c>
      <c r="AY157" s="1462">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45">
        <f t="shared" si="89"/>
        <v>0</v>
      </c>
    </row>
    <row r="158" spans="1:72">
      <c r="A158" s="1526"/>
      <c r="B158" s="1534"/>
      <c r="C158" s="1534"/>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899"/>
      <c r="AU158" s="2927"/>
      <c r="AV158" s="794">
        <f t="shared" si="91"/>
        <v>0</v>
      </c>
      <c r="AW158" s="794">
        <f t="shared" si="92"/>
        <v>0</v>
      </c>
      <c r="AX158" s="794">
        <f t="shared" si="93"/>
        <v>0</v>
      </c>
      <c r="AY158" s="1462">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45">
        <f t="shared" si="89"/>
        <v>0</v>
      </c>
    </row>
    <row r="159" spans="1:72">
      <c r="A159" s="1526"/>
      <c r="B159" s="1534"/>
      <c r="C159" s="1534"/>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899"/>
      <c r="AU159" s="2927"/>
      <c r="AV159" s="794">
        <f t="shared" si="91"/>
        <v>0</v>
      </c>
      <c r="AW159" s="794">
        <f t="shared" si="92"/>
        <v>0</v>
      </c>
      <c r="AX159" s="794">
        <f t="shared" si="93"/>
        <v>0</v>
      </c>
      <c r="AY159" s="1462">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45">
        <f t="shared" si="89"/>
        <v>0</v>
      </c>
    </row>
    <row r="160" spans="1:72">
      <c r="A160" s="1526"/>
      <c r="B160" s="1534"/>
      <c r="C160" s="1534"/>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899"/>
      <c r="AU160" s="2927"/>
      <c r="AV160" s="794">
        <f t="shared" si="91"/>
        <v>0</v>
      </c>
      <c r="AW160" s="794">
        <f t="shared" si="92"/>
        <v>0</v>
      </c>
      <c r="AX160" s="794">
        <f t="shared" si="93"/>
        <v>0</v>
      </c>
      <c r="AY160" s="1462">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45">
        <f t="shared" si="89"/>
        <v>0</v>
      </c>
    </row>
    <row r="161" spans="1:72">
      <c r="A161" s="1526"/>
      <c r="B161" s="1534"/>
      <c r="C161" s="1534"/>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899"/>
      <c r="AU161" s="2927"/>
      <c r="AV161" s="794">
        <f t="shared" si="91"/>
        <v>0</v>
      </c>
      <c r="AW161" s="794">
        <f t="shared" si="92"/>
        <v>0</v>
      </c>
      <c r="AX161" s="794">
        <f t="shared" si="93"/>
        <v>0</v>
      </c>
      <c r="AY161" s="1462">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45">
        <f t="shared" si="89"/>
        <v>0</v>
      </c>
    </row>
    <row r="162" spans="1:72">
      <c r="A162" s="1526"/>
      <c r="B162" s="1534"/>
      <c r="C162" s="1534"/>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899"/>
      <c r="AU162" s="2927"/>
      <c r="AV162" s="794">
        <f t="shared" si="91"/>
        <v>0</v>
      </c>
      <c r="AW162" s="794">
        <f t="shared" si="92"/>
        <v>0</v>
      </c>
      <c r="AX162" s="794">
        <f t="shared" si="93"/>
        <v>0</v>
      </c>
      <c r="AY162" s="1462">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45">
        <f t="shared" si="89"/>
        <v>0</v>
      </c>
    </row>
    <row r="163" spans="1:72">
      <c r="A163" s="1526"/>
      <c r="B163" s="1534"/>
      <c r="C163" s="1534"/>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899"/>
      <c r="AU163" s="2927"/>
      <c r="AV163" s="794">
        <f t="shared" si="91"/>
        <v>0</v>
      </c>
      <c r="AW163" s="794">
        <f t="shared" si="92"/>
        <v>0</v>
      </c>
      <c r="AX163" s="794">
        <f t="shared" si="93"/>
        <v>0</v>
      </c>
      <c r="AY163" s="1462">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45">
        <f t="shared" si="89"/>
        <v>0</v>
      </c>
    </row>
    <row r="164" spans="1:72">
      <c r="A164" s="1526"/>
      <c r="B164" s="1534"/>
      <c r="C164" s="1534"/>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899"/>
      <c r="AU164" s="2927"/>
      <c r="AV164" s="794">
        <f t="shared" si="91"/>
        <v>0</v>
      </c>
      <c r="AW164" s="794">
        <f t="shared" si="92"/>
        <v>0</v>
      </c>
      <c r="AX164" s="794">
        <f t="shared" si="93"/>
        <v>0</v>
      </c>
      <c r="AY164" s="1462">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45">
        <f t="shared" si="89"/>
        <v>0</v>
      </c>
    </row>
    <row r="165" spans="1:72">
      <c r="A165" s="1526"/>
      <c r="B165" s="1534"/>
      <c r="C165" s="1534"/>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899"/>
      <c r="AU165" s="2927"/>
      <c r="AV165" s="794">
        <f t="shared" si="91"/>
        <v>0</v>
      </c>
      <c r="AW165" s="794">
        <f t="shared" si="92"/>
        <v>0</v>
      </c>
      <c r="AX165" s="794">
        <f t="shared" si="93"/>
        <v>0</v>
      </c>
      <c r="AY165" s="1462">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45">
        <f t="shared" si="89"/>
        <v>0</v>
      </c>
    </row>
    <row r="166" spans="1:72">
      <c r="A166" s="1526"/>
      <c r="B166" s="1534"/>
      <c r="C166" s="1534"/>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899"/>
      <c r="AU166" s="2927"/>
      <c r="AV166" s="794">
        <f t="shared" si="91"/>
        <v>0</v>
      </c>
      <c r="AW166" s="794">
        <f t="shared" si="92"/>
        <v>0</v>
      </c>
      <c r="AX166" s="794">
        <f t="shared" si="93"/>
        <v>0</v>
      </c>
      <c r="AY166" s="1462">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45">
        <f t="shared" si="89"/>
        <v>0</v>
      </c>
    </row>
    <row r="167" spans="1:72">
      <c r="A167" s="1526"/>
      <c r="B167" s="1534"/>
      <c r="C167" s="1534"/>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899"/>
      <c r="AU167" s="2927"/>
      <c r="AV167" s="794">
        <f t="shared" si="91"/>
        <v>0</v>
      </c>
      <c r="AW167" s="794">
        <f t="shared" si="92"/>
        <v>0</v>
      </c>
      <c r="AX167" s="794">
        <f t="shared" si="93"/>
        <v>0</v>
      </c>
      <c r="AY167" s="1462">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45">
        <f t="shared" si="89"/>
        <v>0</v>
      </c>
    </row>
    <row r="168" spans="1:72">
      <c r="A168" s="1526"/>
      <c r="B168" s="1534"/>
      <c r="C168" s="1534"/>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899"/>
      <c r="AU168" s="2927"/>
      <c r="AV168" s="794">
        <f t="shared" si="91"/>
        <v>0</v>
      </c>
      <c r="AW168" s="794">
        <f t="shared" si="92"/>
        <v>0</v>
      </c>
      <c r="AX168" s="794">
        <f t="shared" si="93"/>
        <v>0</v>
      </c>
      <c r="AY168" s="1462">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45">
        <f t="shared" si="89"/>
        <v>0</v>
      </c>
    </row>
    <row r="169" spans="1:72">
      <c r="A169" s="1526"/>
      <c r="B169" s="1534"/>
      <c r="C169" s="1534"/>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899"/>
      <c r="AU169" s="2927"/>
      <c r="AV169" s="794">
        <f t="shared" si="91"/>
        <v>0</v>
      </c>
      <c r="AW169" s="794">
        <f t="shared" si="92"/>
        <v>0</v>
      </c>
      <c r="AX169" s="794">
        <f t="shared" si="93"/>
        <v>0</v>
      </c>
      <c r="AY169" s="1462">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45">
        <f t="shared" si="89"/>
        <v>0</v>
      </c>
    </row>
    <row r="170" spans="1:72">
      <c r="A170" s="1526"/>
      <c r="B170" s="1534"/>
      <c r="C170" s="1534"/>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899"/>
      <c r="AU170" s="2927"/>
      <c r="AV170" s="794">
        <f t="shared" si="91"/>
        <v>0</v>
      </c>
      <c r="AW170" s="794">
        <f t="shared" si="92"/>
        <v>0</v>
      </c>
      <c r="AX170" s="794">
        <f t="shared" si="93"/>
        <v>0</v>
      </c>
      <c r="AY170" s="1462">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45">
        <f t="shared" si="89"/>
        <v>0</v>
      </c>
    </row>
    <row r="171" spans="1:72">
      <c r="A171" s="1526"/>
      <c r="B171" s="1534"/>
      <c r="C171" s="1534"/>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899"/>
      <c r="AU171" s="2927"/>
      <c r="AV171" s="794">
        <f t="shared" si="91"/>
        <v>0</v>
      </c>
      <c r="AW171" s="794">
        <f t="shared" si="92"/>
        <v>0</v>
      </c>
      <c r="AX171" s="794">
        <f t="shared" si="93"/>
        <v>0</v>
      </c>
      <c r="AY171" s="1462">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45">
        <f t="shared" si="89"/>
        <v>0</v>
      </c>
    </row>
    <row r="172" spans="1:72">
      <c r="A172" s="1526"/>
      <c r="B172" s="1534"/>
      <c r="C172" s="1534"/>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899"/>
      <c r="AU172" s="2927"/>
      <c r="AV172" s="794">
        <f t="shared" si="91"/>
        <v>0</v>
      </c>
      <c r="AW172" s="794">
        <f t="shared" si="92"/>
        <v>0</v>
      </c>
      <c r="AX172" s="794">
        <f t="shared" si="93"/>
        <v>0</v>
      </c>
      <c r="AY172" s="1462">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45">
        <f t="shared" si="89"/>
        <v>0</v>
      </c>
    </row>
    <row r="173" spans="1:72">
      <c r="A173" s="1526"/>
      <c r="B173" s="1534"/>
      <c r="C173" s="1534"/>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899"/>
      <c r="AU173" s="2927"/>
      <c r="AV173" s="794">
        <f t="shared" si="91"/>
        <v>0</v>
      </c>
      <c r="AW173" s="794">
        <f t="shared" si="92"/>
        <v>0</v>
      </c>
      <c r="AX173" s="794">
        <f t="shared" si="93"/>
        <v>0</v>
      </c>
      <c r="AY173" s="1462">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45">
        <f t="shared" si="89"/>
        <v>0</v>
      </c>
    </row>
    <row r="174" spans="1:72">
      <c r="A174" s="1526"/>
      <c r="B174" s="1534"/>
      <c r="C174" s="1534"/>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899"/>
      <c r="AU174" s="2927"/>
      <c r="AV174" s="794">
        <f t="shared" si="91"/>
        <v>0</v>
      </c>
      <c r="AW174" s="794">
        <f t="shared" si="92"/>
        <v>0</v>
      </c>
      <c r="AX174" s="794">
        <f t="shared" si="93"/>
        <v>0</v>
      </c>
      <c r="AY174" s="1462">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45">
        <f t="shared" ref="BT174:BT207" si="118">IF($D174="是",AR174-AS174,0)</f>
        <v>0</v>
      </c>
    </row>
    <row r="175" spans="1:72">
      <c r="A175" s="1526"/>
      <c r="B175" s="1534"/>
      <c r="C175" s="1534"/>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899"/>
      <c r="AU175" s="2927"/>
      <c r="AV175" s="794">
        <f t="shared" si="91"/>
        <v>0</v>
      </c>
      <c r="AW175" s="794">
        <f t="shared" si="92"/>
        <v>0</v>
      </c>
      <c r="AX175" s="794">
        <f t="shared" si="93"/>
        <v>0</v>
      </c>
      <c r="AY175" s="1462">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45">
        <f t="shared" si="118"/>
        <v>0</v>
      </c>
    </row>
    <row r="176" spans="1:72">
      <c r="A176" s="1526"/>
      <c r="B176" s="1534"/>
      <c r="C176" s="1534"/>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899"/>
      <c r="AU176" s="2927"/>
      <c r="AV176" s="794">
        <f t="shared" si="91"/>
        <v>0</v>
      </c>
      <c r="AW176" s="794">
        <f t="shared" si="92"/>
        <v>0</v>
      </c>
      <c r="AX176" s="794">
        <f t="shared" si="93"/>
        <v>0</v>
      </c>
      <c r="AY176" s="1462">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45">
        <f t="shared" si="118"/>
        <v>0</v>
      </c>
    </row>
    <row r="177" spans="1:72">
      <c r="A177" s="1526"/>
      <c r="B177" s="1534"/>
      <c r="C177" s="1534"/>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899"/>
      <c r="AU177" s="2927"/>
      <c r="AV177" s="794">
        <f t="shared" ref="AV177:AV207" si="120">A177</f>
        <v>0</v>
      </c>
      <c r="AW177" s="794">
        <f t="shared" ref="AW177:AW207" si="121">B177</f>
        <v>0</v>
      </c>
      <c r="AX177" s="794">
        <f t="shared" ref="AX177:AX207" si="122">C177</f>
        <v>0</v>
      </c>
      <c r="AY177" s="1462">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45">
        <f t="shared" si="118"/>
        <v>0</v>
      </c>
    </row>
    <row r="178" spans="1:72">
      <c r="A178" s="1526"/>
      <c r="B178" s="1534"/>
      <c r="C178" s="1534"/>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899"/>
      <c r="AU178" s="2927"/>
      <c r="AV178" s="794">
        <f t="shared" si="120"/>
        <v>0</v>
      </c>
      <c r="AW178" s="794">
        <f t="shared" si="121"/>
        <v>0</v>
      </c>
      <c r="AX178" s="794">
        <f t="shared" si="122"/>
        <v>0</v>
      </c>
      <c r="AY178" s="1462">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45">
        <f t="shared" si="118"/>
        <v>0</v>
      </c>
    </row>
    <row r="179" spans="1:72">
      <c r="A179" s="1526"/>
      <c r="B179" s="1534"/>
      <c r="C179" s="1534"/>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899"/>
      <c r="AU179" s="2927"/>
      <c r="AV179" s="794">
        <f t="shared" si="120"/>
        <v>0</v>
      </c>
      <c r="AW179" s="794">
        <f t="shared" si="121"/>
        <v>0</v>
      </c>
      <c r="AX179" s="794">
        <f t="shared" si="122"/>
        <v>0</v>
      </c>
      <c r="AY179" s="1462">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45">
        <f t="shared" si="118"/>
        <v>0</v>
      </c>
    </row>
    <row r="180" spans="1:72">
      <c r="A180" s="1526"/>
      <c r="B180" s="1534"/>
      <c r="C180" s="1534"/>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899"/>
      <c r="AU180" s="2927"/>
      <c r="AV180" s="794">
        <f t="shared" si="120"/>
        <v>0</v>
      </c>
      <c r="AW180" s="794">
        <f t="shared" si="121"/>
        <v>0</v>
      </c>
      <c r="AX180" s="794">
        <f t="shared" si="122"/>
        <v>0</v>
      </c>
      <c r="AY180" s="1462">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45">
        <f t="shared" si="118"/>
        <v>0</v>
      </c>
    </row>
    <row r="181" spans="1:72">
      <c r="A181" s="1526"/>
      <c r="B181" s="1534"/>
      <c r="C181" s="1534"/>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899"/>
      <c r="AU181" s="2927"/>
      <c r="AV181" s="794">
        <f t="shared" si="120"/>
        <v>0</v>
      </c>
      <c r="AW181" s="794">
        <f t="shared" si="121"/>
        <v>0</v>
      </c>
      <c r="AX181" s="794">
        <f t="shared" si="122"/>
        <v>0</v>
      </c>
      <c r="AY181" s="1462">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45">
        <f t="shared" si="118"/>
        <v>0</v>
      </c>
    </row>
    <row r="182" spans="1:72">
      <c r="A182" s="1526"/>
      <c r="B182" s="1534"/>
      <c r="C182" s="1534"/>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899"/>
      <c r="AU182" s="2927"/>
      <c r="AV182" s="794">
        <f t="shared" si="120"/>
        <v>0</v>
      </c>
      <c r="AW182" s="794">
        <f t="shared" si="121"/>
        <v>0</v>
      </c>
      <c r="AX182" s="794">
        <f t="shared" si="122"/>
        <v>0</v>
      </c>
      <c r="AY182" s="1462">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45">
        <f t="shared" si="118"/>
        <v>0</v>
      </c>
    </row>
    <row r="183" spans="1:72">
      <c r="A183" s="1526"/>
      <c r="B183" s="1534"/>
      <c r="C183" s="1534"/>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899"/>
      <c r="AU183" s="2927"/>
      <c r="AV183" s="794">
        <f t="shared" si="120"/>
        <v>0</v>
      </c>
      <c r="AW183" s="794">
        <f t="shared" si="121"/>
        <v>0</v>
      </c>
      <c r="AX183" s="794">
        <f t="shared" si="122"/>
        <v>0</v>
      </c>
      <c r="AY183" s="1462">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45">
        <f t="shared" si="118"/>
        <v>0</v>
      </c>
    </row>
    <row r="184" spans="1:72">
      <c r="A184" s="1526"/>
      <c r="B184" s="1534"/>
      <c r="C184" s="1534"/>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899"/>
      <c r="AU184" s="2927"/>
      <c r="AV184" s="794">
        <f t="shared" si="120"/>
        <v>0</v>
      </c>
      <c r="AW184" s="794">
        <f t="shared" si="121"/>
        <v>0</v>
      </c>
      <c r="AX184" s="794">
        <f t="shared" si="122"/>
        <v>0</v>
      </c>
      <c r="AY184" s="1462">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45">
        <f t="shared" si="118"/>
        <v>0</v>
      </c>
    </row>
    <row r="185" spans="1:72">
      <c r="A185" s="1526"/>
      <c r="B185" s="1534"/>
      <c r="C185" s="1534"/>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899"/>
      <c r="AU185" s="2927"/>
      <c r="AV185" s="794">
        <f t="shared" si="120"/>
        <v>0</v>
      </c>
      <c r="AW185" s="794">
        <f t="shared" si="121"/>
        <v>0</v>
      </c>
      <c r="AX185" s="794">
        <f t="shared" si="122"/>
        <v>0</v>
      </c>
      <c r="AY185" s="1462">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45">
        <f t="shared" si="118"/>
        <v>0</v>
      </c>
    </row>
    <row r="186" spans="1:72">
      <c r="A186" s="1526"/>
      <c r="B186" s="1534"/>
      <c r="C186" s="1534"/>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899"/>
      <c r="AU186" s="2927"/>
      <c r="AV186" s="794">
        <f t="shared" si="120"/>
        <v>0</v>
      </c>
      <c r="AW186" s="794">
        <f t="shared" si="121"/>
        <v>0</v>
      </c>
      <c r="AX186" s="794">
        <f t="shared" si="122"/>
        <v>0</v>
      </c>
      <c r="AY186" s="1462">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45">
        <f t="shared" si="118"/>
        <v>0</v>
      </c>
    </row>
    <row r="187" spans="1:72">
      <c r="A187" s="1526"/>
      <c r="B187" s="1534"/>
      <c r="C187" s="1534"/>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899"/>
      <c r="AU187" s="2927"/>
      <c r="AV187" s="794">
        <f t="shared" si="120"/>
        <v>0</v>
      </c>
      <c r="AW187" s="794">
        <f t="shared" si="121"/>
        <v>0</v>
      </c>
      <c r="AX187" s="794">
        <f t="shared" si="122"/>
        <v>0</v>
      </c>
      <c r="AY187" s="1462">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45">
        <f t="shared" si="118"/>
        <v>0</v>
      </c>
    </row>
    <row r="188" spans="1:72">
      <c r="A188" s="1526"/>
      <c r="B188" s="1534"/>
      <c r="C188" s="1534"/>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899"/>
      <c r="AU188" s="2927"/>
      <c r="AV188" s="794">
        <f t="shared" si="120"/>
        <v>0</v>
      </c>
      <c r="AW188" s="794">
        <f t="shared" si="121"/>
        <v>0</v>
      </c>
      <c r="AX188" s="794">
        <f t="shared" si="122"/>
        <v>0</v>
      </c>
      <c r="AY188" s="1462">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45">
        <f t="shared" si="118"/>
        <v>0</v>
      </c>
    </row>
    <row r="189" spans="1:72">
      <c r="A189" s="1526"/>
      <c r="B189" s="1534"/>
      <c r="C189" s="1534"/>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899"/>
      <c r="AU189" s="2927"/>
      <c r="AV189" s="794">
        <f t="shared" si="120"/>
        <v>0</v>
      </c>
      <c r="AW189" s="794">
        <f t="shared" si="121"/>
        <v>0</v>
      </c>
      <c r="AX189" s="794">
        <f t="shared" si="122"/>
        <v>0</v>
      </c>
      <c r="AY189" s="1462">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45">
        <f t="shared" si="118"/>
        <v>0</v>
      </c>
    </row>
    <row r="190" spans="1:72">
      <c r="A190" s="1526"/>
      <c r="B190" s="1534"/>
      <c r="C190" s="1534"/>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899"/>
      <c r="AU190" s="2927"/>
      <c r="AV190" s="794">
        <f t="shared" si="120"/>
        <v>0</v>
      </c>
      <c r="AW190" s="794">
        <f t="shared" si="121"/>
        <v>0</v>
      </c>
      <c r="AX190" s="794">
        <f t="shared" si="122"/>
        <v>0</v>
      </c>
      <c r="AY190" s="1462">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45">
        <f t="shared" si="118"/>
        <v>0</v>
      </c>
    </row>
    <row r="191" spans="1:72">
      <c r="A191" s="1526"/>
      <c r="B191" s="1534"/>
      <c r="C191" s="1534"/>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899"/>
      <c r="AU191" s="2927"/>
      <c r="AV191" s="794">
        <f t="shared" si="120"/>
        <v>0</v>
      </c>
      <c r="AW191" s="794">
        <f t="shared" si="121"/>
        <v>0</v>
      </c>
      <c r="AX191" s="794">
        <f t="shared" si="122"/>
        <v>0</v>
      </c>
      <c r="AY191" s="1462">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45">
        <f t="shared" si="118"/>
        <v>0</v>
      </c>
    </row>
    <row r="192" spans="1:72">
      <c r="A192" s="1526"/>
      <c r="B192" s="1534"/>
      <c r="C192" s="1534"/>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899"/>
      <c r="AU192" s="2927"/>
      <c r="AV192" s="794">
        <f t="shared" si="120"/>
        <v>0</v>
      </c>
      <c r="AW192" s="794">
        <f t="shared" si="121"/>
        <v>0</v>
      </c>
      <c r="AX192" s="794">
        <f t="shared" si="122"/>
        <v>0</v>
      </c>
      <c r="AY192" s="1462">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45">
        <f t="shared" si="118"/>
        <v>0</v>
      </c>
    </row>
    <row r="193" spans="1:72">
      <c r="A193" s="1526"/>
      <c r="B193" s="1534"/>
      <c r="C193" s="1534"/>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899"/>
      <c r="AU193" s="2927"/>
      <c r="AV193" s="794">
        <f t="shared" si="120"/>
        <v>0</v>
      </c>
      <c r="AW193" s="794">
        <f t="shared" si="121"/>
        <v>0</v>
      </c>
      <c r="AX193" s="794">
        <f t="shared" si="122"/>
        <v>0</v>
      </c>
      <c r="AY193" s="1462">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45">
        <f t="shared" si="118"/>
        <v>0</v>
      </c>
    </row>
    <row r="194" spans="1:72">
      <c r="A194" s="1526"/>
      <c r="B194" s="1534"/>
      <c r="C194" s="1534"/>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899"/>
      <c r="AU194" s="2927"/>
      <c r="AV194" s="794">
        <f t="shared" si="120"/>
        <v>0</v>
      </c>
      <c r="AW194" s="794">
        <f t="shared" si="121"/>
        <v>0</v>
      </c>
      <c r="AX194" s="794">
        <f t="shared" si="122"/>
        <v>0</v>
      </c>
      <c r="AY194" s="1462">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45">
        <f t="shared" si="118"/>
        <v>0</v>
      </c>
    </row>
    <row r="195" spans="1:72">
      <c r="A195" s="1526"/>
      <c r="B195" s="1534"/>
      <c r="C195" s="1534"/>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899"/>
      <c r="AU195" s="2927"/>
      <c r="AV195" s="794">
        <f t="shared" si="120"/>
        <v>0</v>
      </c>
      <c r="AW195" s="794">
        <f t="shared" si="121"/>
        <v>0</v>
      </c>
      <c r="AX195" s="794">
        <f t="shared" si="122"/>
        <v>0</v>
      </c>
      <c r="AY195" s="1462">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45">
        <f t="shared" si="118"/>
        <v>0</v>
      </c>
    </row>
    <row r="196" spans="1:72">
      <c r="A196" s="1526"/>
      <c r="B196" s="1534"/>
      <c r="C196" s="1534"/>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899"/>
      <c r="AU196" s="2927"/>
      <c r="AV196" s="794">
        <f t="shared" si="120"/>
        <v>0</v>
      </c>
      <c r="AW196" s="794">
        <f t="shared" si="121"/>
        <v>0</v>
      </c>
      <c r="AX196" s="794">
        <f t="shared" si="122"/>
        <v>0</v>
      </c>
      <c r="AY196" s="1462">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45">
        <f t="shared" si="118"/>
        <v>0</v>
      </c>
    </row>
    <row r="197" spans="1:72">
      <c r="A197" s="1526"/>
      <c r="B197" s="1534"/>
      <c r="C197" s="1534"/>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899"/>
      <c r="AU197" s="2927"/>
      <c r="AV197" s="794">
        <f t="shared" si="120"/>
        <v>0</v>
      </c>
      <c r="AW197" s="794">
        <f t="shared" si="121"/>
        <v>0</v>
      </c>
      <c r="AX197" s="794">
        <f t="shared" si="122"/>
        <v>0</v>
      </c>
      <c r="AY197" s="1462">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45">
        <f t="shared" si="118"/>
        <v>0</v>
      </c>
    </row>
    <row r="198" spans="1:72">
      <c r="A198" s="1526"/>
      <c r="B198" s="1534"/>
      <c r="C198" s="1534"/>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899"/>
      <c r="AU198" s="2927"/>
      <c r="AV198" s="794">
        <f t="shared" si="120"/>
        <v>0</v>
      </c>
      <c r="AW198" s="794">
        <f t="shared" si="121"/>
        <v>0</v>
      </c>
      <c r="AX198" s="794">
        <f t="shared" si="122"/>
        <v>0</v>
      </c>
      <c r="AY198" s="1462">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45">
        <f t="shared" si="118"/>
        <v>0</v>
      </c>
    </row>
    <row r="199" spans="1:72">
      <c r="A199" s="1526"/>
      <c r="B199" s="1534"/>
      <c r="C199" s="1534"/>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899"/>
      <c r="AU199" s="2927"/>
      <c r="AV199" s="794">
        <f t="shared" si="120"/>
        <v>0</v>
      </c>
      <c r="AW199" s="794">
        <f t="shared" si="121"/>
        <v>0</v>
      </c>
      <c r="AX199" s="794">
        <f t="shared" si="122"/>
        <v>0</v>
      </c>
      <c r="AY199" s="1462">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45">
        <f t="shared" si="118"/>
        <v>0</v>
      </c>
    </row>
    <row r="200" spans="1:72">
      <c r="A200" s="1526"/>
      <c r="B200" s="1534"/>
      <c r="C200" s="1534"/>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899"/>
      <c r="AU200" s="2927"/>
      <c r="AV200" s="794">
        <f t="shared" si="120"/>
        <v>0</v>
      </c>
      <c r="AW200" s="794">
        <f t="shared" si="121"/>
        <v>0</v>
      </c>
      <c r="AX200" s="794">
        <f t="shared" si="122"/>
        <v>0</v>
      </c>
      <c r="AY200" s="1462">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45">
        <f t="shared" si="118"/>
        <v>0</v>
      </c>
    </row>
    <row r="201" spans="1:72">
      <c r="A201" s="1526"/>
      <c r="B201" s="1534"/>
      <c r="C201" s="1534"/>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899"/>
      <c r="AU201" s="2927"/>
      <c r="AV201" s="794">
        <f t="shared" si="120"/>
        <v>0</v>
      </c>
      <c r="AW201" s="794">
        <f t="shared" si="121"/>
        <v>0</v>
      </c>
      <c r="AX201" s="794">
        <f t="shared" si="122"/>
        <v>0</v>
      </c>
      <c r="AY201" s="1462">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45">
        <f t="shared" si="118"/>
        <v>0</v>
      </c>
    </row>
    <row r="202" spans="1:72">
      <c r="A202" s="1526"/>
      <c r="B202" s="1534"/>
      <c r="C202" s="1534"/>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899"/>
      <c r="AU202" s="2927"/>
      <c r="AV202" s="794">
        <f t="shared" si="120"/>
        <v>0</v>
      </c>
      <c r="AW202" s="794">
        <f t="shared" si="121"/>
        <v>0</v>
      </c>
      <c r="AX202" s="794">
        <f t="shared" si="122"/>
        <v>0</v>
      </c>
      <c r="AY202" s="1462">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45">
        <f t="shared" si="118"/>
        <v>0</v>
      </c>
    </row>
    <row r="203" spans="1:72">
      <c r="A203" s="1526"/>
      <c r="B203" s="1534"/>
      <c r="C203" s="1534"/>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899"/>
      <c r="AU203" s="2927"/>
      <c r="AV203" s="794">
        <f t="shared" si="120"/>
        <v>0</v>
      </c>
      <c r="AW203" s="794">
        <f t="shared" si="121"/>
        <v>0</v>
      </c>
      <c r="AX203" s="794">
        <f t="shared" si="122"/>
        <v>0</v>
      </c>
      <c r="AY203" s="1462">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45">
        <f t="shared" si="118"/>
        <v>0</v>
      </c>
    </row>
    <row r="204" spans="1:72">
      <c r="A204" s="1526"/>
      <c r="B204" s="1534"/>
      <c r="C204" s="1534"/>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899"/>
      <c r="AU204" s="2927"/>
      <c r="AV204" s="794">
        <f t="shared" si="120"/>
        <v>0</v>
      </c>
      <c r="AW204" s="794">
        <f t="shared" si="121"/>
        <v>0</v>
      </c>
      <c r="AX204" s="794">
        <f t="shared" si="122"/>
        <v>0</v>
      </c>
      <c r="AY204" s="1462">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45">
        <f t="shared" si="118"/>
        <v>0</v>
      </c>
    </row>
    <row r="205" spans="1:72">
      <c r="A205" s="1526"/>
      <c r="B205" s="1526"/>
      <c r="C205" s="1526"/>
      <c r="D205" s="2897"/>
      <c r="E205" s="2898">
        <f t="shared" si="119"/>
        <v>0</v>
      </c>
      <c r="F205" s="2918"/>
      <c r="G205" s="2900">
        <f t="shared" si="94"/>
        <v>0</v>
      </c>
      <c r="H205" s="2901">
        <f t="shared" si="95"/>
        <v>0</v>
      </c>
      <c r="I205" s="2946"/>
      <c r="J205" s="2946"/>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1569"/>
      <c r="AV205" s="794">
        <f t="shared" si="120"/>
        <v>0</v>
      </c>
      <c r="AW205" s="794">
        <f t="shared" si="121"/>
        <v>0</v>
      </c>
      <c r="AX205" s="794">
        <f t="shared" si="122"/>
        <v>0</v>
      </c>
      <c r="AY205" s="1462">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45">
        <f t="shared" si="118"/>
        <v>0</v>
      </c>
    </row>
    <row r="206" spans="1:72">
      <c r="A206" s="1526"/>
      <c r="B206" s="1526"/>
      <c r="C206" s="1526"/>
      <c r="D206" s="2897"/>
      <c r="E206" s="2898">
        <f t="shared" si="119"/>
        <v>0</v>
      </c>
      <c r="F206" s="2918"/>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1569"/>
      <c r="AV206" s="794">
        <f t="shared" si="120"/>
        <v>0</v>
      </c>
      <c r="AW206" s="794">
        <f t="shared" si="121"/>
        <v>0</v>
      </c>
      <c r="AX206" s="794">
        <f t="shared" si="122"/>
        <v>0</v>
      </c>
      <c r="AY206" s="1462">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45">
        <f t="shared" si="118"/>
        <v>0</v>
      </c>
    </row>
    <row r="207" spans="1:72">
      <c r="A207" s="1526"/>
      <c r="B207" s="1526"/>
      <c r="C207" s="1526"/>
      <c r="D207" s="2897"/>
      <c r="E207" s="2898">
        <f t="shared" si="119"/>
        <v>0</v>
      </c>
      <c r="F207" s="2918"/>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1569"/>
      <c r="AV207" s="794">
        <f t="shared" si="120"/>
        <v>0</v>
      </c>
      <c r="AW207" s="794">
        <f t="shared" si="121"/>
        <v>0</v>
      </c>
      <c r="AX207" s="794">
        <f t="shared" si="122"/>
        <v>0</v>
      </c>
      <c r="AY207" s="1462">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45">
        <f t="shared" si="118"/>
        <v>0</v>
      </c>
    </row>
    <row r="208" spans="1:72">
      <c r="A208" s="1526"/>
      <c r="B208" s="1534"/>
      <c r="C208" s="1534"/>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899"/>
      <c r="AU208" s="2927"/>
      <c r="AV208" s="794">
        <f t="shared" ref="AV208:AV302" si="127">A208</f>
        <v>0</v>
      </c>
      <c r="AW208" s="794">
        <f t="shared" ref="AW208:AW302" si="128">B208</f>
        <v>0</v>
      </c>
      <c r="AX208" s="794">
        <f t="shared" ref="AX208:AX302" si="129">C208</f>
        <v>0</v>
      </c>
      <c r="AY208" s="1462">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45">
        <f t="shared" ref="BT208:BT299" si="151">IF($D208="是",AR208-AS208,0)</f>
        <v>0</v>
      </c>
    </row>
    <row r="209" spans="1:72">
      <c r="A209" s="1526"/>
      <c r="B209" s="1534"/>
      <c r="C209" s="1534"/>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899"/>
      <c r="AU209" s="2927"/>
      <c r="AV209" s="794">
        <f t="shared" si="127"/>
        <v>0</v>
      </c>
      <c r="AW209" s="794">
        <f t="shared" si="128"/>
        <v>0</v>
      </c>
      <c r="AX209" s="794">
        <f t="shared" si="129"/>
        <v>0</v>
      </c>
      <c r="AY209" s="1462">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45">
        <f t="shared" si="151"/>
        <v>0</v>
      </c>
    </row>
    <row r="210" spans="1:72">
      <c r="A210" s="1526"/>
      <c r="B210" s="1534"/>
      <c r="C210" s="1534"/>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899"/>
      <c r="AU210" s="2927"/>
      <c r="AV210" s="794">
        <f t="shared" si="127"/>
        <v>0</v>
      </c>
      <c r="AW210" s="794">
        <f t="shared" si="128"/>
        <v>0</v>
      </c>
      <c r="AX210" s="794">
        <f t="shared" si="129"/>
        <v>0</v>
      </c>
      <c r="AY210" s="1462">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45">
        <f t="shared" si="151"/>
        <v>0</v>
      </c>
    </row>
    <row r="211" spans="1:72">
      <c r="A211" s="1526"/>
      <c r="B211" s="1534"/>
      <c r="C211" s="1534"/>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899"/>
      <c r="AU211" s="2927"/>
      <c r="AV211" s="794">
        <f t="shared" si="127"/>
        <v>0</v>
      </c>
      <c r="AW211" s="794">
        <f t="shared" si="128"/>
        <v>0</v>
      </c>
      <c r="AX211" s="794">
        <f t="shared" si="129"/>
        <v>0</v>
      </c>
      <c r="AY211" s="1462">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45">
        <f t="shared" si="151"/>
        <v>0</v>
      </c>
    </row>
    <row r="212" spans="1:72">
      <c r="A212" s="1526"/>
      <c r="B212" s="1534"/>
      <c r="C212" s="1534"/>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899"/>
      <c r="AU212" s="2927"/>
      <c r="AV212" s="794">
        <f t="shared" si="127"/>
        <v>0</v>
      </c>
      <c r="AW212" s="794">
        <f t="shared" si="128"/>
        <v>0</v>
      </c>
      <c r="AX212" s="794">
        <f t="shared" si="129"/>
        <v>0</v>
      </c>
      <c r="AY212" s="1462">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45">
        <f t="shared" si="151"/>
        <v>0</v>
      </c>
    </row>
    <row r="213" spans="1:72">
      <c r="A213" s="1526"/>
      <c r="B213" s="1534"/>
      <c r="C213" s="1534"/>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899"/>
      <c r="AU213" s="2927"/>
      <c r="AV213" s="794">
        <f t="shared" si="127"/>
        <v>0</v>
      </c>
      <c r="AW213" s="794">
        <f t="shared" si="128"/>
        <v>0</v>
      </c>
      <c r="AX213" s="794">
        <f t="shared" si="129"/>
        <v>0</v>
      </c>
      <c r="AY213" s="1462">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45">
        <f t="shared" si="151"/>
        <v>0</v>
      </c>
    </row>
    <row r="214" spans="1:72">
      <c r="A214" s="1526"/>
      <c r="B214" s="1534"/>
      <c r="C214" s="1534"/>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899"/>
      <c r="AU214" s="2927"/>
      <c r="AV214" s="794">
        <f t="shared" si="127"/>
        <v>0</v>
      </c>
      <c r="AW214" s="794">
        <f t="shared" si="128"/>
        <v>0</v>
      </c>
      <c r="AX214" s="794">
        <f t="shared" si="129"/>
        <v>0</v>
      </c>
      <c r="AY214" s="1462">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45">
        <f t="shared" si="151"/>
        <v>0</v>
      </c>
    </row>
    <row r="215" spans="1:72">
      <c r="A215" s="1526"/>
      <c r="B215" s="1534"/>
      <c r="C215" s="1534"/>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899"/>
      <c r="AU215" s="2927"/>
      <c r="AV215" s="794">
        <f t="shared" si="127"/>
        <v>0</v>
      </c>
      <c r="AW215" s="794">
        <f t="shared" si="128"/>
        <v>0</v>
      </c>
      <c r="AX215" s="794">
        <f t="shared" si="129"/>
        <v>0</v>
      </c>
      <c r="AY215" s="1462">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45">
        <f t="shared" si="151"/>
        <v>0</v>
      </c>
    </row>
    <row r="216" spans="1:72">
      <c r="A216" s="1526"/>
      <c r="B216" s="1534"/>
      <c r="C216" s="1534"/>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899"/>
      <c r="AU216" s="2927"/>
      <c r="AV216" s="794">
        <f t="shared" si="127"/>
        <v>0</v>
      </c>
      <c r="AW216" s="794">
        <f t="shared" si="128"/>
        <v>0</v>
      </c>
      <c r="AX216" s="794">
        <f t="shared" si="129"/>
        <v>0</v>
      </c>
      <c r="AY216" s="1462">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45">
        <f t="shared" si="151"/>
        <v>0</v>
      </c>
    </row>
    <row r="217" spans="1:72">
      <c r="A217" s="1526"/>
      <c r="B217" s="1534"/>
      <c r="C217" s="1534"/>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899"/>
      <c r="AU217" s="2927"/>
      <c r="AV217" s="794">
        <f t="shared" si="127"/>
        <v>0</v>
      </c>
      <c r="AW217" s="794">
        <f t="shared" si="128"/>
        <v>0</v>
      </c>
      <c r="AX217" s="794">
        <f t="shared" si="129"/>
        <v>0</v>
      </c>
      <c r="AY217" s="1462">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45">
        <f t="shared" si="151"/>
        <v>0</v>
      </c>
    </row>
    <row r="218" spans="1:72">
      <c r="A218" s="1526"/>
      <c r="B218" s="1534"/>
      <c r="C218" s="1534"/>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899"/>
      <c r="AU218" s="2927"/>
      <c r="AV218" s="794">
        <f t="shared" si="127"/>
        <v>0</v>
      </c>
      <c r="AW218" s="794">
        <f t="shared" si="128"/>
        <v>0</v>
      </c>
      <c r="AX218" s="794">
        <f t="shared" si="129"/>
        <v>0</v>
      </c>
      <c r="AY218" s="1462">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45">
        <f t="shared" si="151"/>
        <v>0</v>
      </c>
    </row>
    <row r="219" spans="1:72">
      <c r="A219" s="1526"/>
      <c r="B219" s="1534"/>
      <c r="C219" s="1534"/>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899"/>
      <c r="AU219" s="2927"/>
      <c r="AV219" s="794">
        <f t="shared" si="127"/>
        <v>0</v>
      </c>
      <c r="AW219" s="794">
        <f t="shared" si="128"/>
        <v>0</v>
      </c>
      <c r="AX219" s="794">
        <f t="shared" si="129"/>
        <v>0</v>
      </c>
      <c r="AY219" s="1462">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45">
        <f t="shared" si="151"/>
        <v>0</v>
      </c>
    </row>
    <row r="220" spans="1:72">
      <c r="A220" s="1526"/>
      <c r="B220" s="1534"/>
      <c r="C220" s="1534"/>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899"/>
      <c r="AU220" s="2927"/>
      <c r="AV220" s="794">
        <f t="shared" si="127"/>
        <v>0</v>
      </c>
      <c r="AW220" s="794">
        <f t="shared" si="128"/>
        <v>0</v>
      </c>
      <c r="AX220" s="794">
        <f t="shared" si="129"/>
        <v>0</v>
      </c>
      <c r="AY220" s="1462">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45">
        <f t="shared" si="151"/>
        <v>0</v>
      </c>
    </row>
    <row r="221" spans="1:72">
      <c r="A221" s="1526"/>
      <c r="B221" s="1534"/>
      <c r="C221" s="1534"/>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899"/>
      <c r="AU221" s="2927"/>
      <c r="AV221" s="794">
        <f t="shared" si="127"/>
        <v>0</v>
      </c>
      <c r="AW221" s="794">
        <f t="shared" si="128"/>
        <v>0</v>
      </c>
      <c r="AX221" s="794">
        <f t="shared" si="129"/>
        <v>0</v>
      </c>
      <c r="AY221" s="1462">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45">
        <f t="shared" si="151"/>
        <v>0</v>
      </c>
    </row>
    <row r="222" spans="1:72">
      <c r="A222" s="1526"/>
      <c r="B222" s="1534"/>
      <c r="C222" s="1534"/>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899"/>
      <c r="AU222" s="2927"/>
      <c r="AV222" s="794">
        <f t="shared" si="127"/>
        <v>0</v>
      </c>
      <c r="AW222" s="794">
        <f t="shared" si="128"/>
        <v>0</v>
      </c>
      <c r="AX222" s="794">
        <f t="shared" si="129"/>
        <v>0</v>
      </c>
      <c r="AY222" s="1462">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45">
        <f t="shared" si="151"/>
        <v>0</v>
      </c>
    </row>
    <row r="223" spans="1:72">
      <c r="A223" s="1526"/>
      <c r="B223" s="1534"/>
      <c r="C223" s="1534"/>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899"/>
      <c r="AU223" s="2927"/>
      <c r="AV223" s="794">
        <f t="shared" si="127"/>
        <v>0</v>
      </c>
      <c r="AW223" s="794">
        <f t="shared" si="128"/>
        <v>0</v>
      </c>
      <c r="AX223" s="794">
        <f t="shared" si="129"/>
        <v>0</v>
      </c>
      <c r="AY223" s="1462">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45">
        <f t="shared" si="151"/>
        <v>0</v>
      </c>
    </row>
    <row r="224" spans="1:72">
      <c r="A224" s="1526"/>
      <c r="B224" s="1534"/>
      <c r="C224" s="1534"/>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899"/>
      <c r="AU224" s="2927"/>
      <c r="AV224" s="794">
        <f t="shared" si="127"/>
        <v>0</v>
      </c>
      <c r="AW224" s="794">
        <f t="shared" si="128"/>
        <v>0</v>
      </c>
      <c r="AX224" s="794">
        <f t="shared" si="129"/>
        <v>0</v>
      </c>
      <c r="AY224" s="1462">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45">
        <f t="shared" si="151"/>
        <v>0</v>
      </c>
    </row>
    <row r="225" spans="1:72">
      <c r="A225" s="1526"/>
      <c r="B225" s="1534"/>
      <c r="C225" s="1534"/>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899"/>
      <c r="AU225" s="2927"/>
      <c r="AV225" s="794">
        <f t="shared" si="127"/>
        <v>0</v>
      </c>
      <c r="AW225" s="794">
        <f t="shared" si="128"/>
        <v>0</v>
      </c>
      <c r="AX225" s="794">
        <f t="shared" si="129"/>
        <v>0</v>
      </c>
      <c r="AY225" s="1462">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45">
        <f t="shared" si="151"/>
        <v>0</v>
      </c>
    </row>
    <row r="226" spans="1:72">
      <c r="A226" s="1526"/>
      <c r="B226" s="1534"/>
      <c r="C226" s="1534"/>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899"/>
      <c r="AU226" s="2927"/>
      <c r="AV226" s="794">
        <f t="shared" si="127"/>
        <v>0</v>
      </c>
      <c r="AW226" s="794">
        <f t="shared" si="128"/>
        <v>0</v>
      </c>
      <c r="AX226" s="794">
        <f t="shared" si="129"/>
        <v>0</v>
      </c>
      <c r="AY226" s="1462">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45">
        <f t="shared" si="151"/>
        <v>0</v>
      </c>
    </row>
    <row r="227" spans="1:72">
      <c r="A227" s="1526"/>
      <c r="B227" s="1534"/>
      <c r="C227" s="1534"/>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899"/>
      <c r="AU227" s="2927"/>
      <c r="AV227" s="794">
        <f t="shared" si="127"/>
        <v>0</v>
      </c>
      <c r="AW227" s="794">
        <f t="shared" si="128"/>
        <v>0</v>
      </c>
      <c r="AX227" s="794">
        <f t="shared" si="129"/>
        <v>0</v>
      </c>
      <c r="AY227" s="1462">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45">
        <f t="shared" si="151"/>
        <v>0</v>
      </c>
    </row>
    <row r="228" spans="1:72">
      <c r="A228" s="1526"/>
      <c r="B228" s="1534"/>
      <c r="C228" s="1534"/>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899"/>
      <c r="AU228" s="2927"/>
      <c r="AV228" s="794">
        <f t="shared" si="127"/>
        <v>0</v>
      </c>
      <c r="AW228" s="794">
        <f t="shared" si="128"/>
        <v>0</v>
      </c>
      <c r="AX228" s="794">
        <f t="shared" si="129"/>
        <v>0</v>
      </c>
      <c r="AY228" s="1462">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45">
        <f t="shared" si="151"/>
        <v>0</v>
      </c>
    </row>
    <row r="229" spans="1:72">
      <c r="A229" s="1526"/>
      <c r="B229" s="1534"/>
      <c r="C229" s="1534"/>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899"/>
      <c r="AU229" s="2927"/>
      <c r="AV229" s="794">
        <f t="shared" si="127"/>
        <v>0</v>
      </c>
      <c r="AW229" s="794">
        <f t="shared" si="128"/>
        <v>0</v>
      </c>
      <c r="AX229" s="794">
        <f t="shared" si="129"/>
        <v>0</v>
      </c>
      <c r="AY229" s="1462">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45">
        <f t="shared" si="151"/>
        <v>0</v>
      </c>
    </row>
    <row r="230" spans="1:72">
      <c r="A230" s="1526"/>
      <c r="B230" s="1534"/>
      <c r="C230" s="1534"/>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899"/>
      <c r="AU230" s="2927"/>
      <c r="AV230" s="794">
        <f t="shared" si="127"/>
        <v>0</v>
      </c>
      <c r="AW230" s="794">
        <f t="shared" si="128"/>
        <v>0</v>
      </c>
      <c r="AX230" s="794">
        <f t="shared" si="129"/>
        <v>0</v>
      </c>
      <c r="AY230" s="1462">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45">
        <f t="shared" si="151"/>
        <v>0</v>
      </c>
    </row>
    <row r="231" spans="1:72">
      <c r="A231" s="1526"/>
      <c r="B231" s="1534"/>
      <c r="C231" s="1534"/>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899"/>
      <c r="AU231" s="2927"/>
      <c r="AV231" s="794">
        <f t="shared" si="127"/>
        <v>0</v>
      </c>
      <c r="AW231" s="794">
        <f t="shared" si="128"/>
        <v>0</v>
      </c>
      <c r="AX231" s="794">
        <f t="shared" si="129"/>
        <v>0</v>
      </c>
      <c r="AY231" s="1462">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45">
        <f t="shared" si="151"/>
        <v>0</v>
      </c>
    </row>
    <row r="232" spans="1:72">
      <c r="A232" s="1526"/>
      <c r="B232" s="1534"/>
      <c r="C232" s="1534"/>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899"/>
      <c r="AU232" s="2927"/>
      <c r="AV232" s="794">
        <f t="shared" si="127"/>
        <v>0</v>
      </c>
      <c r="AW232" s="794">
        <f t="shared" si="128"/>
        <v>0</v>
      </c>
      <c r="AX232" s="794">
        <f t="shared" si="129"/>
        <v>0</v>
      </c>
      <c r="AY232" s="1462">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45">
        <f t="shared" si="151"/>
        <v>0</v>
      </c>
    </row>
    <row r="233" spans="1:72">
      <c r="A233" s="1526"/>
      <c r="B233" s="1534"/>
      <c r="C233" s="1534"/>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899"/>
      <c r="AU233" s="2927"/>
      <c r="AV233" s="794">
        <f t="shared" si="127"/>
        <v>0</v>
      </c>
      <c r="AW233" s="794">
        <f t="shared" si="128"/>
        <v>0</v>
      </c>
      <c r="AX233" s="794">
        <f t="shared" si="129"/>
        <v>0</v>
      </c>
      <c r="AY233" s="1462">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45">
        <f t="shared" si="151"/>
        <v>0</v>
      </c>
    </row>
    <row r="234" spans="1:72">
      <c r="A234" s="1526"/>
      <c r="B234" s="1534"/>
      <c r="C234" s="1534"/>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899"/>
      <c r="AU234" s="2927"/>
      <c r="AV234" s="794">
        <f t="shared" si="127"/>
        <v>0</v>
      </c>
      <c r="AW234" s="794">
        <f t="shared" si="128"/>
        <v>0</v>
      </c>
      <c r="AX234" s="794">
        <f t="shared" si="129"/>
        <v>0</v>
      </c>
      <c r="AY234" s="1462">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45">
        <f t="shared" si="151"/>
        <v>0</v>
      </c>
    </row>
    <row r="235" spans="1:72">
      <c r="A235" s="1526"/>
      <c r="B235" s="1534"/>
      <c r="C235" s="1534"/>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899"/>
      <c r="AU235" s="2927"/>
      <c r="AV235" s="794">
        <f t="shared" si="127"/>
        <v>0</v>
      </c>
      <c r="AW235" s="794">
        <f t="shared" si="128"/>
        <v>0</v>
      </c>
      <c r="AX235" s="794">
        <f t="shared" si="129"/>
        <v>0</v>
      </c>
      <c r="AY235" s="1462">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45">
        <f t="shared" si="151"/>
        <v>0</v>
      </c>
    </row>
    <row r="236" spans="1:72">
      <c r="A236" s="1526"/>
      <c r="B236" s="1534"/>
      <c r="C236" s="1534"/>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899"/>
      <c r="AU236" s="2927"/>
      <c r="AV236" s="794">
        <f t="shared" si="127"/>
        <v>0</v>
      </c>
      <c r="AW236" s="794">
        <f t="shared" si="128"/>
        <v>0</v>
      </c>
      <c r="AX236" s="794">
        <f t="shared" si="129"/>
        <v>0</v>
      </c>
      <c r="AY236" s="1462">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45">
        <f t="shared" si="151"/>
        <v>0</v>
      </c>
    </row>
    <row r="237" spans="1:72">
      <c r="A237" s="1526"/>
      <c r="B237" s="1534"/>
      <c r="C237" s="1534"/>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899"/>
      <c r="AU237" s="2927"/>
      <c r="AV237" s="794">
        <f t="shared" si="127"/>
        <v>0</v>
      </c>
      <c r="AW237" s="794">
        <f t="shared" si="128"/>
        <v>0</v>
      </c>
      <c r="AX237" s="794">
        <f t="shared" si="129"/>
        <v>0</v>
      </c>
      <c r="AY237" s="1462">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45">
        <f t="shared" si="151"/>
        <v>0</v>
      </c>
    </row>
    <row r="238" spans="1:72">
      <c r="A238" s="1526"/>
      <c r="B238" s="1534"/>
      <c r="C238" s="1534"/>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899"/>
      <c r="AU238" s="2927"/>
      <c r="AV238" s="794">
        <f t="shared" si="127"/>
        <v>0</v>
      </c>
      <c r="AW238" s="794">
        <f t="shared" si="128"/>
        <v>0</v>
      </c>
      <c r="AX238" s="794">
        <f t="shared" si="129"/>
        <v>0</v>
      </c>
      <c r="AY238" s="1462">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45">
        <f t="shared" si="151"/>
        <v>0</v>
      </c>
    </row>
    <row r="239" spans="1:72">
      <c r="A239" s="1526"/>
      <c r="B239" s="1534"/>
      <c r="C239" s="1534"/>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899"/>
      <c r="AU239" s="2927"/>
      <c r="AV239" s="794">
        <f t="shared" si="127"/>
        <v>0</v>
      </c>
      <c r="AW239" s="794">
        <f t="shared" si="128"/>
        <v>0</v>
      </c>
      <c r="AX239" s="794">
        <f t="shared" si="129"/>
        <v>0</v>
      </c>
      <c r="AY239" s="1462">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45">
        <f t="shared" si="151"/>
        <v>0</v>
      </c>
    </row>
    <row r="240" spans="1:72">
      <c r="A240" s="1526"/>
      <c r="B240" s="1534"/>
      <c r="C240" s="1534"/>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899"/>
      <c r="AU240" s="2927"/>
      <c r="AV240" s="794">
        <f t="shared" si="127"/>
        <v>0</v>
      </c>
      <c r="AW240" s="794">
        <f t="shared" si="128"/>
        <v>0</v>
      </c>
      <c r="AX240" s="794">
        <f t="shared" si="129"/>
        <v>0</v>
      </c>
      <c r="AY240" s="1462">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45">
        <f t="shared" si="151"/>
        <v>0</v>
      </c>
    </row>
    <row r="241" spans="1:72">
      <c r="A241" s="1526"/>
      <c r="B241" s="1534"/>
      <c r="C241" s="1534"/>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899"/>
      <c r="AU241" s="2927"/>
      <c r="AV241" s="794">
        <f t="shared" si="127"/>
        <v>0</v>
      </c>
      <c r="AW241" s="794">
        <f t="shared" si="128"/>
        <v>0</v>
      </c>
      <c r="AX241" s="794">
        <f t="shared" si="129"/>
        <v>0</v>
      </c>
      <c r="AY241" s="1462">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45">
        <f t="shared" si="151"/>
        <v>0</v>
      </c>
    </row>
    <row r="242" spans="1:72">
      <c r="A242" s="1526"/>
      <c r="B242" s="1534"/>
      <c r="C242" s="1534"/>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899"/>
      <c r="AU242" s="2927"/>
      <c r="AV242" s="794">
        <f t="shared" si="127"/>
        <v>0</v>
      </c>
      <c r="AW242" s="794">
        <f t="shared" si="128"/>
        <v>0</v>
      </c>
      <c r="AX242" s="794">
        <f t="shared" si="129"/>
        <v>0</v>
      </c>
      <c r="AY242" s="1462">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45">
        <f t="shared" si="151"/>
        <v>0</v>
      </c>
    </row>
    <row r="243" spans="1:72">
      <c r="A243" s="1526"/>
      <c r="B243" s="1534"/>
      <c r="C243" s="1534"/>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899"/>
      <c r="AU243" s="2927"/>
      <c r="AV243" s="794">
        <f t="shared" si="127"/>
        <v>0</v>
      </c>
      <c r="AW243" s="794">
        <f t="shared" si="128"/>
        <v>0</v>
      </c>
      <c r="AX243" s="794">
        <f t="shared" si="129"/>
        <v>0</v>
      </c>
      <c r="AY243" s="1462">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45">
        <f t="shared" si="151"/>
        <v>0</v>
      </c>
    </row>
    <row r="244" spans="1:72">
      <c r="A244" s="1526"/>
      <c r="B244" s="1534"/>
      <c r="C244" s="1534"/>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899"/>
      <c r="AU244" s="2927"/>
      <c r="AV244" s="794">
        <f t="shared" si="127"/>
        <v>0</v>
      </c>
      <c r="AW244" s="794">
        <f t="shared" si="128"/>
        <v>0</v>
      </c>
      <c r="AX244" s="794">
        <f t="shared" si="129"/>
        <v>0</v>
      </c>
      <c r="AY244" s="1462">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45">
        <f t="shared" si="151"/>
        <v>0</v>
      </c>
    </row>
    <row r="245" spans="1:72">
      <c r="A245" s="1526"/>
      <c r="B245" s="1534"/>
      <c r="C245" s="1534"/>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899"/>
      <c r="AU245" s="2927"/>
      <c r="AV245" s="794">
        <f t="shared" si="127"/>
        <v>0</v>
      </c>
      <c r="AW245" s="794">
        <f t="shared" si="128"/>
        <v>0</v>
      </c>
      <c r="AX245" s="794">
        <f t="shared" si="129"/>
        <v>0</v>
      </c>
      <c r="AY245" s="1462">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45">
        <f t="shared" si="151"/>
        <v>0</v>
      </c>
    </row>
    <row r="246" spans="1:72">
      <c r="A246" s="1526"/>
      <c r="B246" s="1534"/>
      <c r="C246" s="1534"/>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899"/>
      <c r="AU246" s="2927"/>
      <c r="AV246" s="794">
        <f t="shared" si="127"/>
        <v>0</v>
      </c>
      <c r="AW246" s="794">
        <f t="shared" si="128"/>
        <v>0</v>
      </c>
      <c r="AX246" s="794">
        <f t="shared" si="129"/>
        <v>0</v>
      </c>
      <c r="AY246" s="1462">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45">
        <f t="shared" si="151"/>
        <v>0</v>
      </c>
    </row>
    <row r="247" spans="1:72">
      <c r="A247" s="1526"/>
      <c r="B247" s="1534"/>
      <c r="C247" s="1534"/>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899"/>
      <c r="AU247" s="2927"/>
      <c r="AV247" s="794">
        <f t="shared" si="127"/>
        <v>0</v>
      </c>
      <c r="AW247" s="794">
        <f t="shared" si="128"/>
        <v>0</v>
      </c>
      <c r="AX247" s="794">
        <f t="shared" si="129"/>
        <v>0</v>
      </c>
      <c r="AY247" s="1462">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45">
        <f t="shared" si="151"/>
        <v>0</v>
      </c>
    </row>
    <row r="248" spans="1:72">
      <c r="A248" s="1526"/>
      <c r="B248" s="1534"/>
      <c r="C248" s="1534"/>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899"/>
      <c r="AU248" s="2927"/>
      <c r="AV248" s="794">
        <f t="shared" si="127"/>
        <v>0</v>
      </c>
      <c r="AW248" s="794">
        <f t="shared" si="128"/>
        <v>0</v>
      </c>
      <c r="AX248" s="794">
        <f t="shared" si="129"/>
        <v>0</v>
      </c>
      <c r="AY248" s="1462">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45">
        <f t="shared" si="151"/>
        <v>0</v>
      </c>
    </row>
    <row r="249" spans="1:72">
      <c r="A249" s="1526"/>
      <c r="B249" s="1534"/>
      <c r="C249" s="1534"/>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899"/>
      <c r="AU249" s="2927"/>
      <c r="AV249" s="794">
        <f t="shared" si="127"/>
        <v>0</v>
      </c>
      <c r="AW249" s="794">
        <f t="shared" si="128"/>
        <v>0</v>
      </c>
      <c r="AX249" s="794">
        <f t="shared" si="129"/>
        <v>0</v>
      </c>
      <c r="AY249" s="1462">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45">
        <f t="shared" si="151"/>
        <v>0</v>
      </c>
    </row>
    <row r="250" spans="1:72">
      <c r="A250" s="1526"/>
      <c r="B250" s="1534"/>
      <c r="C250" s="1534"/>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899"/>
      <c r="AU250" s="2927"/>
      <c r="AV250" s="794">
        <f t="shared" si="127"/>
        <v>0</v>
      </c>
      <c r="AW250" s="794">
        <f t="shared" si="128"/>
        <v>0</v>
      </c>
      <c r="AX250" s="794">
        <f t="shared" si="129"/>
        <v>0</v>
      </c>
      <c r="AY250" s="1462">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45">
        <f t="shared" si="151"/>
        <v>0</v>
      </c>
    </row>
    <row r="251" spans="1:72">
      <c r="A251" s="1526"/>
      <c r="B251" s="1534"/>
      <c r="C251" s="1534"/>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899"/>
      <c r="AU251" s="2927"/>
      <c r="AV251" s="794">
        <f t="shared" si="127"/>
        <v>0</v>
      </c>
      <c r="AW251" s="794">
        <f t="shared" si="128"/>
        <v>0</v>
      </c>
      <c r="AX251" s="794">
        <f t="shared" si="129"/>
        <v>0</v>
      </c>
      <c r="AY251" s="1462">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45">
        <f t="shared" si="151"/>
        <v>0</v>
      </c>
    </row>
    <row r="252" spans="1:72">
      <c r="A252" s="1526"/>
      <c r="B252" s="1534"/>
      <c r="C252" s="1534"/>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899"/>
      <c r="AU252" s="2927"/>
      <c r="AV252" s="794">
        <f t="shared" si="127"/>
        <v>0</v>
      </c>
      <c r="AW252" s="794">
        <f t="shared" si="128"/>
        <v>0</v>
      </c>
      <c r="AX252" s="794">
        <f t="shared" si="129"/>
        <v>0</v>
      </c>
      <c r="AY252" s="1462">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45">
        <f t="shared" si="151"/>
        <v>0</v>
      </c>
    </row>
    <row r="253" spans="1:72">
      <c r="A253" s="1526"/>
      <c r="B253" s="1534"/>
      <c r="C253" s="1534"/>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899"/>
      <c r="AU253" s="2927"/>
      <c r="AV253" s="794">
        <f t="shared" si="127"/>
        <v>0</v>
      </c>
      <c r="AW253" s="794">
        <f t="shared" si="128"/>
        <v>0</v>
      </c>
      <c r="AX253" s="794">
        <f t="shared" si="129"/>
        <v>0</v>
      </c>
      <c r="AY253" s="1462">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45">
        <f t="shared" si="151"/>
        <v>0</v>
      </c>
    </row>
    <row r="254" spans="1:72">
      <c r="A254" s="1526"/>
      <c r="B254" s="1534"/>
      <c r="C254" s="1534"/>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899"/>
      <c r="AU254" s="2927"/>
      <c r="AV254" s="794">
        <f t="shared" si="127"/>
        <v>0</v>
      </c>
      <c r="AW254" s="794">
        <f t="shared" si="128"/>
        <v>0</v>
      </c>
      <c r="AX254" s="794">
        <f t="shared" si="129"/>
        <v>0</v>
      </c>
      <c r="AY254" s="1462">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45">
        <f t="shared" si="151"/>
        <v>0</v>
      </c>
    </row>
    <row r="255" spans="1:72">
      <c r="A255" s="1526"/>
      <c r="B255" s="1534"/>
      <c r="C255" s="1534"/>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899"/>
      <c r="AU255" s="2927"/>
      <c r="AV255" s="794">
        <f t="shared" si="127"/>
        <v>0</v>
      </c>
      <c r="AW255" s="794">
        <f t="shared" si="128"/>
        <v>0</v>
      </c>
      <c r="AX255" s="794">
        <f t="shared" si="129"/>
        <v>0</v>
      </c>
      <c r="AY255" s="1462">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45">
        <f t="shared" si="151"/>
        <v>0</v>
      </c>
    </row>
    <row r="256" spans="1:72">
      <c r="A256" s="1526"/>
      <c r="B256" s="1534"/>
      <c r="C256" s="1534"/>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899"/>
      <c r="AU256" s="2927"/>
      <c r="AV256" s="794">
        <f t="shared" si="127"/>
        <v>0</v>
      </c>
      <c r="AW256" s="794">
        <f t="shared" si="128"/>
        <v>0</v>
      </c>
      <c r="AX256" s="794">
        <f t="shared" si="129"/>
        <v>0</v>
      </c>
      <c r="AY256" s="1462">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45">
        <f t="shared" si="151"/>
        <v>0</v>
      </c>
    </row>
    <row r="257" spans="1:72">
      <c r="A257" s="1526"/>
      <c r="B257" s="1534"/>
      <c r="C257" s="1534"/>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899"/>
      <c r="AU257" s="2927"/>
      <c r="AV257" s="794">
        <f t="shared" si="127"/>
        <v>0</v>
      </c>
      <c r="AW257" s="794">
        <f t="shared" si="128"/>
        <v>0</v>
      </c>
      <c r="AX257" s="794">
        <f t="shared" si="129"/>
        <v>0</v>
      </c>
      <c r="AY257" s="1462">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45">
        <f t="shared" si="151"/>
        <v>0</v>
      </c>
    </row>
    <row r="258" spans="1:72">
      <c r="A258" s="1526"/>
      <c r="B258" s="1534"/>
      <c r="C258" s="1534"/>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899"/>
      <c r="AU258" s="2927"/>
      <c r="AV258" s="794">
        <f t="shared" si="127"/>
        <v>0</v>
      </c>
      <c r="AW258" s="794">
        <f t="shared" si="128"/>
        <v>0</v>
      </c>
      <c r="AX258" s="794">
        <f t="shared" si="129"/>
        <v>0</v>
      </c>
      <c r="AY258" s="1462">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45">
        <f t="shared" si="151"/>
        <v>0</v>
      </c>
    </row>
    <row r="259" spans="1:72">
      <c r="A259" s="1526"/>
      <c r="B259" s="1534"/>
      <c r="C259" s="1534"/>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899"/>
      <c r="AU259" s="2927"/>
      <c r="AV259" s="794">
        <f t="shared" si="127"/>
        <v>0</v>
      </c>
      <c r="AW259" s="794">
        <f t="shared" si="128"/>
        <v>0</v>
      </c>
      <c r="AX259" s="794">
        <f t="shared" si="129"/>
        <v>0</v>
      </c>
      <c r="AY259" s="1462">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45">
        <f t="shared" si="151"/>
        <v>0</v>
      </c>
    </row>
    <row r="260" spans="1:72">
      <c r="A260" s="1526"/>
      <c r="B260" s="1534"/>
      <c r="C260" s="1534"/>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899"/>
      <c r="AU260" s="2927"/>
      <c r="AV260" s="794">
        <f t="shared" si="127"/>
        <v>0</v>
      </c>
      <c r="AW260" s="794">
        <f t="shared" si="128"/>
        <v>0</v>
      </c>
      <c r="AX260" s="794">
        <f t="shared" si="129"/>
        <v>0</v>
      </c>
      <c r="AY260" s="1462">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45">
        <f t="shared" si="151"/>
        <v>0</v>
      </c>
    </row>
    <row r="261" spans="1:72">
      <c r="A261" s="1526"/>
      <c r="B261" s="1534"/>
      <c r="C261" s="1534"/>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899"/>
      <c r="AU261" s="2927"/>
      <c r="AV261" s="794">
        <f t="shared" si="127"/>
        <v>0</v>
      </c>
      <c r="AW261" s="794">
        <f t="shared" si="128"/>
        <v>0</v>
      </c>
      <c r="AX261" s="794">
        <f t="shared" si="129"/>
        <v>0</v>
      </c>
      <c r="AY261" s="1462">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45">
        <f t="shared" si="151"/>
        <v>0</v>
      </c>
    </row>
    <row r="262" spans="1:72">
      <c r="A262" s="1526"/>
      <c r="B262" s="1534"/>
      <c r="C262" s="1534"/>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899"/>
      <c r="AU262" s="2927"/>
      <c r="AV262" s="794">
        <f t="shared" si="127"/>
        <v>0</v>
      </c>
      <c r="AW262" s="794">
        <f t="shared" si="128"/>
        <v>0</v>
      </c>
      <c r="AX262" s="794">
        <f t="shared" si="129"/>
        <v>0</v>
      </c>
      <c r="AY262" s="1462">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45">
        <f t="shared" si="151"/>
        <v>0</v>
      </c>
    </row>
    <row r="263" spans="1:72">
      <c r="A263" s="1526"/>
      <c r="B263" s="1534"/>
      <c r="C263" s="1534"/>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899"/>
      <c r="AU263" s="2927"/>
      <c r="AV263" s="794">
        <f t="shared" si="127"/>
        <v>0</v>
      </c>
      <c r="AW263" s="794">
        <f t="shared" si="128"/>
        <v>0</v>
      </c>
      <c r="AX263" s="794">
        <f t="shared" si="129"/>
        <v>0</v>
      </c>
      <c r="AY263" s="1462">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45">
        <f t="shared" si="151"/>
        <v>0</v>
      </c>
    </row>
    <row r="264" spans="1:72">
      <c r="A264" s="1526"/>
      <c r="B264" s="1534"/>
      <c r="C264" s="1534"/>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899"/>
      <c r="AU264" s="2927"/>
      <c r="AV264" s="794">
        <f t="shared" si="127"/>
        <v>0</v>
      </c>
      <c r="AW264" s="794">
        <f t="shared" si="128"/>
        <v>0</v>
      </c>
      <c r="AX264" s="794">
        <f t="shared" si="129"/>
        <v>0</v>
      </c>
      <c r="AY264" s="1462">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45">
        <f t="shared" si="151"/>
        <v>0</v>
      </c>
    </row>
    <row r="265" spans="1:72">
      <c r="A265" s="1526"/>
      <c r="B265" s="1534"/>
      <c r="C265" s="1534"/>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899"/>
      <c r="AU265" s="2927"/>
      <c r="AV265" s="794">
        <f t="shared" si="127"/>
        <v>0</v>
      </c>
      <c r="AW265" s="794">
        <f t="shared" si="128"/>
        <v>0</v>
      </c>
      <c r="AX265" s="794">
        <f t="shared" si="129"/>
        <v>0</v>
      </c>
      <c r="AY265" s="1462">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45">
        <f t="shared" si="151"/>
        <v>0</v>
      </c>
    </row>
    <row r="266" spans="1:72">
      <c r="A266" s="1526"/>
      <c r="B266" s="1534"/>
      <c r="C266" s="1534"/>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899"/>
      <c r="AU266" s="2927"/>
      <c r="AV266" s="794">
        <f t="shared" si="127"/>
        <v>0</v>
      </c>
      <c r="AW266" s="794">
        <f t="shared" si="128"/>
        <v>0</v>
      </c>
      <c r="AX266" s="794">
        <f t="shared" si="129"/>
        <v>0</v>
      </c>
      <c r="AY266" s="1462">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45">
        <f t="shared" si="151"/>
        <v>0</v>
      </c>
    </row>
    <row r="267" spans="1:72">
      <c r="A267" s="1526"/>
      <c r="B267" s="1534"/>
      <c r="C267" s="1534"/>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899"/>
      <c r="AU267" s="2927"/>
      <c r="AV267" s="794">
        <f t="shared" si="127"/>
        <v>0</v>
      </c>
      <c r="AW267" s="794">
        <f t="shared" si="128"/>
        <v>0</v>
      </c>
      <c r="AX267" s="794">
        <f t="shared" si="129"/>
        <v>0</v>
      </c>
      <c r="AY267" s="1462">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45">
        <f t="shared" si="151"/>
        <v>0</v>
      </c>
    </row>
    <row r="268" spans="1:72">
      <c r="A268" s="1526"/>
      <c r="B268" s="1534"/>
      <c r="C268" s="1534"/>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899"/>
      <c r="AU268" s="2927"/>
      <c r="AV268" s="794">
        <f t="shared" si="127"/>
        <v>0</v>
      </c>
      <c r="AW268" s="794">
        <f t="shared" si="128"/>
        <v>0</v>
      </c>
      <c r="AX268" s="794">
        <f t="shared" si="129"/>
        <v>0</v>
      </c>
      <c r="AY268" s="1462">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45">
        <f t="shared" si="151"/>
        <v>0</v>
      </c>
    </row>
    <row r="269" spans="1:72">
      <c r="A269" s="1526"/>
      <c r="B269" s="1534"/>
      <c r="C269" s="1534"/>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899"/>
      <c r="AU269" s="2927"/>
      <c r="AV269" s="794">
        <f t="shared" si="127"/>
        <v>0</v>
      </c>
      <c r="AW269" s="794">
        <f t="shared" si="128"/>
        <v>0</v>
      </c>
      <c r="AX269" s="794">
        <f t="shared" si="129"/>
        <v>0</v>
      </c>
      <c r="AY269" s="1462">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45">
        <f t="shared" si="151"/>
        <v>0</v>
      </c>
    </row>
    <row r="270" spans="1:72">
      <c r="A270" s="1526"/>
      <c r="B270" s="1534"/>
      <c r="C270" s="1534"/>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899"/>
      <c r="AU270" s="2927"/>
      <c r="AV270" s="794">
        <f t="shared" si="127"/>
        <v>0</v>
      </c>
      <c r="AW270" s="794">
        <f t="shared" si="128"/>
        <v>0</v>
      </c>
      <c r="AX270" s="794">
        <f t="shared" si="129"/>
        <v>0</v>
      </c>
      <c r="AY270" s="1462">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45">
        <f t="shared" si="151"/>
        <v>0</v>
      </c>
    </row>
    <row r="271" spans="1:72">
      <c r="A271" s="1526"/>
      <c r="B271" s="1534"/>
      <c r="C271" s="1534"/>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899"/>
      <c r="AU271" s="2927"/>
      <c r="AV271" s="794">
        <f t="shared" si="127"/>
        <v>0</v>
      </c>
      <c r="AW271" s="794">
        <f t="shared" si="128"/>
        <v>0</v>
      </c>
      <c r="AX271" s="794">
        <f t="shared" si="129"/>
        <v>0</v>
      </c>
      <c r="AY271" s="1462">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45">
        <f t="shared" si="151"/>
        <v>0</v>
      </c>
    </row>
    <row r="272" spans="1:72">
      <c r="A272" s="1526"/>
      <c r="B272" s="1534"/>
      <c r="C272" s="1534"/>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899"/>
      <c r="AU272" s="2927"/>
      <c r="AV272" s="794">
        <f t="shared" si="127"/>
        <v>0</v>
      </c>
      <c r="AW272" s="794">
        <f t="shared" si="128"/>
        <v>0</v>
      </c>
      <c r="AX272" s="794">
        <f t="shared" si="129"/>
        <v>0</v>
      </c>
      <c r="AY272" s="1462">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45">
        <f t="shared" si="151"/>
        <v>0</v>
      </c>
    </row>
    <row r="273" spans="1:72">
      <c r="A273" s="1526"/>
      <c r="B273" s="1534"/>
      <c r="C273" s="1534"/>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899"/>
      <c r="AU273" s="2927"/>
      <c r="AV273" s="794">
        <f t="shared" si="127"/>
        <v>0</v>
      </c>
      <c r="AW273" s="794">
        <f t="shared" si="128"/>
        <v>0</v>
      </c>
      <c r="AX273" s="794">
        <f t="shared" si="129"/>
        <v>0</v>
      </c>
      <c r="AY273" s="1462">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45">
        <f t="shared" si="151"/>
        <v>0</v>
      </c>
    </row>
    <row r="274" spans="1:72">
      <c r="A274" s="1526"/>
      <c r="B274" s="1534"/>
      <c r="C274" s="1534"/>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899"/>
      <c r="AU274" s="2927"/>
      <c r="AV274" s="794">
        <f t="shared" si="127"/>
        <v>0</v>
      </c>
      <c r="AW274" s="794">
        <f t="shared" si="128"/>
        <v>0</v>
      </c>
      <c r="AX274" s="794">
        <f t="shared" si="129"/>
        <v>0</v>
      </c>
      <c r="AY274" s="1462">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45">
        <f t="shared" si="151"/>
        <v>0</v>
      </c>
    </row>
    <row r="275" spans="1:72">
      <c r="A275" s="1526"/>
      <c r="B275" s="1534"/>
      <c r="C275" s="1534"/>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899"/>
      <c r="AU275" s="2927"/>
      <c r="AV275" s="794">
        <f t="shared" si="127"/>
        <v>0</v>
      </c>
      <c r="AW275" s="794">
        <f t="shared" si="128"/>
        <v>0</v>
      </c>
      <c r="AX275" s="794">
        <f t="shared" si="129"/>
        <v>0</v>
      </c>
      <c r="AY275" s="1462">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45">
        <f t="shared" si="151"/>
        <v>0</v>
      </c>
    </row>
    <row r="276" spans="1:72">
      <c r="A276" s="1526"/>
      <c r="B276" s="1534"/>
      <c r="C276" s="1534"/>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899"/>
      <c r="AU276" s="2927"/>
      <c r="AV276" s="794">
        <f t="shared" si="127"/>
        <v>0</v>
      </c>
      <c r="AW276" s="794">
        <f t="shared" si="128"/>
        <v>0</v>
      </c>
      <c r="AX276" s="794">
        <f t="shared" si="129"/>
        <v>0</v>
      </c>
      <c r="AY276" s="1462">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45">
        <f t="shared" si="151"/>
        <v>0</v>
      </c>
    </row>
    <row r="277" spans="1:72">
      <c r="A277" s="1526"/>
      <c r="B277" s="1534"/>
      <c r="C277" s="1534"/>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899"/>
      <c r="AU277" s="2927"/>
      <c r="AV277" s="794">
        <f t="shared" si="127"/>
        <v>0</v>
      </c>
      <c r="AW277" s="794">
        <f t="shared" si="128"/>
        <v>0</v>
      </c>
      <c r="AX277" s="794">
        <f t="shared" si="129"/>
        <v>0</v>
      </c>
      <c r="AY277" s="1462">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45">
        <f t="shared" si="151"/>
        <v>0</v>
      </c>
    </row>
    <row r="278" spans="1:72">
      <c r="A278" s="1526"/>
      <c r="B278" s="1534"/>
      <c r="C278" s="1534"/>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899"/>
      <c r="AU278" s="2927"/>
      <c r="AV278" s="794">
        <f t="shared" si="127"/>
        <v>0</v>
      </c>
      <c r="AW278" s="794">
        <f t="shared" si="128"/>
        <v>0</v>
      </c>
      <c r="AX278" s="794">
        <f t="shared" si="129"/>
        <v>0</v>
      </c>
      <c r="AY278" s="1462">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45">
        <f t="shared" si="151"/>
        <v>0</v>
      </c>
    </row>
    <row r="279" spans="1:72">
      <c r="A279" s="1526"/>
      <c r="B279" s="1534"/>
      <c r="C279" s="1534"/>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899"/>
      <c r="AU279" s="2927"/>
      <c r="AV279" s="794">
        <f t="shared" si="127"/>
        <v>0</v>
      </c>
      <c r="AW279" s="794">
        <f t="shared" si="128"/>
        <v>0</v>
      </c>
      <c r="AX279" s="794">
        <f t="shared" si="129"/>
        <v>0</v>
      </c>
      <c r="AY279" s="1462">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45">
        <f t="shared" si="151"/>
        <v>0</v>
      </c>
    </row>
    <row r="280" spans="1:72">
      <c r="A280" s="1526"/>
      <c r="B280" s="1534"/>
      <c r="C280" s="1534"/>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899"/>
      <c r="AU280" s="2927"/>
      <c r="AV280" s="794">
        <f t="shared" si="127"/>
        <v>0</v>
      </c>
      <c r="AW280" s="794">
        <f t="shared" si="128"/>
        <v>0</v>
      </c>
      <c r="AX280" s="794">
        <f t="shared" si="129"/>
        <v>0</v>
      </c>
      <c r="AY280" s="1462">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45">
        <f t="shared" si="151"/>
        <v>0</v>
      </c>
    </row>
    <row r="281" spans="1:72">
      <c r="A281" s="1526"/>
      <c r="B281" s="1534"/>
      <c r="C281" s="1534"/>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899"/>
      <c r="AU281" s="2927"/>
      <c r="AV281" s="794">
        <f t="shared" si="127"/>
        <v>0</v>
      </c>
      <c r="AW281" s="794">
        <f t="shared" si="128"/>
        <v>0</v>
      </c>
      <c r="AX281" s="794">
        <f t="shared" si="129"/>
        <v>0</v>
      </c>
      <c r="AY281" s="1462">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45">
        <f t="shared" si="151"/>
        <v>0</v>
      </c>
    </row>
    <row r="282" spans="1:72">
      <c r="A282" s="1526"/>
      <c r="B282" s="1534"/>
      <c r="C282" s="1534"/>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899"/>
      <c r="AU282" s="2927"/>
      <c r="AV282" s="794">
        <f t="shared" si="127"/>
        <v>0</v>
      </c>
      <c r="AW282" s="794">
        <f t="shared" si="128"/>
        <v>0</v>
      </c>
      <c r="AX282" s="794">
        <f t="shared" si="129"/>
        <v>0</v>
      </c>
      <c r="AY282" s="1462">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45">
        <f t="shared" si="151"/>
        <v>0</v>
      </c>
    </row>
    <row r="283" spans="1:72">
      <c r="A283" s="1526"/>
      <c r="B283" s="1534"/>
      <c r="C283" s="1534"/>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899"/>
      <c r="AU283" s="2927"/>
      <c r="AV283" s="794">
        <f t="shared" si="127"/>
        <v>0</v>
      </c>
      <c r="AW283" s="794">
        <f t="shared" si="128"/>
        <v>0</v>
      </c>
      <c r="AX283" s="794">
        <f t="shared" si="129"/>
        <v>0</v>
      </c>
      <c r="AY283" s="1462">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45">
        <f t="shared" si="151"/>
        <v>0</v>
      </c>
    </row>
    <row r="284" spans="1:72">
      <c r="A284" s="1526"/>
      <c r="B284" s="1534"/>
      <c r="C284" s="1534"/>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899"/>
      <c r="AU284" s="2927"/>
      <c r="AV284" s="794">
        <f t="shared" si="127"/>
        <v>0</v>
      </c>
      <c r="AW284" s="794">
        <f t="shared" si="128"/>
        <v>0</v>
      </c>
      <c r="AX284" s="794">
        <f t="shared" si="129"/>
        <v>0</v>
      </c>
      <c r="AY284" s="1462">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45">
        <f t="shared" si="151"/>
        <v>0</v>
      </c>
    </row>
    <row r="285" spans="1:72">
      <c r="A285" s="1526"/>
      <c r="B285" s="1534"/>
      <c r="C285" s="1534"/>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899"/>
      <c r="AU285" s="2927"/>
      <c r="AV285" s="794">
        <f t="shared" si="127"/>
        <v>0</v>
      </c>
      <c r="AW285" s="794">
        <f t="shared" si="128"/>
        <v>0</v>
      </c>
      <c r="AX285" s="794">
        <f t="shared" si="129"/>
        <v>0</v>
      </c>
      <c r="AY285" s="1462">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45">
        <f t="shared" si="151"/>
        <v>0</v>
      </c>
    </row>
    <row r="286" spans="1:72">
      <c r="A286" s="1526"/>
      <c r="B286" s="1534"/>
      <c r="C286" s="1534"/>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899"/>
      <c r="AU286" s="2927"/>
      <c r="AV286" s="794">
        <f t="shared" si="127"/>
        <v>0</v>
      </c>
      <c r="AW286" s="794">
        <f t="shared" si="128"/>
        <v>0</v>
      </c>
      <c r="AX286" s="794">
        <f t="shared" si="129"/>
        <v>0</v>
      </c>
      <c r="AY286" s="1462">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45">
        <f t="shared" si="151"/>
        <v>0</v>
      </c>
    </row>
    <row r="287" spans="1:72">
      <c r="A287" s="1526"/>
      <c r="B287" s="1534"/>
      <c r="C287" s="1534"/>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899"/>
      <c r="AU287" s="2927"/>
      <c r="AV287" s="794">
        <f t="shared" si="127"/>
        <v>0</v>
      </c>
      <c r="AW287" s="794">
        <f t="shared" si="128"/>
        <v>0</v>
      </c>
      <c r="AX287" s="794">
        <f t="shared" si="129"/>
        <v>0</v>
      </c>
      <c r="AY287" s="1462">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45">
        <f t="shared" si="151"/>
        <v>0</v>
      </c>
    </row>
    <row r="288" spans="1:72">
      <c r="A288" s="1526"/>
      <c r="B288" s="1534"/>
      <c r="C288" s="1534"/>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899"/>
      <c r="AU288" s="2927"/>
      <c r="AV288" s="794">
        <f t="shared" si="127"/>
        <v>0</v>
      </c>
      <c r="AW288" s="794">
        <f t="shared" si="128"/>
        <v>0</v>
      </c>
      <c r="AX288" s="794">
        <f t="shared" si="129"/>
        <v>0</v>
      </c>
      <c r="AY288" s="1462">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45">
        <f t="shared" si="151"/>
        <v>0</v>
      </c>
    </row>
    <row r="289" spans="1:72">
      <c r="A289" s="1526"/>
      <c r="B289" s="1534"/>
      <c r="C289" s="1534"/>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899"/>
      <c r="AU289" s="2927"/>
      <c r="AV289" s="794">
        <f t="shared" si="127"/>
        <v>0</v>
      </c>
      <c r="AW289" s="794">
        <f t="shared" si="128"/>
        <v>0</v>
      </c>
      <c r="AX289" s="794">
        <f t="shared" si="129"/>
        <v>0</v>
      </c>
      <c r="AY289" s="1462">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45">
        <f t="shared" si="151"/>
        <v>0</v>
      </c>
    </row>
    <row r="290" spans="1:72">
      <c r="A290" s="1526"/>
      <c r="B290" s="1534"/>
      <c r="C290" s="1534"/>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899"/>
      <c r="AU290" s="2927"/>
      <c r="AV290" s="794">
        <f t="shared" si="127"/>
        <v>0</v>
      </c>
      <c r="AW290" s="794">
        <f t="shared" si="128"/>
        <v>0</v>
      </c>
      <c r="AX290" s="794">
        <f t="shared" si="129"/>
        <v>0</v>
      </c>
      <c r="AY290" s="1462">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45">
        <f t="shared" si="151"/>
        <v>0</v>
      </c>
    </row>
    <row r="291" spans="1:72">
      <c r="A291" s="1526"/>
      <c r="B291" s="1534"/>
      <c r="C291" s="1534"/>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899"/>
      <c r="AU291" s="2927"/>
      <c r="AV291" s="794">
        <f t="shared" si="127"/>
        <v>0</v>
      </c>
      <c r="AW291" s="794">
        <f t="shared" si="128"/>
        <v>0</v>
      </c>
      <c r="AX291" s="794">
        <f t="shared" si="129"/>
        <v>0</v>
      </c>
      <c r="AY291" s="1462">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45">
        <f t="shared" si="151"/>
        <v>0</v>
      </c>
    </row>
    <row r="292" spans="1:72">
      <c r="A292" s="1526"/>
      <c r="B292" s="1534"/>
      <c r="C292" s="1534"/>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899"/>
      <c r="AU292" s="2927"/>
      <c r="AV292" s="794">
        <f t="shared" si="127"/>
        <v>0</v>
      </c>
      <c r="AW292" s="794">
        <f t="shared" si="128"/>
        <v>0</v>
      </c>
      <c r="AX292" s="794">
        <f t="shared" si="129"/>
        <v>0</v>
      </c>
      <c r="AY292" s="1462">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45">
        <f t="shared" si="151"/>
        <v>0</v>
      </c>
    </row>
    <row r="293" spans="1:72">
      <c r="A293" s="1526"/>
      <c r="B293" s="1534"/>
      <c r="C293" s="1534"/>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899"/>
      <c r="AU293" s="2927"/>
      <c r="AV293" s="794">
        <f t="shared" si="127"/>
        <v>0</v>
      </c>
      <c r="AW293" s="794">
        <f t="shared" si="128"/>
        <v>0</v>
      </c>
      <c r="AX293" s="794">
        <f t="shared" si="129"/>
        <v>0</v>
      </c>
      <c r="AY293" s="1462">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45">
        <f t="shared" si="151"/>
        <v>0</v>
      </c>
    </row>
    <row r="294" spans="1:72">
      <c r="A294" s="1526"/>
      <c r="B294" s="1534"/>
      <c r="C294" s="1534"/>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899"/>
      <c r="AU294" s="2927"/>
      <c r="AV294" s="794">
        <f t="shared" si="127"/>
        <v>0</v>
      </c>
      <c r="AW294" s="794">
        <f t="shared" si="128"/>
        <v>0</v>
      </c>
      <c r="AX294" s="794">
        <f t="shared" si="129"/>
        <v>0</v>
      </c>
      <c r="AY294" s="1462">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45">
        <f t="shared" si="151"/>
        <v>0</v>
      </c>
    </row>
    <row r="295" spans="1:72">
      <c r="A295" s="1526"/>
      <c r="B295" s="1534"/>
      <c r="C295" s="1534"/>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899"/>
      <c r="AU295" s="2927"/>
      <c r="AV295" s="794">
        <f t="shared" si="127"/>
        <v>0</v>
      </c>
      <c r="AW295" s="794">
        <f t="shared" si="128"/>
        <v>0</v>
      </c>
      <c r="AX295" s="794">
        <f t="shared" si="129"/>
        <v>0</v>
      </c>
      <c r="AY295" s="1462">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45">
        <f t="shared" si="151"/>
        <v>0</v>
      </c>
    </row>
    <row r="296" spans="1:72">
      <c r="A296" s="1526"/>
      <c r="B296" s="1534"/>
      <c r="C296" s="1534"/>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899"/>
      <c r="AU296" s="2927"/>
      <c r="AV296" s="794">
        <f t="shared" si="127"/>
        <v>0</v>
      </c>
      <c r="AW296" s="794">
        <f t="shared" si="128"/>
        <v>0</v>
      </c>
      <c r="AX296" s="794">
        <f t="shared" si="129"/>
        <v>0</v>
      </c>
      <c r="AY296" s="1462">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45">
        <f t="shared" si="151"/>
        <v>0</v>
      </c>
    </row>
    <row r="297" spans="1:72">
      <c r="A297" s="1526"/>
      <c r="B297" s="1534"/>
      <c r="C297" s="1534"/>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899"/>
      <c r="AU297" s="2927"/>
      <c r="AV297" s="794">
        <f t="shared" si="127"/>
        <v>0</v>
      </c>
      <c r="AW297" s="794">
        <f t="shared" si="128"/>
        <v>0</v>
      </c>
      <c r="AX297" s="794">
        <f t="shared" si="129"/>
        <v>0</v>
      </c>
      <c r="AY297" s="1462">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45">
        <f t="shared" si="151"/>
        <v>0</v>
      </c>
    </row>
    <row r="298" spans="1:72">
      <c r="A298" s="1526"/>
      <c r="B298" s="1534"/>
      <c r="C298" s="1534"/>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899"/>
      <c r="AU298" s="2927"/>
      <c r="AV298" s="794">
        <f t="shared" si="127"/>
        <v>0</v>
      </c>
      <c r="AW298" s="794">
        <f t="shared" si="128"/>
        <v>0</v>
      </c>
      <c r="AX298" s="794">
        <f t="shared" si="129"/>
        <v>0</v>
      </c>
      <c r="AY298" s="1462">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45">
        <f t="shared" si="151"/>
        <v>0</v>
      </c>
    </row>
    <row r="299" spans="1:72">
      <c r="A299" s="1526"/>
      <c r="B299" s="1534"/>
      <c r="C299" s="1534"/>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899"/>
      <c r="AU299" s="2927"/>
      <c r="AV299" s="794">
        <f t="shared" si="127"/>
        <v>0</v>
      </c>
      <c r="AW299" s="794">
        <f t="shared" si="128"/>
        <v>0</v>
      </c>
      <c r="AX299" s="794">
        <f t="shared" si="129"/>
        <v>0</v>
      </c>
      <c r="AY299" s="1462">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45">
        <f t="shared" si="151"/>
        <v>0</v>
      </c>
    </row>
    <row r="300" spans="1:72">
      <c r="A300" s="1526"/>
      <c r="B300" s="1526"/>
      <c r="C300" s="1526"/>
      <c r="D300" s="2897"/>
      <c r="E300" s="2898">
        <f t="shared" si="123"/>
        <v>0</v>
      </c>
      <c r="F300" s="2918"/>
      <c r="G300" s="2900">
        <f t="shared" ref="G300:G331" si="152">H300+AC300+AT300</f>
        <v>0</v>
      </c>
      <c r="H300" s="2901">
        <f t="shared" ref="H300:H331" si="153">SUMIF(I$12:AB$12,"总值",I300:AB300)</f>
        <v>0</v>
      </c>
      <c r="I300" s="2946"/>
      <c r="J300" s="2946"/>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1569"/>
      <c r="AV300" s="794">
        <f t="shared" si="127"/>
        <v>0</v>
      </c>
      <c r="AW300" s="794">
        <f t="shared" si="128"/>
        <v>0</v>
      </c>
      <c r="AX300" s="794">
        <f t="shared" si="129"/>
        <v>0</v>
      </c>
      <c r="AY300" s="1462">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45">
        <f t="shared" ref="BT300:BT331" si="176">IF($D300="是",AR300-AS300,0)</f>
        <v>0</v>
      </c>
    </row>
    <row r="301" spans="1:72">
      <c r="A301" s="1526"/>
      <c r="B301" s="1526"/>
      <c r="C301" s="1526"/>
      <c r="D301" s="2897"/>
      <c r="E301" s="2898">
        <f t="shared" si="123"/>
        <v>0</v>
      </c>
      <c r="F301" s="2918"/>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1569"/>
      <c r="AV301" s="794">
        <f t="shared" si="127"/>
        <v>0</v>
      </c>
      <c r="AW301" s="794">
        <f t="shared" si="128"/>
        <v>0</v>
      </c>
      <c r="AX301" s="794">
        <f t="shared" si="129"/>
        <v>0</v>
      </c>
      <c r="AY301" s="1462">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45">
        <f t="shared" si="176"/>
        <v>0</v>
      </c>
    </row>
    <row r="302" spans="1:72">
      <c r="A302" s="1526"/>
      <c r="B302" s="1526"/>
      <c r="C302" s="1526"/>
      <c r="D302" s="2897"/>
      <c r="E302" s="2898">
        <f t="shared" si="123"/>
        <v>0</v>
      </c>
      <c r="F302" s="2918"/>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1569"/>
      <c r="AV302" s="794">
        <f t="shared" si="127"/>
        <v>0</v>
      </c>
      <c r="AW302" s="794">
        <f t="shared" si="128"/>
        <v>0</v>
      </c>
      <c r="AX302" s="794">
        <f t="shared" si="129"/>
        <v>0</v>
      </c>
      <c r="AY302" s="1462">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45">
        <f t="shared" si="176"/>
        <v>0</v>
      </c>
    </row>
    <row r="303" spans="1:72">
      <c r="A303" s="1526"/>
      <c r="B303" s="1534"/>
      <c r="C303" s="1534"/>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899"/>
      <c r="AU303" s="2927"/>
      <c r="AV303" s="794">
        <f t="shared" ref="AV303:AV334" si="178">A303</f>
        <v>0</v>
      </c>
      <c r="AW303" s="794">
        <f t="shared" ref="AW303:AW334" si="179">B303</f>
        <v>0</v>
      </c>
      <c r="AX303" s="794">
        <f t="shared" ref="AX303:AX334" si="180">C303</f>
        <v>0</v>
      </c>
      <c r="AY303" s="1462">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45">
        <f t="shared" si="176"/>
        <v>0</v>
      </c>
    </row>
    <row r="304" spans="1:72">
      <c r="A304" s="1526"/>
      <c r="B304" s="1534"/>
      <c r="C304" s="1534"/>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899"/>
      <c r="AU304" s="2927"/>
      <c r="AV304" s="794">
        <f t="shared" si="178"/>
        <v>0</v>
      </c>
      <c r="AW304" s="794">
        <f t="shared" si="179"/>
        <v>0</v>
      </c>
      <c r="AX304" s="794">
        <f t="shared" si="180"/>
        <v>0</v>
      </c>
      <c r="AY304" s="1462">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45">
        <f t="shared" si="176"/>
        <v>0</v>
      </c>
    </row>
    <row r="305" spans="1:72">
      <c r="A305" s="1526"/>
      <c r="B305" s="1534"/>
      <c r="C305" s="1534"/>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899"/>
      <c r="AU305" s="2927"/>
      <c r="AV305" s="794">
        <f t="shared" si="178"/>
        <v>0</v>
      </c>
      <c r="AW305" s="794">
        <f t="shared" si="179"/>
        <v>0</v>
      </c>
      <c r="AX305" s="794">
        <f t="shared" si="180"/>
        <v>0</v>
      </c>
      <c r="AY305" s="1462">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45">
        <f t="shared" si="176"/>
        <v>0</v>
      </c>
    </row>
    <row r="306" spans="1:72">
      <c r="A306" s="1526"/>
      <c r="B306" s="1534"/>
      <c r="C306" s="1534"/>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899"/>
      <c r="AU306" s="2927"/>
      <c r="AV306" s="794">
        <f t="shared" si="178"/>
        <v>0</v>
      </c>
      <c r="AW306" s="794">
        <f t="shared" si="179"/>
        <v>0</v>
      </c>
      <c r="AX306" s="794">
        <f t="shared" si="180"/>
        <v>0</v>
      </c>
      <c r="AY306" s="1462">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45">
        <f t="shared" si="176"/>
        <v>0</v>
      </c>
    </row>
    <row r="307" spans="1:72">
      <c r="A307" s="1526"/>
      <c r="B307" s="1534"/>
      <c r="C307" s="1534"/>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899"/>
      <c r="AU307" s="2927"/>
      <c r="AV307" s="794">
        <f t="shared" si="178"/>
        <v>0</v>
      </c>
      <c r="AW307" s="794">
        <f t="shared" si="179"/>
        <v>0</v>
      </c>
      <c r="AX307" s="794">
        <f t="shared" si="180"/>
        <v>0</v>
      </c>
      <c r="AY307" s="1462">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45">
        <f t="shared" si="176"/>
        <v>0</v>
      </c>
    </row>
    <row r="308" spans="1:72">
      <c r="A308" s="1526"/>
      <c r="B308" s="1534"/>
      <c r="C308" s="1534"/>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899"/>
      <c r="AU308" s="2927"/>
      <c r="AV308" s="794">
        <f t="shared" si="178"/>
        <v>0</v>
      </c>
      <c r="AW308" s="794">
        <f t="shared" si="179"/>
        <v>0</v>
      </c>
      <c r="AX308" s="794">
        <f t="shared" si="180"/>
        <v>0</v>
      </c>
      <c r="AY308" s="1462">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45">
        <f t="shared" si="176"/>
        <v>0</v>
      </c>
    </row>
    <row r="309" spans="1:72">
      <c r="A309" s="1526"/>
      <c r="B309" s="1534"/>
      <c r="C309" s="1534"/>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899"/>
      <c r="AU309" s="2927"/>
      <c r="AV309" s="794">
        <f t="shared" si="178"/>
        <v>0</v>
      </c>
      <c r="AW309" s="794">
        <f t="shared" si="179"/>
        <v>0</v>
      </c>
      <c r="AX309" s="794">
        <f t="shared" si="180"/>
        <v>0</v>
      </c>
      <c r="AY309" s="1462">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45">
        <f t="shared" si="176"/>
        <v>0</v>
      </c>
    </row>
    <row r="310" spans="1:72">
      <c r="A310" s="1526"/>
      <c r="B310" s="1534"/>
      <c r="C310" s="1534"/>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899"/>
      <c r="AU310" s="2927"/>
      <c r="AV310" s="794">
        <f t="shared" si="178"/>
        <v>0</v>
      </c>
      <c r="AW310" s="794">
        <f t="shared" si="179"/>
        <v>0</v>
      </c>
      <c r="AX310" s="794">
        <f t="shared" si="180"/>
        <v>0</v>
      </c>
      <c r="AY310" s="1462">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45">
        <f t="shared" si="176"/>
        <v>0</v>
      </c>
    </row>
    <row r="311" spans="1:72">
      <c r="A311" s="1526"/>
      <c r="B311" s="1534"/>
      <c r="C311" s="1534"/>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899"/>
      <c r="AU311" s="2927"/>
      <c r="AV311" s="794">
        <f t="shared" si="178"/>
        <v>0</v>
      </c>
      <c r="AW311" s="794">
        <f t="shared" si="179"/>
        <v>0</v>
      </c>
      <c r="AX311" s="794">
        <f t="shared" si="180"/>
        <v>0</v>
      </c>
      <c r="AY311" s="1462">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45">
        <f t="shared" si="176"/>
        <v>0</v>
      </c>
    </row>
    <row r="312" spans="1:72">
      <c r="A312" s="1526"/>
      <c r="B312" s="1534"/>
      <c r="C312" s="1534"/>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899"/>
      <c r="AU312" s="2927"/>
      <c r="AV312" s="794">
        <f t="shared" si="178"/>
        <v>0</v>
      </c>
      <c r="AW312" s="794">
        <f t="shared" si="179"/>
        <v>0</v>
      </c>
      <c r="AX312" s="794">
        <f t="shared" si="180"/>
        <v>0</v>
      </c>
      <c r="AY312" s="1462">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45">
        <f t="shared" si="176"/>
        <v>0</v>
      </c>
    </row>
    <row r="313" spans="1:72">
      <c r="A313" s="1526"/>
      <c r="B313" s="1534"/>
      <c r="C313" s="1534"/>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899"/>
      <c r="AU313" s="2927"/>
      <c r="AV313" s="794">
        <f t="shared" si="178"/>
        <v>0</v>
      </c>
      <c r="AW313" s="794">
        <f t="shared" si="179"/>
        <v>0</v>
      </c>
      <c r="AX313" s="794">
        <f t="shared" si="180"/>
        <v>0</v>
      </c>
      <c r="AY313" s="1462">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45">
        <f t="shared" si="176"/>
        <v>0</v>
      </c>
    </row>
    <row r="314" spans="1:72">
      <c r="A314" s="1526"/>
      <c r="B314" s="1534"/>
      <c r="C314" s="1534"/>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899"/>
      <c r="AU314" s="2927"/>
      <c r="AV314" s="794">
        <f t="shared" si="178"/>
        <v>0</v>
      </c>
      <c r="AW314" s="794">
        <f t="shared" si="179"/>
        <v>0</v>
      </c>
      <c r="AX314" s="794">
        <f t="shared" si="180"/>
        <v>0</v>
      </c>
      <c r="AY314" s="1462">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45">
        <f t="shared" si="176"/>
        <v>0</v>
      </c>
    </row>
    <row r="315" spans="1:72">
      <c r="A315" s="1526"/>
      <c r="B315" s="1534"/>
      <c r="C315" s="1534"/>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899"/>
      <c r="AU315" s="2927"/>
      <c r="AV315" s="794">
        <f t="shared" si="178"/>
        <v>0</v>
      </c>
      <c r="AW315" s="794">
        <f t="shared" si="179"/>
        <v>0</v>
      </c>
      <c r="AX315" s="794">
        <f t="shared" si="180"/>
        <v>0</v>
      </c>
      <c r="AY315" s="1462">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45">
        <f t="shared" si="176"/>
        <v>0</v>
      </c>
    </row>
    <row r="316" spans="1:72">
      <c r="A316" s="1526"/>
      <c r="B316" s="1534"/>
      <c r="C316" s="1534"/>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899"/>
      <c r="AU316" s="2927"/>
      <c r="AV316" s="794">
        <f t="shared" si="178"/>
        <v>0</v>
      </c>
      <c r="AW316" s="794">
        <f t="shared" si="179"/>
        <v>0</v>
      </c>
      <c r="AX316" s="794">
        <f t="shared" si="180"/>
        <v>0</v>
      </c>
      <c r="AY316" s="1462">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45">
        <f t="shared" si="176"/>
        <v>0</v>
      </c>
    </row>
    <row r="317" spans="1:72">
      <c r="A317" s="1526"/>
      <c r="B317" s="1534"/>
      <c r="C317" s="1534"/>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899"/>
      <c r="AU317" s="2927"/>
      <c r="AV317" s="794">
        <f t="shared" si="178"/>
        <v>0</v>
      </c>
      <c r="AW317" s="794">
        <f t="shared" si="179"/>
        <v>0</v>
      </c>
      <c r="AX317" s="794">
        <f t="shared" si="180"/>
        <v>0</v>
      </c>
      <c r="AY317" s="1462">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45">
        <f t="shared" si="176"/>
        <v>0</v>
      </c>
    </row>
    <row r="318" spans="1:72">
      <c r="A318" s="1526"/>
      <c r="B318" s="1534"/>
      <c r="C318" s="1534"/>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899"/>
      <c r="AU318" s="2927"/>
      <c r="AV318" s="794">
        <f t="shared" si="178"/>
        <v>0</v>
      </c>
      <c r="AW318" s="794">
        <f t="shared" si="179"/>
        <v>0</v>
      </c>
      <c r="AX318" s="794">
        <f t="shared" si="180"/>
        <v>0</v>
      </c>
      <c r="AY318" s="1462">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45">
        <f t="shared" si="176"/>
        <v>0</v>
      </c>
    </row>
    <row r="319" spans="1:72">
      <c r="A319" s="1526"/>
      <c r="B319" s="1534"/>
      <c r="C319" s="1534"/>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899"/>
      <c r="AU319" s="2927"/>
      <c r="AV319" s="794">
        <f t="shared" si="178"/>
        <v>0</v>
      </c>
      <c r="AW319" s="794">
        <f t="shared" si="179"/>
        <v>0</v>
      </c>
      <c r="AX319" s="794">
        <f t="shared" si="180"/>
        <v>0</v>
      </c>
      <c r="AY319" s="1462">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45">
        <f t="shared" si="176"/>
        <v>0</v>
      </c>
    </row>
    <row r="320" spans="1:72">
      <c r="A320" s="1526"/>
      <c r="B320" s="1534"/>
      <c r="C320" s="1534"/>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899"/>
      <c r="AU320" s="2927"/>
      <c r="AV320" s="794">
        <f t="shared" si="178"/>
        <v>0</v>
      </c>
      <c r="AW320" s="794">
        <f t="shared" si="179"/>
        <v>0</v>
      </c>
      <c r="AX320" s="794">
        <f t="shared" si="180"/>
        <v>0</v>
      </c>
      <c r="AY320" s="1462">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45">
        <f t="shared" si="176"/>
        <v>0</v>
      </c>
    </row>
    <row r="321" spans="1:72">
      <c r="A321" s="1526"/>
      <c r="B321" s="1534"/>
      <c r="C321" s="1534"/>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899"/>
      <c r="AU321" s="2927"/>
      <c r="AV321" s="794">
        <f t="shared" si="178"/>
        <v>0</v>
      </c>
      <c r="AW321" s="794">
        <f t="shared" si="179"/>
        <v>0</v>
      </c>
      <c r="AX321" s="794">
        <f t="shared" si="180"/>
        <v>0</v>
      </c>
      <c r="AY321" s="1462">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45">
        <f t="shared" si="176"/>
        <v>0</v>
      </c>
    </row>
    <row r="322" spans="1:72">
      <c r="A322" s="1526"/>
      <c r="B322" s="1534"/>
      <c r="C322" s="1534"/>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899"/>
      <c r="AU322" s="2927"/>
      <c r="AV322" s="794">
        <f t="shared" si="178"/>
        <v>0</v>
      </c>
      <c r="AW322" s="794">
        <f t="shared" si="179"/>
        <v>0</v>
      </c>
      <c r="AX322" s="794">
        <f t="shared" si="180"/>
        <v>0</v>
      </c>
      <c r="AY322" s="1462">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45">
        <f t="shared" si="176"/>
        <v>0</v>
      </c>
    </row>
    <row r="323" spans="1:72">
      <c r="A323" s="1526"/>
      <c r="B323" s="1534"/>
      <c r="C323" s="1534"/>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899"/>
      <c r="AU323" s="2927"/>
      <c r="AV323" s="794">
        <f t="shared" si="178"/>
        <v>0</v>
      </c>
      <c r="AW323" s="794">
        <f t="shared" si="179"/>
        <v>0</v>
      </c>
      <c r="AX323" s="794">
        <f t="shared" si="180"/>
        <v>0</v>
      </c>
      <c r="AY323" s="1462">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45">
        <f t="shared" si="176"/>
        <v>0</v>
      </c>
    </row>
    <row r="324" spans="1:72">
      <c r="A324" s="1526"/>
      <c r="B324" s="1534"/>
      <c r="C324" s="1534"/>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899"/>
      <c r="AU324" s="2927"/>
      <c r="AV324" s="794">
        <f t="shared" si="178"/>
        <v>0</v>
      </c>
      <c r="AW324" s="794">
        <f t="shared" si="179"/>
        <v>0</v>
      </c>
      <c r="AX324" s="794">
        <f t="shared" si="180"/>
        <v>0</v>
      </c>
      <c r="AY324" s="1462">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45">
        <f t="shared" si="176"/>
        <v>0</v>
      </c>
    </row>
    <row r="325" spans="1:72">
      <c r="A325" s="1526"/>
      <c r="B325" s="1534"/>
      <c r="C325" s="1534"/>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899"/>
      <c r="AU325" s="2927"/>
      <c r="AV325" s="794">
        <f t="shared" si="178"/>
        <v>0</v>
      </c>
      <c r="AW325" s="794">
        <f t="shared" si="179"/>
        <v>0</v>
      </c>
      <c r="AX325" s="794">
        <f t="shared" si="180"/>
        <v>0</v>
      </c>
      <c r="AY325" s="1462">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45">
        <f t="shared" si="176"/>
        <v>0</v>
      </c>
    </row>
    <row r="326" spans="1:72">
      <c r="A326" s="1526"/>
      <c r="B326" s="1534"/>
      <c r="C326" s="1534"/>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899"/>
      <c r="AU326" s="2927"/>
      <c r="AV326" s="794">
        <f t="shared" si="178"/>
        <v>0</v>
      </c>
      <c r="AW326" s="794">
        <f t="shared" si="179"/>
        <v>0</v>
      </c>
      <c r="AX326" s="794">
        <f t="shared" si="180"/>
        <v>0</v>
      </c>
      <c r="AY326" s="1462">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45">
        <f t="shared" si="176"/>
        <v>0</v>
      </c>
    </row>
    <row r="327" spans="1:72">
      <c r="A327" s="1526"/>
      <c r="B327" s="1534"/>
      <c r="C327" s="1534"/>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899"/>
      <c r="AU327" s="2927"/>
      <c r="AV327" s="794">
        <f t="shared" si="178"/>
        <v>0</v>
      </c>
      <c r="AW327" s="794">
        <f t="shared" si="179"/>
        <v>0</v>
      </c>
      <c r="AX327" s="794">
        <f t="shared" si="180"/>
        <v>0</v>
      </c>
      <c r="AY327" s="1462">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45">
        <f t="shared" si="176"/>
        <v>0</v>
      </c>
    </row>
    <row r="328" spans="1:72">
      <c r="A328" s="1526"/>
      <c r="B328" s="1534"/>
      <c r="C328" s="1534"/>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899"/>
      <c r="AU328" s="2927"/>
      <c r="AV328" s="794">
        <f t="shared" si="178"/>
        <v>0</v>
      </c>
      <c r="AW328" s="794">
        <f t="shared" si="179"/>
        <v>0</v>
      </c>
      <c r="AX328" s="794">
        <f t="shared" si="180"/>
        <v>0</v>
      </c>
      <c r="AY328" s="1462">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45">
        <f t="shared" si="176"/>
        <v>0</v>
      </c>
    </row>
    <row r="329" spans="1:72">
      <c r="A329" s="1526"/>
      <c r="B329" s="1534"/>
      <c r="C329" s="1534"/>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899"/>
      <c r="AU329" s="2927"/>
      <c r="AV329" s="794">
        <f t="shared" si="178"/>
        <v>0</v>
      </c>
      <c r="AW329" s="794">
        <f t="shared" si="179"/>
        <v>0</v>
      </c>
      <c r="AX329" s="794">
        <f t="shared" si="180"/>
        <v>0</v>
      </c>
      <c r="AY329" s="1462">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45">
        <f t="shared" si="176"/>
        <v>0</v>
      </c>
    </row>
    <row r="330" spans="1:72">
      <c r="A330" s="1526"/>
      <c r="B330" s="1534"/>
      <c r="C330" s="1534"/>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899"/>
      <c r="AU330" s="2927"/>
      <c r="AV330" s="794">
        <f t="shared" si="178"/>
        <v>0</v>
      </c>
      <c r="AW330" s="794">
        <f t="shared" si="179"/>
        <v>0</v>
      </c>
      <c r="AX330" s="794">
        <f t="shared" si="180"/>
        <v>0</v>
      </c>
      <c r="AY330" s="1462">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45">
        <f t="shared" si="176"/>
        <v>0</v>
      </c>
    </row>
    <row r="331" spans="1:72">
      <c r="A331" s="1526"/>
      <c r="B331" s="1534"/>
      <c r="C331" s="1534"/>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899"/>
      <c r="AU331" s="2927"/>
      <c r="AV331" s="794">
        <f t="shared" si="178"/>
        <v>0</v>
      </c>
      <c r="AW331" s="794">
        <f t="shared" si="179"/>
        <v>0</v>
      </c>
      <c r="AX331" s="794">
        <f t="shared" si="180"/>
        <v>0</v>
      </c>
      <c r="AY331" s="1462">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45">
        <f t="shared" si="176"/>
        <v>0</v>
      </c>
    </row>
    <row r="332" spans="1:72">
      <c r="A332" s="1526"/>
      <c r="B332" s="1534"/>
      <c r="C332" s="1534"/>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899"/>
      <c r="AU332" s="2927"/>
      <c r="AV332" s="794">
        <f t="shared" si="178"/>
        <v>0</v>
      </c>
      <c r="AW332" s="794">
        <f t="shared" si="179"/>
        <v>0</v>
      </c>
      <c r="AX332" s="794">
        <f t="shared" si="180"/>
        <v>0</v>
      </c>
      <c r="AY332" s="1462">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45">
        <f t="shared" ref="BT332:BT363" si="205">IF($D332="是",AR332-AS332,0)</f>
        <v>0</v>
      </c>
    </row>
    <row r="333" spans="1:72">
      <c r="A333" s="1526"/>
      <c r="B333" s="1534"/>
      <c r="C333" s="1534"/>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899"/>
      <c r="AU333" s="2927"/>
      <c r="AV333" s="794">
        <f t="shared" si="178"/>
        <v>0</v>
      </c>
      <c r="AW333" s="794">
        <f t="shared" si="179"/>
        <v>0</v>
      </c>
      <c r="AX333" s="794">
        <f t="shared" si="180"/>
        <v>0</v>
      </c>
      <c r="AY333" s="1462">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45">
        <f t="shared" si="205"/>
        <v>0</v>
      </c>
    </row>
    <row r="334" spans="1:72">
      <c r="A334" s="1526"/>
      <c r="B334" s="1534"/>
      <c r="C334" s="1534"/>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899"/>
      <c r="AU334" s="2927"/>
      <c r="AV334" s="794">
        <f t="shared" si="178"/>
        <v>0</v>
      </c>
      <c r="AW334" s="794">
        <f t="shared" si="179"/>
        <v>0</v>
      </c>
      <c r="AX334" s="794">
        <f t="shared" si="180"/>
        <v>0</v>
      </c>
      <c r="AY334" s="1462">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45">
        <f t="shared" si="205"/>
        <v>0</v>
      </c>
    </row>
    <row r="335" spans="1:72">
      <c r="A335" s="1526"/>
      <c r="B335" s="1534"/>
      <c r="C335" s="1534"/>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899"/>
      <c r="AU335" s="2927"/>
      <c r="AV335" s="794">
        <f t="shared" ref="AV335:AV366" si="207">A335</f>
        <v>0</v>
      </c>
      <c r="AW335" s="794">
        <f t="shared" ref="AW335:AW366" si="208">B335</f>
        <v>0</v>
      </c>
      <c r="AX335" s="794">
        <f t="shared" ref="AX335:AX366" si="209">C335</f>
        <v>0</v>
      </c>
      <c r="AY335" s="1462">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45">
        <f t="shared" si="205"/>
        <v>0</v>
      </c>
    </row>
    <row r="336" spans="1:72">
      <c r="A336" s="1526"/>
      <c r="B336" s="1534"/>
      <c r="C336" s="1534"/>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899"/>
      <c r="AU336" s="2927"/>
      <c r="AV336" s="794">
        <f t="shared" si="207"/>
        <v>0</v>
      </c>
      <c r="AW336" s="794">
        <f t="shared" si="208"/>
        <v>0</v>
      </c>
      <c r="AX336" s="794">
        <f t="shared" si="209"/>
        <v>0</v>
      </c>
      <c r="AY336" s="1462">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45">
        <f t="shared" si="205"/>
        <v>0</v>
      </c>
    </row>
    <row r="337" spans="1:72">
      <c r="A337" s="1526"/>
      <c r="B337" s="1534"/>
      <c r="C337" s="1534"/>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899"/>
      <c r="AU337" s="2927"/>
      <c r="AV337" s="794">
        <f t="shared" si="207"/>
        <v>0</v>
      </c>
      <c r="AW337" s="794">
        <f t="shared" si="208"/>
        <v>0</v>
      </c>
      <c r="AX337" s="794">
        <f t="shared" si="209"/>
        <v>0</v>
      </c>
      <c r="AY337" s="1462">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45">
        <f t="shared" si="205"/>
        <v>0</v>
      </c>
    </row>
    <row r="338" spans="1:72">
      <c r="A338" s="1526"/>
      <c r="B338" s="1534"/>
      <c r="C338" s="1534"/>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899"/>
      <c r="AU338" s="2927"/>
      <c r="AV338" s="794">
        <f t="shared" si="207"/>
        <v>0</v>
      </c>
      <c r="AW338" s="794">
        <f t="shared" si="208"/>
        <v>0</v>
      </c>
      <c r="AX338" s="794">
        <f t="shared" si="209"/>
        <v>0</v>
      </c>
      <c r="AY338" s="1462">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45">
        <f t="shared" si="205"/>
        <v>0</v>
      </c>
    </row>
    <row r="339" spans="1:72">
      <c r="A339" s="1526"/>
      <c r="B339" s="1534"/>
      <c r="C339" s="1534"/>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899"/>
      <c r="AU339" s="2927"/>
      <c r="AV339" s="794">
        <f t="shared" si="207"/>
        <v>0</v>
      </c>
      <c r="AW339" s="794">
        <f t="shared" si="208"/>
        <v>0</v>
      </c>
      <c r="AX339" s="794">
        <f t="shared" si="209"/>
        <v>0</v>
      </c>
      <c r="AY339" s="1462">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45">
        <f t="shared" si="205"/>
        <v>0</v>
      </c>
    </row>
    <row r="340" spans="1:72">
      <c r="A340" s="1526"/>
      <c r="B340" s="1534"/>
      <c r="C340" s="1534"/>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899"/>
      <c r="AU340" s="2927"/>
      <c r="AV340" s="794">
        <f t="shared" si="207"/>
        <v>0</v>
      </c>
      <c r="AW340" s="794">
        <f t="shared" si="208"/>
        <v>0</v>
      </c>
      <c r="AX340" s="794">
        <f t="shared" si="209"/>
        <v>0</v>
      </c>
      <c r="AY340" s="1462">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45">
        <f t="shared" si="205"/>
        <v>0</v>
      </c>
    </row>
    <row r="341" spans="1:72">
      <c r="A341" s="1526"/>
      <c r="B341" s="1534"/>
      <c r="C341" s="1534"/>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899"/>
      <c r="AU341" s="2927"/>
      <c r="AV341" s="794">
        <f t="shared" si="207"/>
        <v>0</v>
      </c>
      <c r="AW341" s="794">
        <f t="shared" si="208"/>
        <v>0</v>
      </c>
      <c r="AX341" s="794">
        <f t="shared" si="209"/>
        <v>0</v>
      </c>
      <c r="AY341" s="1462">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45">
        <f t="shared" si="205"/>
        <v>0</v>
      </c>
    </row>
    <row r="342" spans="1:72">
      <c r="A342" s="1526"/>
      <c r="B342" s="1534"/>
      <c r="C342" s="1534"/>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899"/>
      <c r="AU342" s="2927"/>
      <c r="AV342" s="794">
        <f t="shared" si="207"/>
        <v>0</v>
      </c>
      <c r="AW342" s="794">
        <f t="shared" si="208"/>
        <v>0</v>
      </c>
      <c r="AX342" s="794">
        <f t="shared" si="209"/>
        <v>0</v>
      </c>
      <c r="AY342" s="1462">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45">
        <f t="shared" si="205"/>
        <v>0</v>
      </c>
    </row>
    <row r="343" spans="1:72">
      <c r="A343" s="1526"/>
      <c r="B343" s="1534"/>
      <c r="C343" s="1534"/>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899"/>
      <c r="AU343" s="2927"/>
      <c r="AV343" s="794">
        <f t="shared" si="207"/>
        <v>0</v>
      </c>
      <c r="AW343" s="794">
        <f t="shared" si="208"/>
        <v>0</v>
      </c>
      <c r="AX343" s="794">
        <f t="shared" si="209"/>
        <v>0</v>
      </c>
      <c r="AY343" s="1462">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45">
        <f t="shared" si="205"/>
        <v>0</v>
      </c>
    </row>
    <row r="344" spans="1:72">
      <c r="A344" s="1526"/>
      <c r="B344" s="1534"/>
      <c r="C344" s="1534"/>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899"/>
      <c r="AU344" s="2927"/>
      <c r="AV344" s="794">
        <f t="shared" si="207"/>
        <v>0</v>
      </c>
      <c r="AW344" s="794">
        <f t="shared" si="208"/>
        <v>0</v>
      </c>
      <c r="AX344" s="794">
        <f t="shared" si="209"/>
        <v>0</v>
      </c>
      <c r="AY344" s="1462">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45">
        <f t="shared" si="205"/>
        <v>0</v>
      </c>
    </row>
    <row r="345" spans="1:72">
      <c r="A345" s="1526"/>
      <c r="B345" s="1534"/>
      <c r="C345" s="1534"/>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899"/>
      <c r="AU345" s="2927"/>
      <c r="AV345" s="794">
        <f t="shared" si="207"/>
        <v>0</v>
      </c>
      <c r="AW345" s="794">
        <f t="shared" si="208"/>
        <v>0</v>
      </c>
      <c r="AX345" s="794">
        <f t="shared" si="209"/>
        <v>0</v>
      </c>
      <c r="AY345" s="1462">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45">
        <f t="shared" si="205"/>
        <v>0</v>
      </c>
    </row>
    <row r="346" spans="1:72">
      <c r="A346" s="1526"/>
      <c r="B346" s="1534"/>
      <c r="C346" s="1534"/>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899"/>
      <c r="AU346" s="2927"/>
      <c r="AV346" s="794">
        <f t="shared" si="207"/>
        <v>0</v>
      </c>
      <c r="AW346" s="794">
        <f t="shared" si="208"/>
        <v>0</v>
      </c>
      <c r="AX346" s="794">
        <f t="shared" si="209"/>
        <v>0</v>
      </c>
      <c r="AY346" s="1462">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45">
        <f t="shared" si="205"/>
        <v>0</v>
      </c>
    </row>
    <row r="347" spans="1:72">
      <c r="A347" s="1526"/>
      <c r="B347" s="1534"/>
      <c r="C347" s="1534"/>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899"/>
      <c r="AU347" s="2927"/>
      <c r="AV347" s="794">
        <f t="shared" si="207"/>
        <v>0</v>
      </c>
      <c r="AW347" s="794">
        <f t="shared" si="208"/>
        <v>0</v>
      </c>
      <c r="AX347" s="794">
        <f t="shared" si="209"/>
        <v>0</v>
      </c>
      <c r="AY347" s="1462">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45">
        <f t="shared" si="205"/>
        <v>0</v>
      </c>
    </row>
    <row r="348" spans="1:72">
      <c r="A348" s="1526"/>
      <c r="B348" s="1534"/>
      <c r="C348" s="1534"/>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899"/>
      <c r="AU348" s="2927"/>
      <c r="AV348" s="794">
        <f t="shared" si="207"/>
        <v>0</v>
      </c>
      <c r="AW348" s="794">
        <f t="shared" si="208"/>
        <v>0</v>
      </c>
      <c r="AX348" s="794">
        <f t="shared" si="209"/>
        <v>0</v>
      </c>
      <c r="AY348" s="1462">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45">
        <f t="shared" si="205"/>
        <v>0</v>
      </c>
    </row>
    <row r="349" spans="1:72">
      <c r="A349" s="1526"/>
      <c r="B349" s="1534"/>
      <c r="C349" s="1534"/>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899"/>
      <c r="AU349" s="2927"/>
      <c r="AV349" s="794">
        <f t="shared" si="207"/>
        <v>0</v>
      </c>
      <c r="AW349" s="794">
        <f t="shared" si="208"/>
        <v>0</v>
      </c>
      <c r="AX349" s="794">
        <f t="shared" si="209"/>
        <v>0</v>
      </c>
      <c r="AY349" s="1462">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45">
        <f t="shared" si="205"/>
        <v>0</v>
      </c>
    </row>
    <row r="350" spans="1:72">
      <c r="A350" s="1526"/>
      <c r="B350" s="1534"/>
      <c r="C350" s="1534"/>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899"/>
      <c r="AU350" s="2927"/>
      <c r="AV350" s="794">
        <f t="shared" si="207"/>
        <v>0</v>
      </c>
      <c r="AW350" s="794">
        <f t="shared" si="208"/>
        <v>0</v>
      </c>
      <c r="AX350" s="794">
        <f t="shared" si="209"/>
        <v>0</v>
      </c>
      <c r="AY350" s="1462">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45">
        <f t="shared" si="205"/>
        <v>0</v>
      </c>
    </row>
    <row r="351" spans="1:72">
      <c r="A351" s="1526"/>
      <c r="B351" s="1534"/>
      <c r="C351" s="1534"/>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899"/>
      <c r="AU351" s="2927"/>
      <c r="AV351" s="794">
        <f t="shared" si="207"/>
        <v>0</v>
      </c>
      <c r="AW351" s="794">
        <f t="shared" si="208"/>
        <v>0</v>
      </c>
      <c r="AX351" s="794">
        <f t="shared" si="209"/>
        <v>0</v>
      </c>
      <c r="AY351" s="1462">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45">
        <f t="shared" si="205"/>
        <v>0</v>
      </c>
    </row>
    <row r="352" spans="1:72">
      <c r="A352" s="1526"/>
      <c r="B352" s="1534"/>
      <c r="C352" s="1534"/>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899"/>
      <c r="AU352" s="2927"/>
      <c r="AV352" s="794">
        <f t="shared" si="207"/>
        <v>0</v>
      </c>
      <c r="AW352" s="794">
        <f t="shared" si="208"/>
        <v>0</v>
      </c>
      <c r="AX352" s="794">
        <f t="shared" si="209"/>
        <v>0</v>
      </c>
      <c r="AY352" s="1462">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45">
        <f t="shared" si="205"/>
        <v>0</v>
      </c>
    </row>
    <row r="353" spans="1:72">
      <c r="A353" s="1526"/>
      <c r="B353" s="1534"/>
      <c r="C353" s="1534"/>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899"/>
      <c r="AU353" s="2927"/>
      <c r="AV353" s="794">
        <f t="shared" si="207"/>
        <v>0</v>
      </c>
      <c r="AW353" s="794">
        <f t="shared" si="208"/>
        <v>0</v>
      </c>
      <c r="AX353" s="794">
        <f t="shared" si="209"/>
        <v>0</v>
      </c>
      <c r="AY353" s="1462">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45">
        <f t="shared" si="205"/>
        <v>0</v>
      </c>
    </row>
    <row r="354" spans="1:72">
      <c r="A354" s="1526"/>
      <c r="B354" s="1534"/>
      <c r="C354" s="1534"/>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899"/>
      <c r="AU354" s="2927"/>
      <c r="AV354" s="794">
        <f t="shared" si="207"/>
        <v>0</v>
      </c>
      <c r="AW354" s="794">
        <f t="shared" si="208"/>
        <v>0</v>
      </c>
      <c r="AX354" s="794">
        <f t="shared" si="209"/>
        <v>0</v>
      </c>
      <c r="AY354" s="1462">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45">
        <f t="shared" si="205"/>
        <v>0</v>
      </c>
    </row>
    <row r="355" spans="1:72">
      <c r="A355" s="1526"/>
      <c r="B355" s="1534"/>
      <c r="C355" s="1534"/>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899"/>
      <c r="AU355" s="2927"/>
      <c r="AV355" s="794">
        <f t="shared" si="207"/>
        <v>0</v>
      </c>
      <c r="AW355" s="794">
        <f t="shared" si="208"/>
        <v>0</v>
      </c>
      <c r="AX355" s="794">
        <f t="shared" si="209"/>
        <v>0</v>
      </c>
      <c r="AY355" s="1462">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45">
        <f t="shared" si="205"/>
        <v>0</v>
      </c>
    </row>
    <row r="356" spans="1:72">
      <c r="A356" s="1526"/>
      <c r="B356" s="1534"/>
      <c r="C356" s="1534"/>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899"/>
      <c r="AU356" s="2927"/>
      <c r="AV356" s="794">
        <f t="shared" si="207"/>
        <v>0</v>
      </c>
      <c r="AW356" s="794">
        <f t="shared" si="208"/>
        <v>0</v>
      </c>
      <c r="AX356" s="794">
        <f t="shared" si="209"/>
        <v>0</v>
      </c>
      <c r="AY356" s="1462">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45">
        <f t="shared" si="205"/>
        <v>0</v>
      </c>
    </row>
    <row r="357" spans="1:72">
      <c r="A357" s="1526"/>
      <c r="B357" s="1534"/>
      <c r="C357" s="1534"/>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899"/>
      <c r="AU357" s="2927"/>
      <c r="AV357" s="794">
        <f t="shared" si="207"/>
        <v>0</v>
      </c>
      <c r="AW357" s="794">
        <f t="shared" si="208"/>
        <v>0</v>
      </c>
      <c r="AX357" s="794">
        <f t="shared" si="209"/>
        <v>0</v>
      </c>
      <c r="AY357" s="1462">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45">
        <f t="shared" si="205"/>
        <v>0</v>
      </c>
    </row>
    <row r="358" spans="1:72">
      <c r="A358" s="1526"/>
      <c r="B358" s="1534"/>
      <c r="C358" s="1534"/>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899"/>
      <c r="AU358" s="2927"/>
      <c r="AV358" s="794">
        <f t="shared" si="207"/>
        <v>0</v>
      </c>
      <c r="AW358" s="794">
        <f t="shared" si="208"/>
        <v>0</v>
      </c>
      <c r="AX358" s="794">
        <f t="shared" si="209"/>
        <v>0</v>
      </c>
      <c r="AY358" s="1462">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45">
        <f t="shared" si="205"/>
        <v>0</v>
      </c>
    </row>
    <row r="359" spans="1:72">
      <c r="A359" s="1526"/>
      <c r="B359" s="1534"/>
      <c r="C359" s="1534"/>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899"/>
      <c r="AU359" s="2927"/>
      <c r="AV359" s="794">
        <f t="shared" si="207"/>
        <v>0</v>
      </c>
      <c r="AW359" s="794">
        <f t="shared" si="208"/>
        <v>0</v>
      </c>
      <c r="AX359" s="794">
        <f t="shared" si="209"/>
        <v>0</v>
      </c>
      <c r="AY359" s="1462">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45">
        <f t="shared" si="205"/>
        <v>0</v>
      </c>
    </row>
    <row r="360" spans="1:72">
      <c r="A360" s="1526"/>
      <c r="B360" s="1534"/>
      <c r="C360" s="1534"/>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899"/>
      <c r="AU360" s="2927"/>
      <c r="AV360" s="794">
        <f t="shared" si="207"/>
        <v>0</v>
      </c>
      <c r="AW360" s="794">
        <f t="shared" si="208"/>
        <v>0</v>
      </c>
      <c r="AX360" s="794">
        <f t="shared" si="209"/>
        <v>0</v>
      </c>
      <c r="AY360" s="1462">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45">
        <f t="shared" si="205"/>
        <v>0</v>
      </c>
    </row>
    <row r="361" spans="1:72">
      <c r="A361" s="1526"/>
      <c r="B361" s="1534"/>
      <c r="C361" s="1534"/>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899"/>
      <c r="AU361" s="2927"/>
      <c r="AV361" s="794">
        <f t="shared" si="207"/>
        <v>0</v>
      </c>
      <c r="AW361" s="794">
        <f t="shared" si="208"/>
        <v>0</v>
      </c>
      <c r="AX361" s="794">
        <f t="shared" si="209"/>
        <v>0</v>
      </c>
      <c r="AY361" s="1462">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45">
        <f t="shared" si="205"/>
        <v>0</v>
      </c>
    </row>
    <row r="362" spans="1:72">
      <c r="A362" s="1526"/>
      <c r="B362" s="1534"/>
      <c r="C362" s="1534"/>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899"/>
      <c r="AU362" s="2927"/>
      <c r="AV362" s="794">
        <f t="shared" si="207"/>
        <v>0</v>
      </c>
      <c r="AW362" s="794">
        <f t="shared" si="208"/>
        <v>0</v>
      </c>
      <c r="AX362" s="794">
        <f t="shared" si="209"/>
        <v>0</v>
      </c>
      <c r="AY362" s="1462">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45">
        <f t="shared" si="205"/>
        <v>0</v>
      </c>
    </row>
    <row r="363" spans="1:72">
      <c r="A363" s="1526"/>
      <c r="B363" s="1534"/>
      <c r="C363" s="1534"/>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899"/>
      <c r="AU363" s="2927"/>
      <c r="AV363" s="794">
        <f t="shared" si="207"/>
        <v>0</v>
      </c>
      <c r="AW363" s="794">
        <f t="shared" si="208"/>
        <v>0</v>
      </c>
      <c r="AX363" s="794">
        <f t="shared" si="209"/>
        <v>0</v>
      </c>
      <c r="AY363" s="1462">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45">
        <f t="shared" si="205"/>
        <v>0</v>
      </c>
    </row>
    <row r="364" spans="1:72">
      <c r="A364" s="1526"/>
      <c r="B364" s="1534"/>
      <c r="C364" s="1534"/>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899"/>
      <c r="AU364" s="2927"/>
      <c r="AV364" s="794">
        <f t="shared" si="207"/>
        <v>0</v>
      </c>
      <c r="AW364" s="794">
        <f t="shared" si="208"/>
        <v>0</v>
      </c>
      <c r="AX364" s="794">
        <f t="shared" si="209"/>
        <v>0</v>
      </c>
      <c r="AY364" s="1462">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45">
        <f t="shared" ref="BT364:BT397" si="234">IF($D364="是",AR364-AS364,0)</f>
        <v>0</v>
      </c>
    </row>
    <row r="365" spans="1:72">
      <c r="A365" s="1526"/>
      <c r="B365" s="1534"/>
      <c r="C365" s="1534"/>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899"/>
      <c r="AU365" s="2927"/>
      <c r="AV365" s="794">
        <f t="shared" si="207"/>
        <v>0</v>
      </c>
      <c r="AW365" s="794">
        <f t="shared" si="208"/>
        <v>0</v>
      </c>
      <c r="AX365" s="794">
        <f t="shared" si="209"/>
        <v>0</v>
      </c>
      <c r="AY365" s="1462">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45">
        <f t="shared" si="234"/>
        <v>0</v>
      </c>
    </row>
    <row r="366" spans="1:72">
      <c r="A366" s="1526"/>
      <c r="B366" s="1534"/>
      <c r="C366" s="1534"/>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899"/>
      <c r="AU366" s="2927"/>
      <c r="AV366" s="794">
        <f t="shared" si="207"/>
        <v>0</v>
      </c>
      <c r="AW366" s="794">
        <f t="shared" si="208"/>
        <v>0</v>
      </c>
      <c r="AX366" s="794">
        <f t="shared" si="209"/>
        <v>0</v>
      </c>
      <c r="AY366" s="1462">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45">
        <f t="shared" si="234"/>
        <v>0</v>
      </c>
    </row>
    <row r="367" spans="1:72">
      <c r="A367" s="1526"/>
      <c r="B367" s="1534"/>
      <c r="C367" s="1534"/>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899"/>
      <c r="AU367" s="2927"/>
      <c r="AV367" s="794">
        <f t="shared" ref="AV367:AV397" si="236">A367</f>
        <v>0</v>
      </c>
      <c r="AW367" s="794">
        <f t="shared" ref="AW367:AW397" si="237">B367</f>
        <v>0</v>
      </c>
      <c r="AX367" s="794">
        <f t="shared" ref="AX367:AX397" si="238">C367</f>
        <v>0</v>
      </c>
      <c r="AY367" s="1462">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45">
        <f t="shared" si="234"/>
        <v>0</v>
      </c>
    </row>
    <row r="368" spans="1:72">
      <c r="A368" s="1526"/>
      <c r="B368" s="1534"/>
      <c r="C368" s="1534"/>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899"/>
      <c r="AU368" s="2927"/>
      <c r="AV368" s="794">
        <f t="shared" si="236"/>
        <v>0</v>
      </c>
      <c r="AW368" s="794">
        <f t="shared" si="237"/>
        <v>0</v>
      </c>
      <c r="AX368" s="794">
        <f t="shared" si="238"/>
        <v>0</v>
      </c>
      <c r="AY368" s="1462">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45">
        <f t="shared" si="234"/>
        <v>0</v>
      </c>
    </row>
    <row r="369" spans="1:72">
      <c r="A369" s="1526"/>
      <c r="B369" s="1534"/>
      <c r="C369" s="1534"/>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899"/>
      <c r="AU369" s="2927"/>
      <c r="AV369" s="794">
        <f t="shared" si="236"/>
        <v>0</v>
      </c>
      <c r="AW369" s="794">
        <f t="shared" si="237"/>
        <v>0</v>
      </c>
      <c r="AX369" s="794">
        <f t="shared" si="238"/>
        <v>0</v>
      </c>
      <c r="AY369" s="1462">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45">
        <f t="shared" si="234"/>
        <v>0</v>
      </c>
    </row>
    <row r="370" spans="1:72">
      <c r="A370" s="1526"/>
      <c r="B370" s="1534"/>
      <c r="C370" s="1534"/>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899"/>
      <c r="AU370" s="2927"/>
      <c r="AV370" s="794">
        <f t="shared" si="236"/>
        <v>0</v>
      </c>
      <c r="AW370" s="794">
        <f t="shared" si="237"/>
        <v>0</v>
      </c>
      <c r="AX370" s="794">
        <f t="shared" si="238"/>
        <v>0</v>
      </c>
      <c r="AY370" s="1462">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45">
        <f t="shared" si="234"/>
        <v>0</v>
      </c>
    </row>
    <row r="371" spans="1:72">
      <c r="A371" s="1526"/>
      <c r="B371" s="1534"/>
      <c r="C371" s="1534"/>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899"/>
      <c r="AU371" s="2927"/>
      <c r="AV371" s="794">
        <f t="shared" si="236"/>
        <v>0</v>
      </c>
      <c r="AW371" s="794">
        <f t="shared" si="237"/>
        <v>0</v>
      </c>
      <c r="AX371" s="794">
        <f t="shared" si="238"/>
        <v>0</v>
      </c>
      <c r="AY371" s="1462">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45">
        <f t="shared" si="234"/>
        <v>0</v>
      </c>
    </row>
    <row r="372" spans="1:72">
      <c r="A372" s="1526"/>
      <c r="B372" s="1534"/>
      <c r="C372" s="1534"/>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899"/>
      <c r="AU372" s="2927"/>
      <c r="AV372" s="794">
        <f t="shared" si="236"/>
        <v>0</v>
      </c>
      <c r="AW372" s="794">
        <f t="shared" si="237"/>
        <v>0</v>
      </c>
      <c r="AX372" s="794">
        <f t="shared" si="238"/>
        <v>0</v>
      </c>
      <c r="AY372" s="1462">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45">
        <f t="shared" si="234"/>
        <v>0</v>
      </c>
    </row>
    <row r="373" spans="1:72">
      <c r="A373" s="1526"/>
      <c r="B373" s="1534"/>
      <c r="C373" s="1534"/>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899"/>
      <c r="AU373" s="2927"/>
      <c r="AV373" s="794">
        <f t="shared" si="236"/>
        <v>0</v>
      </c>
      <c r="AW373" s="794">
        <f t="shared" si="237"/>
        <v>0</v>
      </c>
      <c r="AX373" s="794">
        <f t="shared" si="238"/>
        <v>0</v>
      </c>
      <c r="AY373" s="1462">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45">
        <f t="shared" si="234"/>
        <v>0</v>
      </c>
    </row>
    <row r="374" spans="1:72">
      <c r="A374" s="1526"/>
      <c r="B374" s="1534"/>
      <c r="C374" s="1534"/>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899"/>
      <c r="AU374" s="2927"/>
      <c r="AV374" s="794">
        <f t="shared" si="236"/>
        <v>0</v>
      </c>
      <c r="AW374" s="794">
        <f t="shared" si="237"/>
        <v>0</v>
      </c>
      <c r="AX374" s="794">
        <f t="shared" si="238"/>
        <v>0</v>
      </c>
      <c r="AY374" s="1462">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45">
        <f t="shared" si="234"/>
        <v>0</v>
      </c>
    </row>
    <row r="375" spans="1:72">
      <c r="A375" s="1526"/>
      <c r="B375" s="1534"/>
      <c r="C375" s="1534"/>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899"/>
      <c r="AU375" s="2927"/>
      <c r="AV375" s="794">
        <f t="shared" si="236"/>
        <v>0</v>
      </c>
      <c r="AW375" s="794">
        <f t="shared" si="237"/>
        <v>0</v>
      </c>
      <c r="AX375" s="794">
        <f t="shared" si="238"/>
        <v>0</v>
      </c>
      <c r="AY375" s="1462">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45">
        <f t="shared" si="234"/>
        <v>0</v>
      </c>
    </row>
    <row r="376" spans="1:72">
      <c r="A376" s="1526"/>
      <c r="B376" s="1534"/>
      <c r="C376" s="1534"/>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899"/>
      <c r="AU376" s="2927"/>
      <c r="AV376" s="794">
        <f t="shared" si="236"/>
        <v>0</v>
      </c>
      <c r="AW376" s="794">
        <f t="shared" si="237"/>
        <v>0</v>
      </c>
      <c r="AX376" s="794">
        <f t="shared" si="238"/>
        <v>0</v>
      </c>
      <c r="AY376" s="1462">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45">
        <f t="shared" si="234"/>
        <v>0</v>
      </c>
    </row>
    <row r="377" spans="1:72">
      <c r="A377" s="1526"/>
      <c r="B377" s="1534"/>
      <c r="C377" s="1534"/>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899"/>
      <c r="AU377" s="2927"/>
      <c r="AV377" s="794">
        <f t="shared" si="236"/>
        <v>0</v>
      </c>
      <c r="AW377" s="794">
        <f t="shared" si="237"/>
        <v>0</v>
      </c>
      <c r="AX377" s="794">
        <f t="shared" si="238"/>
        <v>0</v>
      </c>
      <c r="AY377" s="1462">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45">
        <f t="shared" si="234"/>
        <v>0</v>
      </c>
    </row>
    <row r="378" spans="1:72">
      <c r="A378" s="1526"/>
      <c r="B378" s="1534"/>
      <c r="C378" s="1534"/>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899"/>
      <c r="AU378" s="2927"/>
      <c r="AV378" s="794">
        <f t="shared" si="236"/>
        <v>0</v>
      </c>
      <c r="AW378" s="794">
        <f t="shared" si="237"/>
        <v>0</v>
      </c>
      <c r="AX378" s="794">
        <f t="shared" si="238"/>
        <v>0</v>
      </c>
      <c r="AY378" s="1462">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45">
        <f t="shared" si="234"/>
        <v>0</v>
      </c>
    </row>
    <row r="379" spans="1:72">
      <c r="A379" s="1526"/>
      <c r="B379" s="1534"/>
      <c r="C379" s="1534"/>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899"/>
      <c r="AU379" s="2927"/>
      <c r="AV379" s="794">
        <f t="shared" si="236"/>
        <v>0</v>
      </c>
      <c r="AW379" s="794">
        <f t="shared" si="237"/>
        <v>0</v>
      </c>
      <c r="AX379" s="794">
        <f t="shared" si="238"/>
        <v>0</v>
      </c>
      <c r="AY379" s="1462">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45">
        <f t="shared" si="234"/>
        <v>0</v>
      </c>
    </row>
    <row r="380" spans="1:72">
      <c r="A380" s="1526"/>
      <c r="B380" s="1534"/>
      <c r="C380" s="1534"/>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899"/>
      <c r="AU380" s="2927"/>
      <c r="AV380" s="794">
        <f t="shared" si="236"/>
        <v>0</v>
      </c>
      <c r="AW380" s="794">
        <f t="shared" si="237"/>
        <v>0</v>
      </c>
      <c r="AX380" s="794">
        <f t="shared" si="238"/>
        <v>0</v>
      </c>
      <c r="AY380" s="1462">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45">
        <f t="shared" si="234"/>
        <v>0</v>
      </c>
    </row>
    <row r="381" spans="1:72">
      <c r="A381" s="1526"/>
      <c r="B381" s="1534"/>
      <c r="C381" s="1534"/>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899"/>
      <c r="AU381" s="2927"/>
      <c r="AV381" s="794">
        <f t="shared" si="236"/>
        <v>0</v>
      </c>
      <c r="AW381" s="794">
        <f t="shared" si="237"/>
        <v>0</v>
      </c>
      <c r="AX381" s="794">
        <f t="shared" si="238"/>
        <v>0</v>
      </c>
      <c r="AY381" s="1462">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45">
        <f t="shared" si="234"/>
        <v>0</v>
      </c>
    </row>
    <row r="382" spans="1:72">
      <c r="A382" s="1526"/>
      <c r="B382" s="1534"/>
      <c r="C382" s="1534"/>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899"/>
      <c r="AU382" s="2927"/>
      <c r="AV382" s="794">
        <f t="shared" si="236"/>
        <v>0</v>
      </c>
      <c r="AW382" s="794">
        <f t="shared" si="237"/>
        <v>0</v>
      </c>
      <c r="AX382" s="794">
        <f t="shared" si="238"/>
        <v>0</v>
      </c>
      <c r="AY382" s="1462">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45">
        <f t="shared" si="234"/>
        <v>0</v>
      </c>
    </row>
    <row r="383" spans="1:72">
      <c r="A383" s="1526"/>
      <c r="B383" s="1534"/>
      <c r="C383" s="1534"/>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899"/>
      <c r="AU383" s="2927"/>
      <c r="AV383" s="794">
        <f t="shared" si="236"/>
        <v>0</v>
      </c>
      <c r="AW383" s="794">
        <f t="shared" si="237"/>
        <v>0</v>
      </c>
      <c r="AX383" s="794">
        <f t="shared" si="238"/>
        <v>0</v>
      </c>
      <c r="AY383" s="1462">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45">
        <f t="shared" si="234"/>
        <v>0</v>
      </c>
    </row>
    <row r="384" spans="1:72">
      <c r="A384" s="1526"/>
      <c r="B384" s="1534"/>
      <c r="C384" s="1534"/>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899"/>
      <c r="AU384" s="2927"/>
      <c r="AV384" s="794">
        <f t="shared" si="236"/>
        <v>0</v>
      </c>
      <c r="AW384" s="794">
        <f t="shared" si="237"/>
        <v>0</v>
      </c>
      <c r="AX384" s="794">
        <f t="shared" si="238"/>
        <v>0</v>
      </c>
      <c r="AY384" s="1462">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45">
        <f t="shared" si="234"/>
        <v>0</v>
      </c>
    </row>
    <row r="385" spans="1:72">
      <c r="A385" s="1526"/>
      <c r="B385" s="1534"/>
      <c r="C385" s="1534"/>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899"/>
      <c r="AU385" s="2927"/>
      <c r="AV385" s="794">
        <f t="shared" si="236"/>
        <v>0</v>
      </c>
      <c r="AW385" s="794">
        <f t="shared" si="237"/>
        <v>0</v>
      </c>
      <c r="AX385" s="794">
        <f t="shared" si="238"/>
        <v>0</v>
      </c>
      <c r="AY385" s="1462">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45">
        <f t="shared" si="234"/>
        <v>0</v>
      </c>
    </row>
    <row r="386" spans="1:72">
      <c r="A386" s="1526"/>
      <c r="B386" s="1534"/>
      <c r="C386" s="1534"/>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899"/>
      <c r="AU386" s="2927"/>
      <c r="AV386" s="794">
        <f t="shared" si="236"/>
        <v>0</v>
      </c>
      <c r="AW386" s="794">
        <f t="shared" si="237"/>
        <v>0</v>
      </c>
      <c r="AX386" s="794">
        <f t="shared" si="238"/>
        <v>0</v>
      </c>
      <c r="AY386" s="1462">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45">
        <f t="shared" si="234"/>
        <v>0</v>
      </c>
    </row>
    <row r="387" spans="1:72">
      <c r="A387" s="1526"/>
      <c r="B387" s="1534"/>
      <c r="C387" s="1534"/>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899"/>
      <c r="AU387" s="2927"/>
      <c r="AV387" s="794">
        <f t="shared" si="236"/>
        <v>0</v>
      </c>
      <c r="AW387" s="794">
        <f t="shared" si="237"/>
        <v>0</v>
      </c>
      <c r="AX387" s="794">
        <f t="shared" si="238"/>
        <v>0</v>
      </c>
      <c r="AY387" s="1462">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45">
        <f t="shared" si="234"/>
        <v>0</v>
      </c>
    </row>
    <row r="388" spans="1:72">
      <c r="A388" s="1526"/>
      <c r="B388" s="1534"/>
      <c r="C388" s="1534"/>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899"/>
      <c r="AU388" s="2927"/>
      <c r="AV388" s="794">
        <f t="shared" si="236"/>
        <v>0</v>
      </c>
      <c r="AW388" s="794">
        <f t="shared" si="237"/>
        <v>0</v>
      </c>
      <c r="AX388" s="794">
        <f t="shared" si="238"/>
        <v>0</v>
      </c>
      <c r="AY388" s="1462">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45">
        <f t="shared" si="234"/>
        <v>0</v>
      </c>
    </row>
    <row r="389" spans="1:72">
      <c r="A389" s="1526"/>
      <c r="B389" s="1534"/>
      <c r="C389" s="1534"/>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899"/>
      <c r="AU389" s="2927"/>
      <c r="AV389" s="794">
        <f t="shared" si="236"/>
        <v>0</v>
      </c>
      <c r="AW389" s="794">
        <f t="shared" si="237"/>
        <v>0</v>
      </c>
      <c r="AX389" s="794">
        <f t="shared" si="238"/>
        <v>0</v>
      </c>
      <c r="AY389" s="1462">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45">
        <f t="shared" si="234"/>
        <v>0</v>
      </c>
    </row>
    <row r="390" spans="1:72">
      <c r="A390" s="1526"/>
      <c r="B390" s="1534"/>
      <c r="C390" s="1534"/>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899"/>
      <c r="AU390" s="2927"/>
      <c r="AV390" s="794">
        <f t="shared" si="236"/>
        <v>0</v>
      </c>
      <c r="AW390" s="794">
        <f t="shared" si="237"/>
        <v>0</v>
      </c>
      <c r="AX390" s="794">
        <f t="shared" si="238"/>
        <v>0</v>
      </c>
      <c r="AY390" s="1462">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45">
        <f t="shared" si="234"/>
        <v>0</v>
      </c>
    </row>
    <row r="391" spans="1:72">
      <c r="A391" s="1526"/>
      <c r="B391" s="1534"/>
      <c r="C391" s="1534"/>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899"/>
      <c r="AU391" s="2927"/>
      <c r="AV391" s="794">
        <f t="shared" si="236"/>
        <v>0</v>
      </c>
      <c r="AW391" s="794">
        <f t="shared" si="237"/>
        <v>0</v>
      </c>
      <c r="AX391" s="794">
        <f t="shared" si="238"/>
        <v>0</v>
      </c>
      <c r="AY391" s="1462">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45">
        <f t="shared" si="234"/>
        <v>0</v>
      </c>
    </row>
    <row r="392" spans="1:72">
      <c r="A392" s="1526"/>
      <c r="B392" s="1534"/>
      <c r="C392" s="1534"/>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899"/>
      <c r="AU392" s="2927"/>
      <c r="AV392" s="794">
        <f t="shared" si="236"/>
        <v>0</v>
      </c>
      <c r="AW392" s="794">
        <f t="shared" si="237"/>
        <v>0</v>
      </c>
      <c r="AX392" s="794">
        <f t="shared" si="238"/>
        <v>0</v>
      </c>
      <c r="AY392" s="1462">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45">
        <f t="shared" si="234"/>
        <v>0</v>
      </c>
    </row>
    <row r="393" spans="1:72">
      <c r="A393" s="1526"/>
      <c r="B393" s="1534"/>
      <c r="C393" s="1534"/>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899"/>
      <c r="AU393" s="2927"/>
      <c r="AV393" s="794">
        <f t="shared" si="236"/>
        <v>0</v>
      </c>
      <c r="AW393" s="794">
        <f t="shared" si="237"/>
        <v>0</v>
      </c>
      <c r="AX393" s="794">
        <f t="shared" si="238"/>
        <v>0</v>
      </c>
      <c r="AY393" s="1462">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45">
        <f t="shared" si="234"/>
        <v>0</v>
      </c>
    </row>
    <row r="394" spans="1:72">
      <c r="A394" s="1526"/>
      <c r="B394" s="1534"/>
      <c r="C394" s="1534"/>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899"/>
      <c r="AU394" s="2927"/>
      <c r="AV394" s="794">
        <f t="shared" si="236"/>
        <v>0</v>
      </c>
      <c r="AW394" s="794">
        <f t="shared" si="237"/>
        <v>0</v>
      </c>
      <c r="AX394" s="794">
        <f t="shared" si="238"/>
        <v>0</v>
      </c>
      <c r="AY394" s="1462">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45">
        <f t="shared" si="234"/>
        <v>0</v>
      </c>
    </row>
    <row r="395" spans="1:72">
      <c r="A395" s="1526"/>
      <c r="B395" s="1526"/>
      <c r="C395" s="1526"/>
      <c r="D395" s="2897"/>
      <c r="E395" s="2898">
        <f t="shared" si="235"/>
        <v>0</v>
      </c>
      <c r="F395" s="2918"/>
      <c r="G395" s="2900">
        <f t="shared" si="210"/>
        <v>0</v>
      </c>
      <c r="H395" s="2901">
        <f t="shared" si="211"/>
        <v>0</v>
      </c>
      <c r="I395" s="2946"/>
      <c r="J395" s="2946"/>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1569"/>
      <c r="AV395" s="794">
        <f t="shared" si="236"/>
        <v>0</v>
      </c>
      <c r="AW395" s="794">
        <f t="shared" si="237"/>
        <v>0</v>
      </c>
      <c r="AX395" s="794">
        <f t="shared" si="238"/>
        <v>0</v>
      </c>
      <c r="AY395" s="1462">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45">
        <f t="shared" si="234"/>
        <v>0</v>
      </c>
    </row>
    <row r="396" spans="1:72">
      <c r="A396" s="1526"/>
      <c r="B396" s="1526"/>
      <c r="C396" s="1526"/>
      <c r="D396" s="2897"/>
      <c r="E396" s="2898">
        <f t="shared" si="235"/>
        <v>0</v>
      </c>
      <c r="F396" s="2918"/>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1569"/>
      <c r="AV396" s="794">
        <f t="shared" si="236"/>
        <v>0</v>
      </c>
      <c r="AW396" s="794">
        <f t="shared" si="237"/>
        <v>0</v>
      </c>
      <c r="AX396" s="794">
        <f t="shared" si="238"/>
        <v>0</v>
      </c>
      <c r="AY396" s="1462">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45">
        <f t="shared" si="234"/>
        <v>0</v>
      </c>
    </row>
    <row r="397" spans="1:72">
      <c r="A397" s="1526"/>
      <c r="B397" s="1526"/>
      <c r="C397" s="1526"/>
      <c r="D397" s="2897"/>
      <c r="E397" s="2898">
        <f t="shared" si="235"/>
        <v>0</v>
      </c>
      <c r="F397" s="2918"/>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1569"/>
      <c r="AV397" s="794">
        <f t="shared" si="236"/>
        <v>0</v>
      </c>
      <c r="AW397" s="794">
        <f t="shared" si="237"/>
        <v>0</v>
      </c>
      <c r="AX397" s="794">
        <f t="shared" si="238"/>
        <v>0</v>
      </c>
      <c r="AY397" s="1462">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45">
        <f t="shared" si="234"/>
        <v>0</v>
      </c>
    </row>
    <row r="398" spans="1:72">
      <c r="A398" s="1526"/>
      <c r="B398" s="1534"/>
      <c r="C398" s="1534"/>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899"/>
      <c r="AU398" s="2927"/>
      <c r="AV398" s="794">
        <f t="shared" ref="AV398:AV492" si="243">A398</f>
        <v>0</v>
      </c>
      <c r="AW398" s="794">
        <f t="shared" ref="AW398:AW492" si="244">B398</f>
        <v>0</v>
      </c>
      <c r="AX398" s="794">
        <f t="shared" ref="AX398:AX492" si="245">C398</f>
        <v>0</v>
      </c>
      <c r="AY398" s="1462">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45">
        <f t="shared" ref="BT398:BT489" si="267">IF($D398="是",AR398-AS398,0)</f>
        <v>0</v>
      </c>
    </row>
    <row r="399" spans="1:72">
      <c r="A399" s="1526"/>
      <c r="B399" s="1534"/>
      <c r="C399" s="1534"/>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899"/>
      <c r="AU399" s="2927"/>
      <c r="AV399" s="794">
        <f t="shared" si="243"/>
        <v>0</v>
      </c>
      <c r="AW399" s="794">
        <f t="shared" si="244"/>
        <v>0</v>
      </c>
      <c r="AX399" s="794">
        <f t="shared" si="245"/>
        <v>0</v>
      </c>
      <c r="AY399" s="1462">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45">
        <f t="shared" si="267"/>
        <v>0</v>
      </c>
    </row>
    <row r="400" spans="1:72">
      <c r="A400" s="1526"/>
      <c r="B400" s="1534"/>
      <c r="C400" s="1534"/>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899"/>
      <c r="AU400" s="2927"/>
      <c r="AV400" s="794">
        <f t="shared" si="243"/>
        <v>0</v>
      </c>
      <c r="AW400" s="794">
        <f t="shared" si="244"/>
        <v>0</v>
      </c>
      <c r="AX400" s="794">
        <f t="shared" si="245"/>
        <v>0</v>
      </c>
      <c r="AY400" s="1462">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45">
        <f t="shared" si="267"/>
        <v>0</v>
      </c>
    </row>
    <row r="401" spans="1:72">
      <c r="A401" s="1526"/>
      <c r="B401" s="1534"/>
      <c r="C401" s="1534"/>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899"/>
      <c r="AU401" s="2927"/>
      <c r="AV401" s="794">
        <f t="shared" si="243"/>
        <v>0</v>
      </c>
      <c r="AW401" s="794">
        <f t="shared" si="244"/>
        <v>0</v>
      </c>
      <c r="AX401" s="794">
        <f t="shared" si="245"/>
        <v>0</v>
      </c>
      <c r="AY401" s="1462">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45">
        <f t="shared" si="267"/>
        <v>0</v>
      </c>
    </row>
    <row r="402" spans="1:72">
      <c r="A402" s="1526"/>
      <c r="B402" s="1534"/>
      <c r="C402" s="1534"/>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899"/>
      <c r="AU402" s="2927"/>
      <c r="AV402" s="794">
        <f t="shared" si="243"/>
        <v>0</v>
      </c>
      <c r="AW402" s="794">
        <f t="shared" si="244"/>
        <v>0</v>
      </c>
      <c r="AX402" s="794">
        <f t="shared" si="245"/>
        <v>0</v>
      </c>
      <c r="AY402" s="1462">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45">
        <f t="shared" si="267"/>
        <v>0</v>
      </c>
    </row>
    <row r="403" spans="1:72">
      <c r="A403" s="1526"/>
      <c r="B403" s="1534"/>
      <c r="C403" s="1534"/>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899"/>
      <c r="AU403" s="2927"/>
      <c r="AV403" s="794">
        <f t="shared" si="243"/>
        <v>0</v>
      </c>
      <c r="AW403" s="794">
        <f t="shared" si="244"/>
        <v>0</v>
      </c>
      <c r="AX403" s="794">
        <f t="shared" si="245"/>
        <v>0</v>
      </c>
      <c r="AY403" s="1462">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45">
        <f t="shared" si="267"/>
        <v>0</v>
      </c>
    </row>
    <row r="404" spans="1:72">
      <c r="A404" s="1526"/>
      <c r="B404" s="1534"/>
      <c r="C404" s="1534"/>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899"/>
      <c r="AU404" s="2927"/>
      <c r="AV404" s="794">
        <f t="shared" si="243"/>
        <v>0</v>
      </c>
      <c r="AW404" s="794">
        <f t="shared" si="244"/>
        <v>0</v>
      </c>
      <c r="AX404" s="794">
        <f t="shared" si="245"/>
        <v>0</v>
      </c>
      <c r="AY404" s="1462">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45">
        <f t="shared" si="267"/>
        <v>0</v>
      </c>
    </row>
    <row r="405" spans="1:72">
      <c r="A405" s="1526"/>
      <c r="B405" s="1534"/>
      <c r="C405" s="1534"/>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899"/>
      <c r="AU405" s="2927"/>
      <c r="AV405" s="794">
        <f t="shared" si="243"/>
        <v>0</v>
      </c>
      <c r="AW405" s="794">
        <f t="shared" si="244"/>
        <v>0</v>
      </c>
      <c r="AX405" s="794">
        <f t="shared" si="245"/>
        <v>0</v>
      </c>
      <c r="AY405" s="1462">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45">
        <f t="shared" si="267"/>
        <v>0</v>
      </c>
    </row>
    <row r="406" spans="1:72">
      <c r="A406" s="1526"/>
      <c r="B406" s="1534"/>
      <c r="C406" s="1534"/>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899"/>
      <c r="AU406" s="2927"/>
      <c r="AV406" s="794">
        <f t="shared" si="243"/>
        <v>0</v>
      </c>
      <c r="AW406" s="794">
        <f t="shared" si="244"/>
        <v>0</v>
      </c>
      <c r="AX406" s="794">
        <f t="shared" si="245"/>
        <v>0</v>
      </c>
      <c r="AY406" s="1462">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45">
        <f t="shared" si="267"/>
        <v>0</v>
      </c>
    </row>
    <row r="407" spans="1:72">
      <c r="A407" s="1526"/>
      <c r="B407" s="1534"/>
      <c r="C407" s="1534"/>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899"/>
      <c r="AU407" s="2927"/>
      <c r="AV407" s="794">
        <f t="shared" si="243"/>
        <v>0</v>
      </c>
      <c r="AW407" s="794">
        <f t="shared" si="244"/>
        <v>0</v>
      </c>
      <c r="AX407" s="794">
        <f t="shared" si="245"/>
        <v>0</v>
      </c>
      <c r="AY407" s="1462">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45">
        <f t="shared" si="267"/>
        <v>0</v>
      </c>
    </row>
    <row r="408" spans="1:72">
      <c r="A408" s="1526"/>
      <c r="B408" s="1534"/>
      <c r="C408" s="1534"/>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899"/>
      <c r="AU408" s="2927"/>
      <c r="AV408" s="794">
        <f t="shared" si="243"/>
        <v>0</v>
      </c>
      <c r="AW408" s="794">
        <f t="shared" si="244"/>
        <v>0</v>
      </c>
      <c r="AX408" s="794">
        <f t="shared" si="245"/>
        <v>0</v>
      </c>
      <c r="AY408" s="1462">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45">
        <f t="shared" si="267"/>
        <v>0</v>
      </c>
    </row>
    <row r="409" spans="1:72">
      <c r="A409" s="1526"/>
      <c r="B409" s="1534"/>
      <c r="C409" s="1534"/>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899"/>
      <c r="AU409" s="2927"/>
      <c r="AV409" s="794">
        <f t="shared" si="243"/>
        <v>0</v>
      </c>
      <c r="AW409" s="794">
        <f t="shared" si="244"/>
        <v>0</v>
      </c>
      <c r="AX409" s="794">
        <f t="shared" si="245"/>
        <v>0</v>
      </c>
      <c r="AY409" s="1462">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45">
        <f t="shared" si="267"/>
        <v>0</v>
      </c>
    </row>
    <row r="410" spans="1:72">
      <c r="A410" s="1526"/>
      <c r="B410" s="1534"/>
      <c r="C410" s="1534"/>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899"/>
      <c r="AU410" s="2927"/>
      <c r="AV410" s="794">
        <f t="shared" si="243"/>
        <v>0</v>
      </c>
      <c r="AW410" s="794">
        <f t="shared" si="244"/>
        <v>0</v>
      </c>
      <c r="AX410" s="794">
        <f t="shared" si="245"/>
        <v>0</v>
      </c>
      <c r="AY410" s="1462">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45">
        <f t="shared" si="267"/>
        <v>0</v>
      </c>
    </row>
    <row r="411" spans="1:72">
      <c r="A411" s="1526"/>
      <c r="B411" s="1534"/>
      <c r="C411" s="1534"/>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899"/>
      <c r="AU411" s="2927"/>
      <c r="AV411" s="794">
        <f t="shared" si="243"/>
        <v>0</v>
      </c>
      <c r="AW411" s="794">
        <f t="shared" si="244"/>
        <v>0</v>
      </c>
      <c r="AX411" s="794">
        <f t="shared" si="245"/>
        <v>0</v>
      </c>
      <c r="AY411" s="1462">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45">
        <f t="shared" si="267"/>
        <v>0</v>
      </c>
    </row>
    <row r="412" spans="1:72">
      <c r="A412" s="1526"/>
      <c r="B412" s="1534"/>
      <c r="C412" s="1534"/>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899"/>
      <c r="AU412" s="2927"/>
      <c r="AV412" s="794">
        <f t="shared" si="243"/>
        <v>0</v>
      </c>
      <c r="AW412" s="794">
        <f t="shared" si="244"/>
        <v>0</v>
      </c>
      <c r="AX412" s="794">
        <f t="shared" si="245"/>
        <v>0</v>
      </c>
      <c r="AY412" s="1462">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45">
        <f t="shared" si="267"/>
        <v>0</v>
      </c>
    </row>
    <row r="413" spans="1:72">
      <c r="A413" s="1526"/>
      <c r="B413" s="1534"/>
      <c r="C413" s="1534"/>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899"/>
      <c r="AU413" s="2927"/>
      <c r="AV413" s="794">
        <f t="shared" si="243"/>
        <v>0</v>
      </c>
      <c r="AW413" s="794">
        <f t="shared" si="244"/>
        <v>0</v>
      </c>
      <c r="AX413" s="794">
        <f t="shared" si="245"/>
        <v>0</v>
      </c>
      <c r="AY413" s="1462">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45">
        <f t="shared" si="267"/>
        <v>0</v>
      </c>
    </row>
    <row r="414" spans="1:72">
      <c r="A414" s="1526"/>
      <c r="B414" s="1534"/>
      <c r="C414" s="1534"/>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899"/>
      <c r="AU414" s="2927"/>
      <c r="AV414" s="794">
        <f t="shared" si="243"/>
        <v>0</v>
      </c>
      <c r="AW414" s="794">
        <f t="shared" si="244"/>
        <v>0</v>
      </c>
      <c r="AX414" s="794">
        <f t="shared" si="245"/>
        <v>0</v>
      </c>
      <c r="AY414" s="1462">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45">
        <f t="shared" si="267"/>
        <v>0</v>
      </c>
    </row>
    <row r="415" spans="1:72">
      <c r="A415" s="1526"/>
      <c r="B415" s="1534"/>
      <c r="C415" s="1534"/>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899"/>
      <c r="AU415" s="2927"/>
      <c r="AV415" s="794">
        <f t="shared" si="243"/>
        <v>0</v>
      </c>
      <c r="AW415" s="794">
        <f t="shared" si="244"/>
        <v>0</v>
      </c>
      <c r="AX415" s="794">
        <f t="shared" si="245"/>
        <v>0</v>
      </c>
      <c r="AY415" s="1462">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45">
        <f t="shared" si="267"/>
        <v>0</v>
      </c>
    </row>
    <row r="416" spans="1:72">
      <c r="A416" s="1526"/>
      <c r="B416" s="1534"/>
      <c r="C416" s="1534"/>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899"/>
      <c r="AU416" s="2927"/>
      <c r="AV416" s="794">
        <f t="shared" si="243"/>
        <v>0</v>
      </c>
      <c r="AW416" s="794">
        <f t="shared" si="244"/>
        <v>0</v>
      </c>
      <c r="AX416" s="794">
        <f t="shared" si="245"/>
        <v>0</v>
      </c>
      <c r="AY416" s="1462">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45">
        <f t="shared" si="267"/>
        <v>0</v>
      </c>
    </row>
    <row r="417" spans="1:72">
      <c r="A417" s="1526"/>
      <c r="B417" s="1534"/>
      <c r="C417" s="1534"/>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899"/>
      <c r="AU417" s="2927"/>
      <c r="AV417" s="794">
        <f t="shared" si="243"/>
        <v>0</v>
      </c>
      <c r="AW417" s="794">
        <f t="shared" si="244"/>
        <v>0</v>
      </c>
      <c r="AX417" s="794">
        <f t="shared" si="245"/>
        <v>0</v>
      </c>
      <c r="AY417" s="1462">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45">
        <f t="shared" si="267"/>
        <v>0</v>
      </c>
    </row>
    <row r="418" spans="1:72">
      <c r="A418" s="1526"/>
      <c r="B418" s="1534"/>
      <c r="C418" s="1534"/>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899"/>
      <c r="AU418" s="2927"/>
      <c r="AV418" s="794">
        <f t="shared" si="243"/>
        <v>0</v>
      </c>
      <c r="AW418" s="794">
        <f t="shared" si="244"/>
        <v>0</v>
      </c>
      <c r="AX418" s="794">
        <f t="shared" si="245"/>
        <v>0</v>
      </c>
      <c r="AY418" s="1462">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45">
        <f t="shared" si="267"/>
        <v>0</v>
      </c>
    </row>
    <row r="419" spans="1:72">
      <c r="A419" s="1526"/>
      <c r="B419" s="1534"/>
      <c r="C419" s="1534"/>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899"/>
      <c r="AU419" s="2927"/>
      <c r="AV419" s="794">
        <f t="shared" si="243"/>
        <v>0</v>
      </c>
      <c r="AW419" s="794">
        <f t="shared" si="244"/>
        <v>0</v>
      </c>
      <c r="AX419" s="794">
        <f t="shared" si="245"/>
        <v>0</v>
      </c>
      <c r="AY419" s="1462">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45">
        <f t="shared" si="267"/>
        <v>0</v>
      </c>
    </row>
    <row r="420" spans="1:72">
      <c r="A420" s="1526"/>
      <c r="B420" s="1534"/>
      <c r="C420" s="1534"/>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899"/>
      <c r="AU420" s="2927"/>
      <c r="AV420" s="794">
        <f t="shared" si="243"/>
        <v>0</v>
      </c>
      <c r="AW420" s="794">
        <f t="shared" si="244"/>
        <v>0</v>
      </c>
      <c r="AX420" s="794">
        <f t="shared" si="245"/>
        <v>0</v>
      </c>
      <c r="AY420" s="1462">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45">
        <f t="shared" si="267"/>
        <v>0</v>
      </c>
    </row>
    <row r="421" spans="1:72">
      <c r="A421" s="1526"/>
      <c r="B421" s="1534"/>
      <c r="C421" s="1534"/>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899"/>
      <c r="AU421" s="2927"/>
      <c r="AV421" s="794">
        <f t="shared" si="243"/>
        <v>0</v>
      </c>
      <c r="AW421" s="794">
        <f t="shared" si="244"/>
        <v>0</v>
      </c>
      <c r="AX421" s="794">
        <f t="shared" si="245"/>
        <v>0</v>
      </c>
      <c r="AY421" s="1462">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45">
        <f t="shared" si="267"/>
        <v>0</v>
      </c>
    </row>
    <row r="422" spans="1:72">
      <c r="A422" s="1526"/>
      <c r="B422" s="1534"/>
      <c r="C422" s="1534"/>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899"/>
      <c r="AU422" s="2927"/>
      <c r="AV422" s="794">
        <f t="shared" si="243"/>
        <v>0</v>
      </c>
      <c r="AW422" s="794">
        <f t="shared" si="244"/>
        <v>0</v>
      </c>
      <c r="AX422" s="794">
        <f t="shared" si="245"/>
        <v>0</v>
      </c>
      <c r="AY422" s="1462">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45">
        <f t="shared" si="267"/>
        <v>0</v>
      </c>
    </row>
    <row r="423" spans="1:72">
      <c r="A423" s="1526"/>
      <c r="B423" s="1534"/>
      <c r="C423" s="1534"/>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899"/>
      <c r="AU423" s="2927"/>
      <c r="AV423" s="794">
        <f t="shared" si="243"/>
        <v>0</v>
      </c>
      <c r="AW423" s="794">
        <f t="shared" si="244"/>
        <v>0</v>
      </c>
      <c r="AX423" s="794">
        <f t="shared" si="245"/>
        <v>0</v>
      </c>
      <c r="AY423" s="1462">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45">
        <f t="shared" si="267"/>
        <v>0</v>
      </c>
    </row>
    <row r="424" spans="1:72">
      <c r="A424" s="1526"/>
      <c r="B424" s="1534"/>
      <c r="C424" s="1534"/>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899"/>
      <c r="AU424" s="2927"/>
      <c r="AV424" s="794">
        <f t="shared" si="243"/>
        <v>0</v>
      </c>
      <c r="AW424" s="794">
        <f t="shared" si="244"/>
        <v>0</v>
      </c>
      <c r="AX424" s="794">
        <f t="shared" si="245"/>
        <v>0</v>
      </c>
      <c r="AY424" s="1462">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45">
        <f t="shared" si="267"/>
        <v>0</v>
      </c>
    </row>
    <row r="425" spans="1:72">
      <c r="A425" s="1526"/>
      <c r="B425" s="1534"/>
      <c r="C425" s="1534"/>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899"/>
      <c r="AU425" s="2927"/>
      <c r="AV425" s="794">
        <f t="shared" si="243"/>
        <v>0</v>
      </c>
      <c r="AW425" s="794">
        <f t="shared" si="244"/>
        <v>0</v>
      </c>
      <c r="AX425" s="794">
        <f t="shared" si="245"/>
        <v>0</v>
      </c>
      <c r="AY425" s="1462">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45">
        <f t="shared" si="267"/>
        <v>0</v>
      </c>
    </row>
    <row r="426" spans="1:72">
      <c r="A426" s="1526"/>
      <c r="B426" s="1534"/>
      <c r="C426" s="1534"/>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899"/>
      <c r="AU426" s="2927"/>
      <c r="AV426" s="794">
        <f t="shared" si="243"/>
        <v>0</v>
      </c>
      <c r="AW426" s="794">
        <f t="shared" si="244"/>
        <v>0</v>
      </c>
      <c r="AX426" s="794">
        <f t="shared" si="245"/>
        <v>0</v>
      </c>
      <c r="AY426" s="1462">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45">
        <f t="shared" si="267"/>
        <v>0</v>
      </c>
    </row>
    <row r="427" spans="1:72">
      <c r="A427" s="1526"/>
      <c r="B427" s="1534"/>
      <c r="C427" s="1534"/>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899"/>
      <c r="AU427" s="2927"/>
      <c r="AV427" s="794">
        <f t="shared" si="243"/>
        <v>0</v>
      </c>
      <c r="AW427" s="794">
        <f t="shared" si="244"/>
        <v>0</v>
      </c>
      <c r="AX427" s="794">
        <f t="shared" si="245"/>
        <v>0</v>
      </c>
      <c r="AY427" s="1462">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45">
        <f t="shared" si="267"/>
        <v>0</v>
      </c>
    </row>
    <row r="428" spans="1:72">
      <c r="A428" s="1526"/>
      <c r="B428" s="1534"/>
      <c r="C428" s="1534"/>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899"/>
      <c r="AU428" s="2927"/>
      <c r="AV428" s="794">
        <f t="shared" si="243"/>
        <v>0</v>
      </c>
      <c r="AW428" s="794">
        <f t="shared" si="244"/>
        <v>0</v>
      </c>
      <c r="AX428" s="794">
        <f t="shared" si="245"/>
        <v>0</v>
      </c>
      <c r="AY428" s="1462">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45">
        <f t="shared" si="267"/>
        <v>0</v>
      </c>
    </row>
    <row r="429" spans="1:72">
      <c r="A429" s="1526"/>
      <c r="B429" s="1534"/>
      <c r="C429" s="1534"/>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899"/>
      <c r="AU429" s="2927"/>
      <c r="AV429" s="794">
        <f t="shared" si="243"/>
        <v>0</v>
      </c>
      <c r="AW429" s="794">
        <f t="shared" si="244"/>
        <v>0</v>
      </c>
      <c r="AX429" s="794">
        <f t="shared" si="245"/>
        <v>0</v>
      </c>
      <c r="AY429" s="1462">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45">
        <f t="shared" si="267"/>
        <v>0</v>
      </c>
    </row>
    <row r="430" spans="1:72">
      <c r="A430" s="1526"/>
      <c r="B430" s="1534"/>
      <c r="C430" s="1534"/>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899"/>
      <c r="AU430" s="2927"/>
      <c r="AV430" s="794">
        <f t="shared" si="243"/>
        <v>0</v>
      </c>
      <c r="AW430" s="794">
        <f t="shared" si="244"/>
        <v>0</v>
      </c>
      <c r="AX430" s="794">
        <f t="shared" si="245"/>
        <v>0</v>
      </c>
      <c r="AY430" s="1462">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45">
        <f t="shared" si="267"/>
        <v>0</v>
      </c>
    </row>
    <row r="431" spans="1:72">
      <c r="A431" s="1526"/>
      <c r="B431" s="1534"/>
      <c r="C431" s="1534"/>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899"/>
      <c r="AU431" s="2927"/>
      <c r="AV431" s="794">
        <f t="shared" si="243"/>
        <v>0</v>
      </c>
      <c r="AW431" s="794">
        <f t="shared" si="244"/>
        <v>0</v>
      </c>
      <c r="AX431" s="794">
        <f t="shared" si="245"/>
        <v>0</v>
      </c>
      <c r="AY431" s="1462">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45">
        <f t="shared" si="267"/>
        <v>0</v>
      </c>
    </row>
    <row r="432" spans="1:72">
      <c r="A432" s="1526"/>
      <c r="B432" s="1534"/>
      <c r="C432" s="1534"/>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899"/>
      <c r="AU432" s="2927"/>
      <c r="AV432" s="794">
        <f t="shared" si="243"/>
        <v>0</v>
      </c>
      <c r="AW432" s="794">
        <f t="shared" si="244"/>
        <v>0</v>
      </c>
      <c r="AX432" s="794">
        <f t="shared" si="245"/>
        <v>0</v>
      </c>
      <c r="AY432" s="1462">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45">
        <f t="shared" si="267"/>
        <v>0</v>
      </c>
    </row>
    <row r="433" spans="1:72">
      <c r="A433" s="1526"/>
      <c r="B433" s="1534"/>
      <c r="C433" s="1534"/>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899"/>
      <c r="AU433" s="2927"/>
      <c r="AV433" s="794">
        <f t="shared" si="243"/>
        <v>0</v>
      </c>
      <c r="AW433" s="794">
        <f t="shared" si="244"/>
        <v>0</v>
      </c>
      <c r="AX433" s="794">
        <f t="shared" si="245"/>
        <v>0</v>
      </c>
      <c r="AY433" s="1462">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45">
        <f t="shared" si="267"/>
        <v>0</v>
      </c>
    </row>
    <row r="434" spans="1:72">
      <c r="A434" s="1526"/>
      <c r="B434" s="1534"/>
      <c r="C434" s="1534"/>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899"/>
      <c r="AU434" s="2927"/>
      <c r="AV434" s="794">
        <f t="shared" si="243"/>
        <v>0</v>
      </c>
      <c r="AW434" s="794">
        <f t="shared" si="244"/>
        <v>0</v>
      </c>
      <c r="AX434" s="794">
        <f t="shared" si="245"/>
        <v>0</v>
      </c>
      <c r="AY434" s="1462">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45">
        <f t="shared" si="267"/>
        <v>0</v>
      </c>
    </row>
    <row r="435" spans="1:72">
      <c r="A435" s="1526"/>
      <c r="B435" s="1534"/>
      <c r="C435" s="1534"/>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899"/>
      <c r="AU435" s="2927"/>
      <c r="AV435" s="794">
        <f t="shared" si="243"/>
        <v>0</v>
      </c>
      <c r="AW435" s="794">
        <f t="shared" si="244"/>
        <v>0</v>
      </c>
      <c r="AX435" s="794">
        <f t="shared" si="245"/>
        <v>0</v>
      </c>
      <c r="AY435" s="1462">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45">
        <f t="shared" si="267"/>
        <v>0</v>
      </c>
    </row>
    <row r="436" spans="1:72">
      <c r="A436" s="1526"/>
      <c r="B436" s="1534"/>
      <c r="C436" s="1534"/>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899"/>
      <c r="AU436" s="2927"/>
      <c r="AV436" s="794">
        <f t="shared" si="243"/>
        <v>0</v>
      </c>
      <c r="AW436" s="794">
        <f t="shared" si="244"/>
        <v>0</v>
      </c>
      <c r="AX436" s="794">
        <f t="shared" si="245"/>
        <v>0</v>
      </c>
      <c r="AY436" s="1462">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45">
        <f t="shared" si="267"/>
        <v>0</v>
      </c>
    </row>
    <row r="437" spans="1:72">
      <c r="A437" s="1526"/>
      <c r="B437" s="1534"/>
      <c r="C437" s="1534"/>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899"/>
      <c r="AU437" s="2927"/>
      <c r="AV437" s="794">
        <f t="shared" si="243"/>
        <v>0</v>
      </c>
      <c r="AW437" s="794">
        <f t="shared" si="244"/>
        <v>0</v>
      </c>
      <c r="AX437" s="794">
        <f t="shared" si="245"/>
        <v>0</v>
      </c>
      <c r="AY437" s="1462">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45">
        <f t="shared" si="267"/>
        <v>0</v>
      </c>
    </row>
    <row r="438" spans="1:72">
      <c r="A438" s="1526"/>
      <c r="B438" s="1534"/>
      <c r="C438" s="1534"/>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899"/>
      <c r="AU438" s="2927"/>
      <c r="AV438" s="794">
        <f t="shared" si="243"/>
        <v>0</v>
      </c>
      <c r="AW438" s="794">
        <f t="shared" si="244"/>
        <v>0</v>
      </c>
      <c r="AX438" s="794">
        <f t="shared" si="245"/>
        <v>0</v>
      </c>
      <c r="AY438" s="1462">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45">
        <f t="shared" si="267"/>
        <v>0</v>
      </c>
    </row>
    <row r="439" spans="1:72">
      <c r="A439" s="1526"/>
      <c r="B439" s="1534"/>
      <c r="C439" s="1534"/>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899"/>
      <c r="AU439" s="2927"/>
      <c r="AV439" s="794">
        <f t="shared" si="243"/>
        <v>0</v>
      </c>
      <c r="AW439" s="794">
        <f t="shared" si="244"/>
        <v>0</v>
      </c>
      <c r="AX439" s="794">
        <f t="shared" si="245"/>
        <v>0</v>
      </c>
      <c r="AY439" s="1462">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45">
        <f t="shared" si="267"/>
        <v>0</v>
      </c>
    </row>
    <row r="440" spans="1:72">
      <c r="A440" s="1526"/>
      <c r="B440" s="1534"/>
      <c r="C440" s="1534"/>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899"/>
      <c r="AU440" s="2927"/>
      <c r="AV440" s="794">
        <f t="shared" si="243"/>
        <v>0</v>
      </c>
      <c r="AW440" s="794">
        <f t="shared" si="244"/>
        <v>0</v>
      </c>
      <c r="AX440" s="794">
        <f t="shared" si="245"/>
        <v>0</v>
      </c>
      <c r="AY440" s="1462">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45">
        <f t="shared" si="267"/>
        <v>0</v>
      </c>
    </row>
    <row r="441" spans="1:72">
      <c r="A441" s="1526"/>
      <c r="B441" s="1534"/>
      <c r="C441" s="1534"/>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899"/>
      <c r="AU441" s="2927"/>
      <c r="AV441" s="794">
        <f t="shared" si="243"/>
        <v>0</v>
      </c>
      <c r="AW441" s="794">
        <f t="shared" si="244"/>
        <v>0</v>
      </c>
      <c r="AX441" s="794">
        <f t="shared" si="245"/>
        <v>0</v>
      </c>
      <c r="AY441" s="1462">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45">
        <f t="shared" si="267"/>
        <v>0</v>
      </c>
    </row>
    <row r="442" spans="1:72">
      <c r="A442" s="1526"/>
      <c r="B442" s="1534"/>
      <c r="C442" s="1534"/>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899"/>
      <c r="AU442" s="2927"/>
      <c r="AV442" s="794">
        <f t="shared" si="243"/>
        <v>0</v>
      </c>
      <c r="AW442" s="794">
        <f t="shared" si="244"/>
        <v>0</v>
      </c>
      <c r="AX442" s="794">
        <f t="shared" si="245"/>
        <v>0</v>
      </c>
      <c r="AY442" s="1462">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45">
        <f t="shared" si="267"/>
        <v>0</v>
      </c>
    </row>
    <row r="443" spans="1:72">
      <c r="A443" s="1526"/>
      <c r="B443" s="1534"/>
      <c r="C443" s="1534"/>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899"/>
      <c r="AU443" s="2927"/>
      <c r="AV443" s="794">
        <f t="shared" si="243"/>
        <v>0</v>
      </c>
      <c r="AW443" s="794">
        <f t="shared" si="244"/>
        <v>0</v>
      </c>
      <c r="AX443" s="794">
        <f t="shared" si="245"/>
        <v>0</v>
      </c>
      <c r="AY443" s="1462">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45">
        <f t="shared" si="267"/>
        <v>0</v>
      </c>
    </row>
    <row r="444" spans="1:72">
      <c r="A444" s="1526"/>
      <c r="B444" s="1534"/>
      <c r="C444" s="1534"/>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899"/>
      <c r="AU444" s="2927"/>
      <c r="AV444" s="794">
        <f t="shared" si="243"/>
        <v>0</v>
      </c>
      <c r="AW444" s="794">
        <f t="shared" si="244"/>
        <v>0</v>
      </c>
      <c r="AX444" s="794">
        <f t="shared" si="245"/>
        <v>0</v>
      </c>
      <c r="AY444" s="1462">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45">
        <f t="shared" si="267"/>
        <v>0</v>
      </c>
    </row>
    <row r="445" spans="1:72">
      <c r="A445" s="1526"/>
      <c r="B445" s="1534"/>
      <c r="C445" s="1534"/>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899"/>
      <c r="AU445" s="2927"/>
      <c r="AV445" s="794">
        <f t="shared" si="243"/>
        <v>0</v>
      </c>
      <c r="AW445" s="794">
        <f t="shared" si="244"/>
        <v>0</v>
      </c>
      <c r="AX445" s="794">
        <f t="shared" si="245"/>
        <v>0</v>
      </c>
      <c r="AY445" s="1462">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45">
        <f t="shared" si="267"/>
        <v>0</v>
      </c>
    </row>
    <row r="446" spans="1:72">
      <c r="A446" s="1526"/>
      <c r="B446" s="1534"/>
      <c r="C446" s="1534"/>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899"/>
      <c r="AU446" s="2927"/>
      <c r="AV446" s="794">
        <f t="shared" si="243"/>
        <v>0</v>
      </c>
      <c r="AW446" s="794">
        <f t="shared" si="244"/>
        <v>0</v>
      </c>
      <c r="AX446" s="794">
        <f t="shared" si="245"/>
        <v>0</v>
      </c>
      <c r="AY446" s="1462">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45">
        <f t="shared" si="267"/>
        <v>0</v>
      </c>
    </row>
    <row r="447" spans="1:72">
      <c r="A447" s="1526"/>
      <c r="B447" s="1534"/>
      <c r="C447" s="1534"/>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899"/>
      <c r="AU447" s="2927"/>
      <c r="AV447" s="794">
        <f t="shared" si="243"/>
        <v>0</v>
      </c>
      <c r="AW447" s="794">
        <f t="shared" si="244"/>
        <v>0</v>
      </c>
      <c r="AX447" s="794">
        <f t="shared" si="245"/>
        <v>0</v>
      </c>
      <c r="AY447" s="1462">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45">
        <f t="shared" si="267"/>
        <v>0</v>
      </c>
    </row>
    <row r="448" spans="1:72">
      <c r="A448" s="1526"/>
      <c r="B448" s="1534"/>
      <c r="C448" s="1534"/>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899"/>
      <c r="AU448" s="2927"/>
      <c r="AV448" s="794">
        <f t="shared" si="243"/>
        <v>0</v>
      </c>
      <c r="AW448" s="794">
        <f t="shared" si="244"/>
        <v>0</v>
      </c>
      <c r="AX448" s="794">
        <f t="shared" si="245"/>
        <v>0</v>
      </c>
      <c r="AY448" s="1462">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45">
        <f t="shared" si="267"/>
        <v>0</v>
      </c>
    </row>
    <row r="449" spans="1:72">
      <c r="A449" s="1526"/>
      <c r="B449" s="1534"/>
      <c r="C449" s="1534"/>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899"/>
      <c r="AU449" s="2927"/>
      <c r="AV449" s="794">
        <f t="shared" si="243"/>
        <v>0</v>
      </c>
      <c r="AW449" s="794">
        <f t="shared" si="244"/>
        <v>0</v>
      </c>
      <c r="AX449" s="794">
        <f t="shared" si="245"/>
        <v>0</v>
      </c>
      <c r="AY449" s="1462">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45">
        <f t="shared" si="267"/>
        <v>0</v>
      </c>
    </row>
    <row r="450" spans="1:72">
      <c r="A450" s="1526"/>
      <c r="B450" s="1534"/>
      <c r="C450" s="1534"/>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899"/>
      <c r="AU450" s="2927"/>
      <c r="AV450" s="794">
        <f t="shared" si="243"/>
        <v>0</v>
      </c>
      <c r="AW450" s="794">
        <f t="shared" si="244"/>
        <v>0</v>
      </c>
      <c r="AX450" s="794">
        <f t="shared" si="245"/>
        <v>0</v>
      </c>
      <c r="AY450" s="1462">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45">
        <f t="shared" si="267"/>
        <v>0</v>
      </c>
    </row>
    <row r="451" spans="1:72">
      <c r="A451" s="1526"/>
      <c r="B451" s="1534"/>
      <c r="C451" s="1534"/>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899"/>
      <c r="AU451" s="2927"/>
      <c r="AV451" s="794">
        <f t="shared" si="243"/>
        <v>0</v>
      </c>
      <c r="AW451" s="794">
        <f t="shared" si="244"/>
        <v>0</v>
      </c>
      <c r="AX451" s="794">
        <f t="shared" si="245"/>
        <v>0</v>
      </c>
      <c r="AY451" s="1462">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45">
        <f t="shared" si="267"/>
        <v>0</v>
      </c>
    </row>
    <row r="452" spans="1:72">
      <c r="A452" s="1526"/>
      <c r="B452" s="1534"/>
      <c r="C452" s="1534"/>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899"/>
      <c r="AU452" s="2927"/>
      <c r="AV452" s="794">
        <f t="shared" si="243"/>
        <v>0</v>
      </c>
      <c r="AW452" s="794">
        <f t="shared" si="244"/>
        <v>0</v>
      </c>
      <c r="AX452" s="794">
        <f t="shared" si="245"/>
        <v>0</v>
      </c>
      <c r="AY452" s="1462">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45">
        <f t="shared" si="267"/>
        <v>0</v>
      </c>
    </row>
    <row r="453" spans="1:72">
      <c r="A453" s="1526"/>
      <c r="B453" s="1534"/>
      <c r="C453" s="1534"/>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899"/>
      <c r="AU453" s="2927"/>
      <c r="AV453" s="794">
        <f t="shared" si="243"/>
        <v>0</v>
      </c>
      <c r="AW453" s="794">
        <f t="shared" si="244"/>
        <v>0</v>
      </c>
      <c r="AX453" s="794">
        <f t="shared" si="245"/>
        <v>0</v>
      </c>
      <c r="AY453" s="1462">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45">
        <f t="shared" si="267"/>
        <v>0</v>
      </c>
    </row>
    <row r="454" spans="1:72">
      <c r="A454" s="1526"/>
      <c r="B454" s="1534"/>
      <c r="C454" s="1534"/>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899"/>
      <c r="AU454" s="2927"/>
      <c r="AV454" s="794">
        <f t="shared" si="243"/>
        <v>0</v>
      </c>
      <c r="AW454" s="794">
        <f t="shared" si="244"/>
        <v>0</v>
      </c>
      <c r="AX454" s="794">
        <f t="shared" si="245"/>
        <v>0</v>
      </c>
      <c r="AY454" s="1462">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45">
        <f t="shared" si="267"/>
        <v>0</v>
      </c>
    </row>
    <row r="455" spans="1:72">
      <c r="A455" s="1526"/>
      <c r="B455" s="1534"/>
      <c r="C455" s="1534"/>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899"/>
      <c r="AU455" s="2927"/>
      <c r="AV455" s="794">
        <f t="shared" si="243"/>
        <v>0</v>
      </c>
      <c r="AW455" s="794">
        <f t="shared" si="244"/>
        <v>0</v>
      </c>
      <c r="AX455" s="794">
        <f t="shared" si="245"/>
        <v>0</v>
      </c>
      <c r="AY455" s="1462">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45">
        <f t="shared" si="267"/>
        <v>0</v>
      </c>
    </row>
    <row r="456" spans="1:72">
      <c r="A456" s="1526"/>
      <c r="B456" s="1534"/>
      <c r="C456" s="1534"/>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899"/>
      <c r="AU456" s="2927"/>
      <c r="AV456" s="794">
        <f t="shared" si="243"/>
        <v>0</v>
      </c>
      <c r="AW456" s="794">
        <f t="shared" si="244"/>
        <v>0</v>
      </c>
      <c r="AX456" s="794">
        <f t="shared" si="245"/>
        <v>0</v>
      </c>
      <c r="AY456" s="1462">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45">
        <f t="shared" si="267"/>
        <v>0</v>
      </c>
    </row>
    <row r="457" spans="1:72">
      <c r="A457" s="1526"/>
      <c r="B457" s="1534"/>
      <c r="C457" s="1534"/>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899"/>
      <c r="AU457" s="2927"/>
      <c r="AV457" s="794">
        <f t="shared" si="243"/>
        <v>0</v>
      </c>
      <c r="AW457" s="794">
        <f t="shared" si="244"/>
        <v>0</v>
      </c>
      <c r="AX457" s="794">
        <f t="shared" si="245"/>
        <v>0</v>
      </c>
      <c r="AY457" s="1462">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45">
        <f t="shared" si="267"/>
        <v>0</v>
      </c>
    </row>
    <row r="458" spans="1:72">
      <c r="A458" s="1526"/>
      <c r="B458" s="1534"/>
      <c r="C458" s="1534"/>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899"/>
      <c r="AU458" s="2927"/>
      <c r="AV458" s="794">
        <f t="shared" si="243"/>
        <v>0</v>
      </c>
      <c r="AW458" s="794">
        <f t="shared" si="244"/>
        <v>0</v>
      </c>
      <c r="AX458" s="794">
        <f t="shared" si="245"/>
        <v>0</v>
      </c>
      <c r="AY458" s="1462">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45">
        <f t="shared" si="267"/>
        <v>0</v>
      </c>
    </row>
    <row r="459" spans="1:72">
      <c r="A459" s="1526"/>
      <c r="B459" s="1534"/>
      <c r="C459" s="1534"/>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899"/>
      <c r="AU459" s="2927"/>
      <c r="AV459" s="794">
        <f t="shared" si="243"/>
        <v>0</v>
      </c>
      <c r="AW459" s="794">
        <f t="shared" si="244"/>
        <v>0</v>
      </c>
      <c r="AX459" s="794">
        <f t="shared" si="245"/>
        <v>0</v>
      </c>
      <c r="AY459" s="1462">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45">
        <f t="shared" si="267"/>
        <v>0</v>
      </c>
    </row>
    <row r="460" spans="1:72">
      <c r="A460" s="1526"/>
      <c r="B460" s="1534"/>
      <c r="C460" s="1534"/>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899"/>
      <c r="AU460" s="2927"/>
      <c r="AV460" s="794">
        <f t="shared" si="243"/>
        <v>0</v>
      </c>
      <c r="AW460" s="794">
        <f t="shared" si="244"/>
        <v>0</v>
      </c>
      <c r="AX460" s="794">
        <f t="shared" si="245"/>
        <v>0</v>
      </c>
      <c r="AY460" s="1462">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45">
        <f t="shared" si="267"/>
        <v>0</v>
      </c>
    </row>
    <row r="461" spans="1:72">
      <c r="A461" s="1526"/>
      <c r="B461" s="1534"/>
      <c r="C461" s="1534"/>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899"/>
      <c r="AU461" s="2927"/>
      <c r="AV461" s="794">
        <f t="shared" si="243"/>
        <v>0</v>
      </c>
      <c r="AW461" s="794">
        <f t="shared" si="244"/>
        <v>0</v>
      </c>
      <c r="AX461" s="794">
        <f t="shared" si="245"/>
        <v>0</v>
      </c>
      <c r="AY461" s="1462">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45">
        <f t="shared" si="267"/>
        <v>0</v>
      </c>
    </row>
    <row r="462" spans="1:72">
      <c r="A462" s="1526"/>
      <c r="B462" s="1534"/>
      <c r="C462" s="1534"/>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899"/>
      <c r="AU462" s="2927"/>
      <c r="AV462" s="794">
        <f t="shared" si="243"/>
        <v>0</v>
      </c>
      <c r="AW462" s="794">
        <f t="shared" si="244"/>
        <v>0</v>
      </c>
      <c r="AX462" s="794">
        <f t="shared" si="245"/>
        <v>0</v>
      </c>
      <c r="AY462" s="1462">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45">
        <f t="shared" si="267"/>
        <v>0</v>
      </c>
    </row>
    <row r="463" spans="1:72">
      <c r="A463" s="1526"/>
      <c r="B463" s="1534"/>
      <c r="C463" s="1534"/>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899"/>
      <c r="AU463" s="2927"/>
      <c r="AV463" s="794">
        <f t="shared" si="243"/>
        <v>0</v>
      </c>
      <c r="AW463" s="794">
        <f t="shared" si="244"/>
        <v>0</v>
      </c>
      <c r="AX463" s="794">
        <f t="shared" si="245"/>
        <v>0</v>
      </c>
      <c r="AY463" s="1462">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45">
        <f t="shared" si="267"/>
        <v>0</v>
      </c>
    </row>
    <row r="464" spans="1:72">
      <c r="A464" s="1526"/>
      <c r="B464" s="1534"/>
      <c r="C464" s="1534"/>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899"/>
      <c r="AU464" s="2927"/>
      <c r="AV464" s="794">
        <f t="shared" si="243"/>
        <v>0</v>
      </c>
      <c r="AW464" s="794">
        <f t="shared" si="244"/>
        <v>0</v>
      </c>
      <c r="AX464" s="794">
        <f t="shared" si="245"/>
        <v>0</v>
      </c>
      <c r="AY464" s="1462">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45">
        <f t="shared" si="267"/>
        <v>0</v>
      </c>
    </row>
    <row r="465" spans="1:72">
      <c r="A465" s="1526"/>
      <c r="B465" s="1534"/>
      <c r="C465" s="1534"/>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899"/>
      <c r="AU465" s="2927"/>
      <c r="AV465" s="794">
        <f t="shared" si="243"/>
        <v>0</v>
      </c>
      <c r="AW465" s="794">
        <f t="shared" si="244"/>
        <v>0</v>
      </c>
      <c r="AX465" s="794">
        <f t="shared" si="245"/>
        <v>0</v>
      </c>
      <c r="AY465" s="1462">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45">
        <f t="shared" si="267"/>
        <v>0</v>
      </c>
    </row>
    <row r="466" spans="1:72">
      <c r="A466" s="1526"/>
      <c r="B466" s="1534"/>
      <c r="C466" s="1534"/>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899"/>
      <c r="AU466" s="2927"/>
      <c r="AV466" s="794">
        <f t="shared" si="243"/>
        <v>0</v>
      </c>
      <c r="AW466" s="794">
        <f t="shared" si="244"/>
        <v>0</v>
      </c>
      <c r="AX466" s="794">
        <f t="shared" si="245"/>
        <v>0</v>
      </c>
      <c r="AY466" s="1462">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45">
        <f t="shared" si="267"/>
        <v>0</v>
      </c>
    </row>
    <row r="467" spans="1:72">
      <c r="A467" s="1526"/>
      <c r="B467" s="1534"/>
      <c r="C467" s="1534"/>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899"/>
      <c r="AU467" s="2927"/>
      <c r="AV467" s="794">
        <f t="shared" si="243"/>
        <v>0</v>
      </c>
      <c r="AW467" s="794">
        <f t="shared" si="244"/>
        <v>0</v>
      </c>
      <c r="AX467" s="794">
        <f t="shared" si="245"/>
        <v>0</v>
      </c>
      <c r="AY467" s="1462">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45">
        <f t="shared" si="267"/>
        <v>0</v>
      </c>
    </row>
    <row r="468" spans="1:72">
      <c r="A468" s="1526"/>
      <c r="B468" s="1534"/>
      <c r="C468" s="1534"/>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899"/>
      <c r="AU468" s="2927"/>
      <c r="AV468" s="794">
        <f t="shared" si="243"/>
        <v>0</v>
      </c>
      <c r="AW468" s="794">
        <f t="shared" si="244"/>
        <v>0</v>
      </c>
      <c r="AX468" s="794">
        <f t="shared" si="245"/>
        <v>0</v>
      </c>
      <c r="AY468" s="1462">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45">
        <f t="shared" si="267"/>
        <v>0</v>
      </c>
    </row>
    <row r="469" spans="1:72">
      <c r="A469" s="1526"/>
      <c r="B469" s="1534"/>
      <c r="C469" s="1534"/>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899"/>
      <c r="AU469" s="2927"/>
      <c r="AV469" s="794">
        <f t="shared" si="243"/>
        <v>0</v>
      </c>
      <c r="AW469" s="794">
        <f t="shared" si="244"/>
        <v>0</v>
      </c>
      <c r="AX469" s="794">
        <f t="shared" si="245"/>
        <v>0</v>
      </c>
      <c r="AY469" s="1462">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45">
        <f t="shared" si="267"/>
        <v>0</v>
      </c>
    </row>
    <row r="470" spans="1:72">
      <c r="A470" s="1526"/>
      <c r="B470" s="1534"/>
      <c r="C470" s="1534"/>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899"/>
      <c r="AU470" s="2927"/>
      <c r="AV470" s="794">
        <f t="shared" si="243"/>
        <v>0</v>
      </c>
      <c r="AW470" s="794">
        <f t="shared" si="244"/>
        <v>0</v>
      </c>
      <c r="AX470" s="794">
        <f t="shared" si="245"/>
        <v>0</v>
      </c>
      <c r="AY470" s="1462">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45">
        <f t="shared" si="267"/>
        <v>0</v>
      </c>
    </row>
    <row r="471" spans="1:72">
      <c r="A471" s="1526"/>
      <c r="B471" s="1534"/>
      <c r="C471" s="1534"/>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899"/>
      <c r="AU471" s="2927"/>
      <c r="AV471" s="794">
        <f t="shared" si="243"/>
        <v>0</v>
      </c>
      <c r="AW471" s="794">
        <f t="shared" si="244"/>
        <v>0</v>
      </c>
      <c r="AX471" s="794">
        <f t="shared" si="245"/>
        <v>0</v>
      </c>
      <c r="AY471" s="1462">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45">
        <f t="shared" si="267"/>
        <v>0</v>
      </c>
    </row>
    <row r="472" spans="1:72">
      <c r="A472" s="1526"/>
      <c r="B472" s="1534"/>
      <c r="C472" s="1534"/>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899"/>
      <c r="AU472" s="2927"/>
      <c r="AV472" s="794">
        <f t="shared" si="243"/>
        <v>0</v>
      </c>
      <c r="AW472" s="794">
        <f t="shared" si="244"/>
        <v>0</v>
      </c>
      <c r="AX472" s="794">
        <f t="shared" si="245"/>
        <v>0</v>
      </c>
      <c r="AY472" s="1462">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45">
        <f t="shared" si="267"/>
        <v>0</v>
      </c>
    </row>
    <row r="473" spans="1:72">
      <c r="A473" s="1526"/>
      <c r="B473" s="1534"/>
      <c r="C473" s="1534"/>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899"/>
      <c r="AU473" s="2927"/>
      <c r="AV473" s="794">
        <f t="shared" si="243"/>
        <v>0</v>
      </c>
      <c r="AW473" s="794">
        <f t="shared" si="244"/>
        <v>0</v>
      </c>
      <c r="AX473" s="794">
        <f t="shared" si="245"/>
        <v>0</v>
      </c>
      <c r="AY473" s="1462">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45">
        <f t="shared" si="267"/>
        <v>0</v>
      </c>
    </row>
    <row r="474" spans="1:72">
      <c r="A474" s="1526"/>
      <c r="B474" s="1534"/>
      <c r="C474" s="1534"/>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899"/>
      <c r="AU474" s="2927"/>
      <c r="AV474" s="794">
        <f t="shared" si="243"/>
        <v>0</v>
      </c>
      <c r="AW474" s="794">
        <f t="shared" si="244"/>
        <v>0</v>
      </c>
      <c r="AX474" s="794">
        <f t="shared" si="245"/>
        <v>0</v>
      </c>
      <c r="AY474" s="1462">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45">
        <f t="shared" si="267"/>
        <v>0</v>
      </c>
    </row>
    <row r="475" spans="1:72">
      <c r="A475" s="1526"/>
      <c r="B475" s="1534"/>
      <c r="C475" s="1534"/>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899"/>
      <c r="AU475" s="2927"/>
      <c r="AV475" s="794">
        <f t="shared" si="243"/>
        <v>0</v>
      </c>
      <c r="AW475" s="794">
        <f t="shared" si="244"/>
        <v>0</v>
      </c>
      <c r="AX475" s="794">
        <f t="shared" si="245"/>
        <v>0</v>
      </c>
      <c r="AY475" s="1462">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45">
        <f t="shared" si="267"/>
        <v>0</v>
      </c>
    </row>
    <row r="476" spans="1:72">
      <c r="A476" s="1526"/>
      <c r="B476" s="1534"/>
      <c r="C476" s="1534"/>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899"/>
      <c r="AU476" s="2927"/>
      <c r="AV476" s="794">
        <f t="shared" si="243"/>
        <v>0</v>
      </c>
      <c r="AW476" s="794">
        <f t="shared" si="244"/>
        <v>0</v>
      </c>
      <c r="AX476" s="794">
        <f t="shared" si="245"/>
        <v>0</v>
      </c>
      <c r="AY476" s="1462">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45">
        <f t="shared" si="267"/>
        <v>0</v>
      </c>
    </row>
    <row r="477" spans="1:72">
      <c r="A477" s="1526"/>
      <c r="B477" s="1534"/>
      <c r="C477" s="1534"/>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899"/>
      <c r="AU477" s="2927"/>
      <c r="AV477" s="794">
        <f t="shared" si="243"/>
        <v>0</v>
      </c>
      <c r="AW477" s="794">
        <f t="shared" si="244"/>
        <v>0</v>
      </c>
      <c r="AX477" s="794">
        <f t="shared" si="245"/>
        <v>0</v>
      </c>
      <c r="AY477" s="1462">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45">
        <f t="shared" si="267"/>
        <v>0</v>
      </c>
    </row>
    <row r="478" spans="1:72">
      <c r="A478" s="1526"/>
      <c r="B478" s="1534"/>
      <c r="C478" s="1534"/>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899"/>
      <c r="AU478" s="2927"/>
      <c r="AV478" s="794">
        <f t="shared" si="243"/>
        <v>0</v>
      </c>
      <c r="AW478" s="794">
        <f t="shared" si="244"/>
        <v>0</v>
      </c>
      <c r="AX478" s="794">
        <f t="shared" si="245"/>
        <v>0</v>
      </c>
      <c r="AY478" s="1462">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45">
        <f t="shared" si="267"/>
        <v>0</v>
      </c>
    </row>
    <row r="479" spans="1:72">
      <c r="A479" s="1526"/>
      <c r="B479" s="1534"/>
      <c r="C479" s="1534"/>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899"/>
      <c r="AU479" s="2927"/>
      <c r="AV479" s="794">
        <f t="shared" si="243"/>
        <v>0</v>
      </c>
      <c r="AW479" s="794">
        <f t="shared" si="244"/>
        <v>0</v>
      </c>
      <c r="AX479" s="794">
        <f t="shared" si="245"/>
        <v>0</v>
      </c>
      <c r="AY479" s="1462">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45">
        <f t="shared" si="267"/>
        <v>0</v>
      </c>
    </row>
    <row r="480" spans="1:72">
      <c r="A480" s="1526"/>
      <c r="B480" s="1534"/>
      <c r="C480" s="1534"/>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899"/>
      <c r="AU480" s="2927"/>
      <c r="AV480" s="794">
        <f t="shared" si="243"/>
        <v>0</v>
      </c>
      <c r="AW480" s="794">
        <f t="shared" si="244"/>
        <v>0</v>
      </c>
      <c r="AX480" s="794">
        <f t="shared" si="245"/>
        <v>0</v>
      </c>
      <c r="AY480" s="1462">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45">
        <f t="shared" si="267"/>
        <v>0</v>
      </c>
    </row>
    <row r="481" spans="1:72">
      <c r="A481" s="1526"/>
      <c r="B481" s="1534"/>
      <c r="C481" s="1534"/>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899"/>
      <c r="AU481" s="2927"/>
      <c r="AV481" s="794">
        <f t="shared" si="243"/>
        <v>0</v>
      </c>
      <c r="AW481" s="794">
        <f t="shared" si="244"/>
        <v>0</v>
      </c>
      <c r="AX481" s="794">
        <f t="shared" si="245"/>
        <v>0</v>
      </c>
      <c r="AY481" s="1462">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45">
        <f t="shared" si="267"/>
        <v>0</v>
      </c>
    </row>
    <row r="482" spans="1:72">
      <c r="A482" s="1526"/>
      <c r="B482" s="1534"/>
      <c r="C482" s="1534"/>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899"/>
      <c r="AU482" s="2927"/>
      <c r="AV482" s="794">
        <f t="shared" si="243"/>
        <v>0</v>
      </c>
      <c r="AW482" s="794">
        <f t="shared" si="244"/>
        <v>0</v>
      </c>
      <c r="AX482" s="794">
        <f t="shared" si="245"/>
        <v>0</v>
      </c>
      <c r="AY482" s="1462">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45">
        <f t="shared" si="267"/>
        <v>0</v>
      </c>
    </row>
    <row r="483" spans="1:72">
      <c r="A483" s="1526"/>
      <c r="B483" s="1534"/>
      <c r="C483" s="1534"/>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899"/>
      <c r="AU483" s="2927"/>
      <c r="AV483" s="794">
        <f t="shared" si="243"/>
        <v>0</v>
      </c>
      <c r="AW483" s="794">
        <f t="shared" si="244"/>
        <v>0</v>
      </c>
      <c r="AX483" s="794">
        <f t="shared" si="245"/>
        <v>0</v>
      </c>
      <c r="AY483" s="1462">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45">
        <f t="shared" si="267"/>
        <v>0</v>
      </c>
    </row>
    <row r="484" spans="1:72">
      <c r="A484" s="1526"/>
      <c r="B484" s="1534"/>
      <c r="C484" s="1534"/>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899"/>
      <c r="AU484" s="2927"/>
      <c r="AV484" s="794">
        <f t="shared" si="243"/>
        <v>0</v>
      </c>
      <c r="AW484" s="794">
        <f t="shared" si="244"/>
        <v>0</v>
      </c>
      <c r="AX484" s="794">
        <f t="shared" si="245"/>
        <v>0</v>
      </c>
      <c r="AY484" s="1462">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45">
        <f t="shared" si="267"/>
        <v>0</v>
      </c>
    </row>
    <row r="485" spans="1:72">
      <c r="A485" s="1526"/>
      <c r="B485" s="1534"/>
      <c r="C485" s="1534"/>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899"/>
      <c r="AU485" s="2927"/>
      <c r="AV485" s="794">
        <f t="shared" si="243"/>
        <v>0</v>
      </c>
      <c r="AW485" s="794">
        <f t="shared" si="244"/>
        <v>0</v>
      </c>
      <c r="AX485" s="794">
        <f t="shared" si="245"/>
        <v>0</v>
      </c>
      <c r="AY485" s="1462">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45">
        <f t="shared" si="267"/>
        <v>0</v>
      </c>
    </row>
    <row r="486" spans="1:72">
      <c r="A486" s="1526"/>
      <c r="B486" s="1534"/>
      <c r="C486" s="1534"/>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899"/>
      <c r="AU486" s="2927"/>
      <c r="AV486" s="794">
        <f t="shared" si="243"/>
        <v>0</v>
      </c>
      <c r="AW486" s="794">
        <f t="shared" si="244"/>
        <v>0</v>
      </c>
      <c r="AX486" s="794">
        <f t="shared" si="245"/>
        <v>0</v>
      </c>
      <c r="AY486" s="1462">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45">
        <f t="shared" si="267"/>
        <v>0</v>
      </c>
    </row>
    <row r="487" spans="1:72">
      <c r="A487" s="1526"/>
      <c r="B487" s="1534"/>
      <c r="C487" s="1534"/>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899"/>
      <c r="AU487" s="2927"/>
      <c r="AV487" s="794">
        <f t="shared" si="243"/>
        <v>0</v>
      </c>
      <c r="AW487" s="794">
        <f t="shared" si="244"/>
        <v>0</v>
      </c>
      <c r="AX487" s="794">
        <f t="shared" si="245"/>
        <v>0</v>
      </c>
      <c r="AY487" s="1462">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45">
        <f t="shared" si="267"/>
        <v>0</v>
      </c>
    </row>
    <row r="488" spans="1:72">
      <c r="A488" s="1526"/>
      <c r="B488" s="1534"/>
      <c r="C488" s="1534"/>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899"/>
      <c r="AU488" s="2927"/>
      <c r="AV488" s="794">
        <f t="shared" si="243"/>
        <v>0</v>
      </c>
      <c r="AW488" s="794">
        <f t="shared" si="244"/>
        <v>0</v>
      </c>
      <c r="AX488" s="794">
        <f t="shared" si="245"/>
        <v>0</v>
      </c>
      <c r="AY488" s="1462">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45">
        <f t="shared" si="267"/>
        <v>0</v>
      </c>
    </row>
    <row r="489" spans="1:72">
      <c r="A489" s="1526"/>
      <c r="B489" s="1534"/>
      <c r="C489" s="1534"/>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899"/>
      <c r="AU489" s="2927"/>
      <c r="AV489" s="794">
        <f t="shared" si="243"/>
        <v>0</v>
      </c>
      <c r="AW489" s="794">
        <f t="shared" si="244"/>
        <v>0</v>
      </c>
      <c r="AX489" s="794">
        <f t="shared" si="245"/>
        <v>0</v>
      </c>
      <c r="AY489" s="1462">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45">
        <f t="shared" si="267"/>
        <v>0</v>
      </c>
    </row>
    <row r="490" spans="1:72">
      <c r="A490" s="1526"/>
      <c r="B490" s="1526"/>
      <c r="C490" s="1526"/>
      <c r="D490" s="2897"/>
      <c r="E490" s="2898">
        <f t="shared" si="239"/>
        <v>0</v>
      </c>
      <c r="F490" s="2918"/>
      <c r="G490" s="2900">
        <f t="shared" ref="G490:G521" si="268">H490+AC490+AT490</f>
        <v>0</v>
      </c>
      <c r="H490" s="2901">
        <f t="shared" ref="H490:H521" si="269">SUMIF(I$12:AB$12,"总值",I490:AB490)</f>
        <v>0</v>
      </c>
      <c r="I490" s="2946"/>
      <c r="J490" s="2946"/>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1569"/>
      <c r="AV490" s="794">
        <f t="shared" si="243"/>
        <v>0</v>
      </c>
      <c r="AW490" s="794">
        <f t="shared" si="244"/>
        <v>0</v>
      </c>
      <c r="AX490" s="794">
        <f t="shared" si="245"/>
        <v>0</v>
      </c>
      <c r="AY490" s="1462">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45">
        <f t="shared" ref="BT490:BT521" si="292">IF($D490="是",AR490-AS490,0)</f>
        <v>0</v>
      </c>
    </row>
    <row r="491" spans="1:72">
      <c r="A491" s="1526"/>
      <c r="B491" s="1526"/>
      <c r="C491" s="1526"/>
      <c r="D491" s="2897"/>
      <c r="E491" s="2898">
        <f t="shared" si="239"/>
        <v>0</v>
      </c>
      <c r="F491" s="2918"/>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1569"/>
      <c r="AV491" s="794">
        <f t="shared" si="243"/>
        <v>0</v>
      </c>
      <c r="AW491" s="794">
        <f t="shared" si="244"/>
        <v>0</v>
      </c>
      <c r="AX491" s="794">
        <f t="shared" si="245"/>
        <v>0</v>
      </c>
      <c r="AY491" s="1462">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45">
        <f t="shared" si="292"/>
        <v>0</v>
      </c>
    </row>
    <row r="492" spans="1:72">
      <c r="A492" s="1526"/>
      <c r="B492" s="1526"/>
      <c r="C492" s="1526"/>
      <c r="D492" s="2897"/>
      <c r="E492" s="2898">
        <f t="shared" si="239"/>
        <v>0</v>
      </c>
      <c r="F492" s="2918"/>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1569"/>
      <c r="AV492" s="794">
        <f t="shared" si="243"/>
        <v>0</v>
      </c>
      <c r="AW492" s="794">
        <f t="shared" si="244"/>
        <v>0</v>
      </c>
      <c r="AX492" s="794">
        <f t="shared" si="245"/>
        <v>0</v>
      </c>
      <c r="AY492" s="1462">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45">
        <f t="shared" si="292"/>
        <v>0</v>
      </c>
    </row>
    <row r="493" spans="1:72">
      <c r="A493" s="1526"/>
      <c r="B493" s="1534"/>
      <c r="C493" s="1534"/>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899"/>
      <c r="AU493" s="2927"/>
      <c r="AV493" s="794">
        <f t="shared" ref="AV493:AV520" si="294">A493</f>
        <v>0</v>
      </c>
      <c r="AW493" s="794">
        <f t="shared" ref="AW493:AW520" si="295">B493</f>
        <v>0</v>
      </c>
      <c r="AX493" s="794">
        <f t="shared" ref="AX493:AX520" si="296">C493</f>
        <v>0</v>
      </c>
      <c r="AY493" s="1462">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45">
        <f t="shared" si="292"/>
        <v>0</v>
      </c>
    </row>
    <row r="494" spans="1:72">
      <c r="A494" s="1526"/>
      <c r="B494" s="1534"/>
      <c r="C494" s="1534"/>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899"/>
      <c r="AU494" s="2927"/>
      <c r="AV494" s="794">
        <f t="shared" si="294"/>
        <v>0</v>
      </c>
      <c r="AW494" s="794">
        <f t="shared" si="295"/>
        <v>0</v>
      </c>
      <c r="AX494" s="794">
        <f t="shared" si="296"/>
        <v>0</v>
      </c>
      <c r="AY494" s="1462">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45">
        <f t="shared" si="292"/>
        <v>0</v>
      </c>
    </row>
    <row r="495" spans="1:72">
      <c r="A495" s="1526"/>
      <c r="B495" s="1534"/>
      <c r="C495" s="1534"/>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899"/>
      <c r="AU495" s="2927"/>
      <c r="AV495" s="794">
        <f t="shared" si="294"/>
        <v>0</v>
      </c>
      <c r="AW495" s="794">
        <f t="shared" si="295"/>
        <v>0</v>
      </c>
      <c r="AX495" s="794">
        <f t="shared" si="296"/>
        <v>0</v>
      </c>
      <c r="AY495" s="1462">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45">
        <f t="shared" si="292"/>
        <v>0</v>
      </c>
    </row>
    <row r="496" spans="1:72">
      <c r="A496" s="1526"/>
      <c r="B496" s="1534"/>
      <c r="C496" s="1534"/>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899"/>
      <c r="AU496" s="2927"/>
      <c r="AV496" s="794">
        <f t="shared" si="294"/>
        <v>0</v>
      </c>
      <c r="AW496" s="794">
        <f t="shared" si="295"/>
        <v>0</v>
      </c>
      <c r="AX496" s="794">
        <f t="shared" si="296"/>
        <v>0</v>
      </c>
      <c r="AY496" s="1462">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45">
        <f t="shared" si="292"/>
        <v>0</v>
      </c>
    </row>
    <row r="497" spans="1:72">
      <c r="A497" s="1526"/>
      <c r="B497" s="1534"/>
      <c r="C497" s="1534"/>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899"/>
      <c r="AU497" s="2927"/>
      <c r="AV497" s="794">
        <f t="shared" si="294"/>
        <v>0</v>
      </c>
      <c r="AW497" s="794">
        <f t="shared" si="295"/>
        <v>0</v>
      </c>
      <c r="AX497" s="794">
        <f t="shared" si="296"/>
        <v>0</v>
      </c>
      <c r="AY497" s="1462">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45">
        <f t="shared" si="292"/>
        <v>0</v>
      </c>
    </row>
    <row r="498" spans="1:72">
      <c r="A498" s="1526"/>
      <c r="B498" s="1534"/>
      <c r="C498" s="1534"/>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899"/>
      <c r="AU498" s="2927"/>
      <c r="AV498" s="794">
        <f t="shared" si="294"/>
        <v>0</v>
      </c>
      <c r="AW498" s="794">
        <f t="shared" si="295"/>
        <v>0</v>
      </c>
      <c r="AX498" s="794">
        <f t="shared" si="296"/>
        <v>0</v>
      </c>
      <c r="AY498" s="1462">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45">
        <f t="shared" si="292"/>
        <v>0</v>
      </c>
    </row>
    <row r="499" spans="1:72">
      <c r="A499" s="1526"/>
      <c r="B499" s="1534"/>
      <c r="C499" s="1534"/>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899"/>
      <c r="AU499" s="2927"/>
      <c r="AV499" s="794">
        <f t="shared" si="294"/>
        <v>0</v>
      </c>
      <c r="AW499" s="794">
        <f t="shared" si="295"/>
        <v>0</v>
      </c>
      <c r="AX499" s="794">
        <f t="shared" si="296"/>
        <v>0</v>
      </c>
      <c r="AY499" s="1462">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45">
        <f t="shared" si="292"/>
        <v>0</v>
      </c>
    </row>
    <row r="500" spans="1:72">
      <c r="A500" s="1526"/>
      <c r="B500" s="1534"/>
      <c r="C500" s="1534"/>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899"/>
      <c r="AU500" s="2927"/>
      <c r="AV500" s="794">
        <f t="shared" si="294"/>
        <v>0</v>
      </c>
      <c r="AW500" s="794">
        <f t="shared" si="295"/>
        <v>0</v>
      </c>
      <c r="AX500" s="794">
        <f t="shared" si="296"/>
        <v>0</v>
      </c>
      <c r="AY500" s="1462">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45">
        <f t="shared" si="292"/>
        <v>0</v>
      </c>
    </row>
    <row r="501" spans="1:72">
      <c r="A501" s="1526"/>
      <c r="B501" s="1534"/>
      <c r="C501" s="1534"/>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899"/>
      <c r="AU501" s="2927"/>
      <c r="AV501" s="794">
        <f t="shared" si="294"/>
        <v>0</v>
      </c>
      <c r="AW501" s="794">
        <f t="shared" si="295"/>
        <v>0</v>
      </c>
      <c r="AX501" s="794">
        <f t="shared" si="296"/>
        <v>0</v>
      </c>
      <c r="AY501" s="1462">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45">
        <f t="shared" si="292"/>
        <v>0</v>
      </c>
    </row>
    <row r="502" spans="1:72">
      <c r="A502" s="1526"/>
      <c r="B502" s="1534"/>
      <c r="C502" s="1534"/>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899"/>
      <c r="AU502" s="2927"/>
      <c r="AV502" s="794">
        <f t="shared" si="294"/>
        <v>0</v>
      </c>
      <c r="AW502" s="794">
        <f t="shared" si="295"/>
        <v>0</v>
      </c>
      <c r="AX502" s="794">
        <f t="shared" si="296"/>
        <v>0</v>
      </c>
      <c r="AY502" s="1462">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45">
        <f t="shared" si="292"/>
        <v>0</v>
      </c>
    </row>
    <row r="503" spans="1:72">
      <c r="A503" s="1526"/>
      <c r="B503" s="1534"/>
      <c r="C503" s="1534"/>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899"/>
      <c r="AU503" s="2927"/>
      <c r="AV503" s="794">
        <f t="shared" si="294"/>
        <v>0</v>
      </c>
      <c r="AW503" s="794">
        <f t="shared" si="295"/>
        <v>0</v>
      </c>
      <c r="AX503" s="794">
        <f t="shared" si="296"/>
        <v>0</v>
      </c>
      <c r="AY503" s="1462">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45">
        <f t="shared" si="292"/>
        <v>0</v>
      </c>
    </row>
    <row r="504" spans="1:72">
      <c r="A504" s="1526"/>
      <c r="B504" s="1534"/>
      <c r="C504" s="1534"/>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899"/>
      <c r="AU504" s="2927"/>
      <c r="AV504" s="794">
        <f t="shared" si="294"/>
        <v>0</v>
      </c>
      <c r="AW504" s="794">
        <f t="shared" si="295"/>
        <v>0</v>
      </c>
      <c r="AX504" s="794">
        <f t="shared" si="296"/>
        <v>0</v>
      </c>
      <c r="AY504" s="1462">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45">
        <f t="shared" si="292"/>
        <v>0</v>
      </c>
    </row>
    <row r="505" spans="1:72">
      <c r="A505" s="1526"/>
      <c r="B505" s="1534"/>
      <c r="C505" s="1534"/>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899"/>
      <c r="AU505" s="2927"/>
      <c r="AV505" s="794">
        <f t="shared" si="294"/>
        <v>0</v>
      </c>
      <c r="AW505" s="794">
        <f t="shared" si="295"/>
        <v>0</v>
      </c>
      <c r="AX505" s="794">
        <f t="shared" si="296"/>
        <v>0</v>
      </c>
      <c r="AY505" s="1462">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45">
        <f t="shared" si="292"/>
        <v>0</v>
      </c>
    </row>
    <row r="506" spans="1:72">
      <c r="A506" s="1526"/>
      <c r="B506" s="1534"/>
      <c r="C506" s="1534"/>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899"/>
      <c r="AU506" s="2927"/>
      <c r="AV506" s="794">
        <f t="shared" si="294"/>
        <v>0</v>
      </c>
      <c r="AW506" s="794">
        <f t="shared" si="295"/>
        <v>0</v>
      </c>
      <c r="AX506" s="794">
        <f t="shared" si="296"/>
        <v>0</v>
      </c>
      <c r="AY506" s="1462">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45">
        <f t="shared" si="292"/>
        <v>0</v>
      </c>
    </row>
    <row r="507" spans="1:72">
      <c r="A507" s="1526"/>
      <c r="B507" s="1534"/>
      <c r="C507" s="1534"/>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899"/>
      <c r="AU507" s="2927"/>
      <c r="AV507" s="794">
        <f t="shared" si="294"/>
        <v>0</v>
      </c>
      <c r="AW507" s="794">
        <f t="shared" si="295"/>
        <v>0</v>
      </c>
      <c r="AX507" s="794">
        <f t="shared" si="296"/>
        <v>0</v>
      </c>
      <c r="AY507" s="1462">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45">
        <f t="shared" si="292"/>
        <v>0</v>
      </c>
    </row>
    <row r="508" spans="1:72">
      <c r="A508" s="1526"/>
      <c r="B508" s="1534"/>
      <c r="C508" s="1534"/>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899"/>
      <c r="AU508" s="2927"/>
      <c r="AV508" s="794">
        <f t="shared" si="294"/>
        <v>0</v>
      </c>
      <c r="AW508" s="794">
        <f t="shared" si="295"/>
        <v>0</v>
      </c>
      <c r="AX508" s="794">
        <f t="shared" si="296"/>
        <v>0</v>
      </c>
      <c r="AY508" s="1462">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45">
        <f t="shared" si="292"/>
        <v>0</v>
      </c>
    </row>
    <row r="509" spans="1:72">
      <c r="A509" s="1526"/>
      <c r="B509" s="1534"/>
      <c r="C509" s="1534"/>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899"/>
      <c r="AU509" s="2927"/>
      <c r="AV509" s="794">
        <f t="shared" si="294"/>
        <v>0</v>
      </c>
      <c r="AW509" s="794">
        <f t="shared" si="295"/>
        <v>0</v>
      </c>
      <c r="AX509" s="794">
        <f t="shared" si="296"/>
        <v>0</v>
      </c>
      <c r="AY509" s="1462">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45">
        <f t="shared" si="292"/>
        <v>0</v>
      </c>
    </row>
    <row r="510" spans="1:72">
      <c r="A510" s="1526"/>
      <c r="B510" s="1534"/>
      <c r="C510" s="1534"/>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899"/>
      <c r="AU510" s="2927"/>
      <c r="AV510" s="794">
        <f t="shared" si="294"/>
        <v>0</v>
      </c>
      <c r="AW510" s="794">
        <f t="shared" si="295"/>
        <v>0</v>
      </c>
      <c r="AX510" s="794">
        <f t="shared" si="296"/>
        <v>0</v>
      </c>
      <c r="AY510" s="1462">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45">
        <f t="shared" si="292"/>
        <v>0</v>
      </c>
    </row>
    <row r="511" spans="1:72">
      <c r="A511" s="1526"/>
      <c r="B511" s="1534"/>
      <c r="C511" s="1534"/>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899"/>
      <c r="AU511" s="2927"/>
      <c r="AV511" s="794">
        <f t="shared" si="294"/>
        <v>0</v>
      </c>
      <c r="AW511" s="794">
        <f t="shared" si="295"/>
        <v>0</v>
      </c>
      <c r="AX511" s="794">
        <f t="shared" si="296"/>
        <v>0</v>
      </c>
      <c r="AY511" s="1462">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45">
        <f t="shared" si="292"/>
        <v>0</v>
      </c>
    </row>
    <row r="512" spans="1:72">
      <c r="A512" s="1526"/>
      <c r="B512" s="1534"/>
      <c r="C512" s="1534"/>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899"/>
      <c r="AU512" s="2927"/>
      <c r="AV512" s="794">
        <f t="shared" si="294"/>
        <v>0</v>
      </c>
      <c r="AW512" s="794">
        <f t="shared" si="295"/>
        <v>0</v>
      </c>
      <c r="AX512" s="794">
        <f t="shared" si="296"/>
        <v>0</v>
      </c>
      <c r="AY512" s="1462">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45">
        <f t="shared" si="292"/>
        <v>0</v>
      </c>
    </row>
    <row r="513" spans="1:72">
      <c r="A513" s="1526"/>
      <c r="B513" s="1534"/>
      <c r="C513" s="1534"/>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899"/>
      <c r="AU513" s="2927"/>
      <c r="AV513" s="794">
        <f t="shared" si="294"/>
        <v>0</v>
      </c>
      <c r="AW513" s="794">
        <f t="shared" si="295"/>
        <v>0</v>
      </c>
      <c r="AX513" s="794">
        <f t="shared" si="296"/>
        <v>0</v>
      </c>
      <c r="AY513" s="1462">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45">
        <f t="shared" si="292"/>
        <v>0</v>
      </c>
    </row>
    <row r="514" spans="1:72">
      <c r="A514" s="1526"/>
      <c r="B514" s="1534"/>
      <c r="C514" s="1534"/>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899"/>
      <c r="AU514" s="2927"/>
      <c r="AV514" s="794">
        <f t="shared" si="294"/>
        <v>0</v>
      </c>
      <c r="AW514" s="794">
        <f t="shared" si="295"/>
        <v>0</v>
      </c>
      <c r="AX514" s="794">
        <f t="shared" si="296"/>
        <v>0</v>
      </c>
      <c r="AY514" s="1462">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45">
        <f t="shared" si="292"/>
        <v>0</v>
      </c>
    </row>
    <row r="515" spans="1:72">
      <c r="A515" s="1526"/>
      <c r="B515" s="1534"/>
      <c r="C515" s="1534"/>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899"/>
      <c r="AU515" s="2927"/>
      <c r="AV515" s="794">
        <f t="shared" si="294"/>
        <v>0</v>
      </c>
      <c r="AW515" s="794">
        <f t="shared" si="295"/>
        <v>0</v>
      </c>
      <c r="AX515" s="794">
        <f t="shared" si="296"/>
        <v>0</v>
      </c>
      <c r="AY515" s="1462">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45">
        <f t="shared" si="292"/>
        <v>0</v>
      </c>
    </row>
    <row r="516" spans="1:72">
      <c r="A516" s="1526"/>
      <c r="B516" s="1534"/>
      <c r="C516" s="1534"/>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899"/>
      <c r="AU516" s="2927"/>
      <c r="AV516" s="794">
        <f t="shared" si="294"/>
        <v>0</v>
      </c>
      <c r="AW516" s="794">
        <f t="shared" si="295"/>
        <v>0</v>
      </c>
      <c r="AX516" s="794">
        <f t="shared" si="296"/>
        <v>0</v>
      </c>
      <c r="AY516" s="1462">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45">
        <f t="shared" si="292"/>
        <v>0</v>
      </c>
    </row>
    <row r="517" spans="1:72">
      <c r="A517" s="1526"/>
      <c r="B517" s="1534"/>
      <c r="C517" s="1534"/>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899"/>
      <c r="AU517" s="2927"/>
      <c r="AV517" s="794">
        <f t="shared" si="294"/>
        <v>0</v>
      </c>
      <c r="AW517" s="794">
        <f t="shared" si="295"/>
        <v>0</v>
      </c>
      <c r="AX517" s="794">
        <f t="shared" si="296"/>
        <v>0</v>
      </c>
      <c r="AY517" s="1462">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45">
        <f t="shared" si="292"/>
        <v>0</v>
      </c>
    </row>
    <row r="518" spans="1:72">
      <c r="A518" s="1526"/>
      <c r="B518" s="1534"/>
      <c r="C518" s="1534"/>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899"/>
      <c r="AU518" s="2927"/>
      <c r="AV518" s="794">
        <f t="shared" si="294"/>
        <v>0</v>
      </c>
      <c r="AW518" s="794">
        <f t="shared" si="295"/>
        <v>0</v>
      </c>
      <c r="AX518" s="794">
        <f t="shared" si="296"/>
        <v>0</v>
      </c>
      <c r="AY518" s="1462">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45">
        <f t="shared" si="292"/>
        <v>0</v>
      </c>
    </row>
    <row r="519" spans="1:72">
      <c r="A519" s="1526"/>
      <c r="B519" s="1534"/>
      <c r="C519" s="1534"/>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899"/>
      <c r="AU519" s="2927"/>
      <c r="AV519" s="794">
        <f t="shared" si="294"/>
        <v>0</v>
      </c>
      <c r="AW519" s="794">
        <f t="shared" si="295"/>
        <v>0</v>
      </c>
      <c r="AX519" s="794">
        <f t="shared" si="296"/>
        <v>0</v>
      </c>
      <c r="AY519" s="1462">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45">
        <f t="shared" si="292"/>
        <v>0</v>
      </c>
    </row>
    <row r="520" spans="1:72">
      <c r="A520" s="1526"/>
      <c r="B520" s="1534"/>
      <c r="C520" s="1534"/>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899"/>
      <c r="AU520" s="2927"/>
      <c r="AV520" s="794">
        <f t="shared" si="294"/>
        <v>0</v>
      </c>
      <c r="AW520" s="794">
        <f t="shared" si="295"/>
        <v>0</v>
      </c>
      <c r="AX520" s="794">
        <f t="shared" si="296"/>
        <v>0</v>
      </c>
      <c r="AY520" s="1462">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45">
        <f t="shared" si="292"/>
        <v>0</v>
      </c>
    </row>
    <row r="521" spans="1:72">
      <c r="A521" s="1526"/>
      <c r="B521" s="1534"/>
      <c r="C521" s="1534"/>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899"/>
      <c r="AU521" s="2927"/>
      <c r="AV521" s="794">
        <f t="shared" ref="AV521:AV552" si="298">A521</f>
        <v>0</v>
      </c>
      <c r="AW521" s="794">
        <f t="shared" ref="AW521:AW552" si="299">B521</f>
        <v>0</v>
      </c>
      <c r="AX521" s="794">
        <f t="shared" ref="AX521:AX552" si="300">C521</f>
        <v>0</v>
      </c>
      <c r="AY521" s="1462">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45">
        <f t="shared" si="292"/>
        <v>0</v>
      </c>
    </row>
    <row r="522" spans="1:72">
      <c r="A522" s="1526"/>
      <c r="B522" s="1534"/>
      <c r="C522" s="1534"/>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899"/>
      <c r="AU522" s="2927"/>
      <c r="AV522" s="794">
        <f t="shared" si="298"/>
        <v>0</v>
      </c>
      <c r="AW522" s="794">
        <f t="shared" si="299"/>
        <v>0</v>
      </c>
      <c r="AX522" s="794">
        <f t="shared" si="300"/>
        <v>0</v>
      </c>
      <c r="AY522" s="1462">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45">
        <f t="shared" ref="BT522:BT552" si="325">IF($D522="是",AR522-AS522,0)</f>
        <v>0</v>
      </c>
    </row>
    <row r="523" spans="1:72">
      <c r="A523" s="1526"/>
      <c r="B523" s="1534"/>
      <c r="C523" s="1534"/>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899"/>
      <c r="AU523" s="2927"/>
      <c r="AV523" s="794">
        <f t="shared" si="298"/>
        <v>0</v>
      </c>
      <c r="AW523" s="794">
        <f t="shared" si="299"/>
        <v>0</v>
      </c>
      <c r="AX523" s="794">
        <f t="shared" si="300"/>
        <v>0</v>
      </c>
      <c r="AY523" s="1462">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45">
        <f t="shared" si="325"/>
        <v>0</v>
      </c>
    </row>
    <row r="524" spans="1:72">
      <c r="A524" s="1526"/>
      <c r="B524" s="1534"/>
      <c r="C524" s="1534"/>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899"/>
      <c r="AU524" s="2927"/>
      <c r="AV524" s="794">
        <f t="shared" si="298"/>
        <v>0</v>
      </c>
      <c r="AW524" s="794">
        <f t="shared" si="299"/>
        <v>0</v>
      </c>
      <c r="AX524" s="794">
        <f t="shared" si="300"/>
        <v>0</v>
      </c>
      <c r="AY524" s="1462">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45">
        <f t="shared" si="325"/>
        <v>0</v>
      </c>
    </row>
    <row r="525" spans="1:72">
      <c r="A525" s="1526"/>
      <c r="B525" s="1534"/>
      <c r="C525" s="1534"/>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899"/>
      <c r="AU525" s="2927"/>
      <c r="AV525" s="794">
        <f t="shared" si="298"/>
        <v>0</v>
      </c>
      <c r="AW525" s="794">
        <f t="shared" si="299"/>
        <v>0</v>
      </c>
      <c r="AX525" s="794">
        <f t="shared" si="300"/>
        <v>0</v>
      </c>
      <c r="AY525" s="1462">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45">
        <f t="shared" si="325"/>
        <v>0</v>
      </c>
    </row>
    <row r="526" spans="1:72">
      <c r="A526" s="1526"/>
      <c r="B526" s="1534"/>
      <c r="C526" s="1534"/>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899"/>
      <c r="AU526" s="2927"/>
      <c r="AV526" s="794">
        <f t="shared" si="298"/>
        <v>0</v>
      </c>
      <c r="AW526" s="794">
        <f t="shared" si="299"/>
        <v>0</v>
      </c>
      <c r="AX526" s="794">
        <f t="shared" si="300"/>
        <v>0</v>
      </c>
      <c r="AY526" s="1462">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45">
        <f t="shared" si="325"/>
        <v>0</v>
      </c>
    </row>
    <row r="527" spans="1:72">
      <c r="A527" s="1526"/>
      <c r="B527" s="1534"/>
      <c r="C527" s="1534"/>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899"/>
      <c r="AU527" s="2927"/>
      <c r="AV527" s="794">
        <f t="shared" si="298"/>
        <v>0</v>
      </c>
      <c r="AW527" s="794">
        <f t="shared" si="299"/>
        <v>0</v>
      </c>
      <c r="AX527" s="794">
        <f t="shared" si="300"/>
        <v>0</v>
      </c>
      <c r="AY527" s="1462">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45">
        <f t="shared" si="325"/>
        <v>0</v>
      </c>
    </row>
    <row r="528" spans="1:72">
      <c r="A528" s="1526"/>
      <c r="B528" s="1534"/>
      <c r="C528" s="1534"/>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899"/>
      <c r="AU528" s="2927"/>
      <c r="AV528" s="794">
        <f t="shared" si="298"/>
        <v>0</v>
      </c>
      <c r="AW528" s="794">
        <f t="shared" si="299"/>
        <v>0</v>
      </c>
      <c r="AX528" s="794">
        <f t="shared" si="300"/>
        <v>0</v>
      </c>
      <c r="AY528" s="1462">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45">
        <f t="shared" si="325"/>
        <v>0</v>
      </c>
    </row>
    <row r="529" spans="1:72">
      <c r="A529" s="1526"/>
      <c r="B529" s="1534"/>
      <c r="C529" s="1534"/>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899"/>
      <c r="AU529" s="2927"/>
      <c r="AV529" s="794">
        <f t="shared" si="298"/>
        <v>0</v>
      </c>
      <c r="AW529" s="794">
        <f t="shared" si="299"/>
        <v>0</v>
      </c>
      <c r="AX529" s="794">
        <f t="shared" si="300"/>
        <v>0</v>
      </c>
      <c r="AY529" s="1462">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45">
        <f t="shared" si="325"/>
        <v>0</v>
      </c>
    </row>
    <row r="530" spans="1:72">
      <c r="A530" s="1526"/>
      <c r="B530" s="1534"/>
      <c r="C530" s="1534"/>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899"/>
      <c r="AU530" s="2927"/>
      <c r="AV530" s="794">
        <f t="shared" si="298"/>
        <v>0</v>
      </c>
      <c r="AW530" s="794">
        <f t="shared" si="299"/>
        <v>0</v>
      </c>
      <c r="AX530" s="794">
        <f t="shared" si="300"/>
        <v>0</v>
      </c>
      <c r="AY530" s="1462">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45">
        <f t="shared" si="325"/>
        <v>0</v>
      </c>
    </row>
    <row r="531" spans="1:72">
      <c r="A531" s="1526"/>
      <c r="B531" s="1534"/>
      <c r="C531" s="1534"/>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899"/>
      <c r="AU531" s="2927"/>
      <c r="AV531" s="794">
        <f t="shared" si="298"/>
        <v>0</v>
      </c>
      <c r="AW531" s="794">
        <f t="shared" si="299"/>
        <v>0</v>
      </c>
      <c r="AX531" s="794">
        <f t="shared" si="300"/>
        <v>0</v>
      </c>
      <c r="AY531" s="1462">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45">
        <f t="shared" si="325"/>
        <v>0</v>
      </c>
    </row>
    <row r="532" spans="1:72">
      <c r="A532" s="1526"/>
      <c r="B532" s="1534"/>
      <c r="C532" s="1534"/>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899"/>
      <c r="AU532" s="2927"/>
      <c r="AV532" s="794">
        <f t="shared" si="298"/>
        <v>0</v>
      </c>
      <c r="AW532" s="794">
        <f t="shared" si="299"/>
        <v>0</v>
      </c>
      <c r="AX532" s="794">
        <f t="shared" si="300"/>
        <v>0</v>
      </c>
      <c r="AY532" s="1462">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45">
        <f t="shared" si="325"/>
        <v>0</v>
      </c>
    </row>
    <row r="533" spans="1:72">
      <c r="A533" s="1526"/>
      <c r="B533" s="1534"/>
      <c r="C533" s="1534"/>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899"/>
      <c r="AU533" s="2927"/>
      <c r="AV533" s="794">
        <f t="shared" si="298"/>
        <v>0</v>
      </c>
      <c r="AW533" s="794">
        <f t="shared" si="299"/>
        <v>0</v>
      </c>
      <c r="AX533" s="794">
        <f t="shared" si="300"/>
        <v>0</v>
      </c>
      <c r="AY533" s="1462">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45">
        <f t="shared" si="325"/>
        <v>0</v>
      </c>
    </row>
    <row r="534" spans="1:72">
      <c r="A534" s="1526"/>
      <c r="B534" s="1534"/>
      <c r="C534" s="1534"/>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899"/>
      <c r="AU534" s="2927"/>
      <c r="AV534" s="794">
        <f t="shared" si="298"/>
        <v>0</v>
      </c>
      <c r="AW534" s="794">
        <f t="shared" si="299"/>
        <v>0</v>
      </c>
      <c r="AX534" s="794">
        <f t="shared" si="300"/>
        <v>0</v>
      </c>
      <c r="AY534" s="1462">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45">
        <f t="shared" si="325"/>
        <v>0</v>
      </c>
    </row>
    <row r="535" spans="1:72">
      <c r="A535" s="1526"/>
      <c r="B535" s="1534"/>
      <c r="C535" s="1534"/>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899"/>
      <c r="AU535" s="2927"/>
      <c r="AV535" s="794">
        <f t="shared" si="298"/>
        <v>0</v>
      </c>
      <c r="AW535" s="794">
        <f t="shared" si="299"/>
        <v>0</v>
      </c>
      <c r="AX535" s="794">
        <f t="shared" si="300"/>
        <v>0</v>
      </c>
      <c r="AY535" s="1462">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45">
        <f t="shared" si="325"/>
        <v>0</v>
      </c>
    </row>
    <row r="536" spans="1:72">
      <c r="A536" s="1526"/>
      <c r="B536" s="1534"/>
      <c r="C536" s="1534"/>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899"/>
      <c r="AU536" s="2927"/>
      <c r="AV536" s="794">
        <f t="shared" si="298"/>
        <v>0</v>
      </c>
      <c r="AW536" s="794">
        <f t="shared" si="299"/>
        <v>0</v>
      </c>
      <c r="AX536" s="794">
        <f t="shared" si="300"/>
        <v>0</v>
      </c>
      <c r="AY536" s="1462">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45">
        <f t="shared" si="325"/>
        <v>0</v>
      </c>
    </row>
    <row r="537" spans="1:72">
      <c r="A537" s="1526"/>
      <c r="B537" s="1534"/>
      <c r="C537" s="1534"/>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899"/>
      <c r="AU537" s="2927"/>
      <c r="AV537" s="794">
        <f t="shared" si="298"/>
        <v>0</v>
      </c>
      <c r="AW537" s="794">
        <f t="shared" si="299"/>
        <v>0</v>
      </c>
      <c r="AX537" s="794">
        <f t="shared" si="300"/>
        <v>0</v>
      </c>
      <c r="AY537" s="1462">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45">
        <f t="shared" si="325"/>
        <v>0</v>
      </c>
    </row>
    <row r="538" spans="1:72">
      <c r="A538" s="1526"/>
      <c r="B538" s="1534"/>
      <c r="C538" s="1534"/>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899"/>
      <c r="AU538" s="2927"/>
      <c r="AV538" s="794">
        <f t="shared" si="298"/>
        <v>0</v>
      </c>
      <c r="AW538" s="794">
        <f t="shared" si="299"/>
        <v>0</v>
      </c>
      <c r="AX538" s="794">
        <f t="shared" si="300"/>
        <v>0</v>
      </c>
      <c r="AY538" s="1462">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45">
        <f t="shared" si="325"/>
        <v>0</v>
      </c>
    </row>
    <row r="539" spans="1:72">
      <c r="A539" s="1526"/>
      <c r="B539" s="1534"/>
      <c r="C539" s="1534"/>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899"/>
      <c r="AU539" s="2927"/>
      <c r="AV539" s="794">
        <f t="shared" si="298"/>
        <v>0</v>
      </c>
      <c r="AW539" s="794">
        <f t="shared" si="299"/>
        <v>0</v>
      </c>
      <c r="AX539" s="794">
        <f t="shared" si="300"/>
        <v>0</v>
      </c>
      <c r="AY539" s="1462">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45">
        <f t="shared" si="325"/>
        <v>0</v>
      </c>
    </row>
    <row r="540" spans="1:72">
      <c r="A540" s="1526"/>
      <c r="B540" s="1534"/>
      <c r="C540" s="1534"/>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899"/>
      <c r="AU540" s="2927"/>
      <c r="AV540" s="794">
        <f t="shared" si="298"/>
        <v>0</v>
      </c>
      <c r="AW540" s="794">
        <f t="shared" si="299"/>
        <v>0</v>
      </c>
      <c r="AX540" s="794">
        <f t="shared" si="300"/>
        <v>0</v>
      </c>
      <c r="AY540" s="1462">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45">
        <f t="shared" si="325"/>
        <v>0</v>
      </c>
    </row>
    <row r="541" spans="1:72">
      <c r="A541" s="1526"/>
      <c r="B541" s="1534"/>
      <c r="C541" s="1534"/>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899"/>
      <c r="AU541" s="2927"/>
      <c r="AV541" s="794">
        <f t="shared" si="298"/>
        <v>0</v>
      </c>
      <c r="AW541" s="794">
        <f t="shared" si="299"/>
        <v>0</v>
      </c>
      <c r="AX541" s="794">
        <f t="shared" si="300"/>
        <v>0</v>
      </c>
      <c r="AY541" s="1462">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45">
        <f t="shared" si="325"/>
        <v>0</v>
      </c>
    </row>
    <row r="542" spans="1:72">
      <c r="A542" s="1526"/>
      <c r="B542" s="1534"/>
      <c r="C542" s="1534"/>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899"/>
      <c r="AU542" s="2927"/>
      <c r="AV542" s="794">
        <f t="shared" si="298"/>
        <v>0</v>
      </c>
      <c r="AW542" s="794">
        <f t="shared" si="299"/>
        <v>0</v>
      </c>
      <c r="AX542" s="794">
        <f t="shared" si="300"/>
        <v>0</v>
      </c>
      <c r="AY542" s="1462">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45">
        <f t="shared" si="325"/>
        <v>0</v>
      </c>
    </row>
    <row r="543" spans="1:72">
      <c r="A543" s="1526"/>
      <c r="B543" s="1534"/>
      <c r="C543" s="1534"/>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899"/>
      <c r="AU543" s="2927"/>
      <c r="AV543" s="794">
        <f t="shared" si="298"/>
        <v>0</v>
      </c>
      <c r="AW543" s="794">
        <f t="shared" si="299"/>
        <v>0</v>
      </c>
      <c r="AX543" s="794">
        <f t="shared" si="300"/>
        <v>0</v>
      </c>
      <c r="AY543" s="1462">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45">
        <f t="shared" si="325"/>
        <v>0</v>
      </c>
    </row>
    <row r="544" spans="1:72">
      <c r="A544" s="1526"/>
      <c r="B544" s="1534"/>
      <c r="C544" s="1534"/>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899"/>
      <c r="AU544" s="2927"/>
      <c r="AV544" s="794">
        <f t="shared" si="298"/>
        <v>0</v>
      </c>
      <c r="AW544" s="794">
        <f t="shared" si="299"/>
        <v>0</v>
      </c>
      <c r="AX544" s="794">
        <f t="shared" si="300"/>
        <v>0</v>
      </c>
      <c r="AY544" s="1462">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45">
        <f t="shared" si="325"/>
        <v>0</v>
      </c>
    </row>
    <row r="545" spans="1:72">
      <c r="A545" s="1526"/>
      <c r="B545" s="1534"/>
      <c r="C545" s="1534"/>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899"/>
      <c r="AU545" s="2927"/>
      <c r="AV545" s="794">
        <f t="shared" si="298"/>
        <v>0</v>
      </c>
      <c r="AW545" s="794">
        <f t="shared" si="299"/>
        <v>0</v>
      </c>
      <c r="AX545" s="794">
        <f t="shared" si="300"/>
        <v>0</v>
      </c>
      <c r="AY545" s="1462">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45">
        <f t="shared" si="325"/>
        <v>0</v>
      </c>
    </row>
    <row r="546" spans="1:72">
      <c r="A546" s="1526"/>
      <c r="B546" s="1534"/>
      <c r="C546" s="1534"/>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899"/>
      <c r="AU546" s="2927"/>
      <c r="AV546" s="794">
        <f t="shared" si="298"/>
        <v>0</v>
      </c>
      <c r="AW546" s="794">
        <f t="shared" si="299"/>
        <v>0</v>
      </c>
      <c r="AX546" s="794">
        <f t="shared" si="300"/>
        <v>0</v>
      </c>
      <c r="AY546" s="1462">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45">
        <f t="shared" si="325"/>
        <v>0</v>
      </c>
    </row>
    <row r="547" spans="1:72">
      <c r="A547" s="1526"/>
      <c r="B547" s="1534"/>
      <c r="C547" s="1534"/>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899"/>
      <c r="AU547" s="2927"/>
      <c r="AV547" s="794">
        <f t="shared" si="298"/>
        <v>0</v>
      </c>
      <c r="AW547" s="794">
        <f t="shared" si="299"/>
        <v>0</v>
      </c>
      <c r="AX547" s="794">
        <f t="shared" si="300"/>
        <v>0</v>
      </c>
      <c r="AY547" s="1462">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45">
        <f t="shared" si="325"/>
        <v>0</v>
      </c>
    </row>
    <row r="548" spans="1:72">
      <c r="A548" s="1526"/>
      <c r="B548" s="1534"/>
      <c r="C548" s="1534"/>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899"/>
      <c r="AU548" s="2927"/>
      <c r="AV548" s="794">
        <f t="shared" si="298"/>
        <v>0</v>
      </c>
      <c r="AW548" s="794">
        <f t="shared" si="299"/>
        <v>0</v>
      </c>
      <c r="AX548" s="794">
        <f t="shared" si="300"/>
        <v>0</v>
      </c>
      <c r="AY548" s="1462">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45">
        <f t="shared" si="325"/>
        <v>0</v>
      </c>
    </row>
    <row r="549" spans="1:72">
      <c r="A549" s="1526"/>
      <c r="B549" s="1534"/>
      <c r="C549" s="1534"/>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899"/>
      <c r="AU549" s="2927"/>
      <c r="AV549" s="794">
        <f t="shared" si="298"/>
        <v>0</v>
      </c>
      <c r="AW549" s="794">
        <f t="shared" si="299"/>
        <v>0</v>
      </c>
      <c r="AX549" s="794">
        <f t="shared" si="300"/>
        <v>0</v>
      </c>
      <c r="AY549" s="1462">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45">
        <f t="shared" si="325"/>
        <v>0</v>
      </c>
    </row>
    <row r="550" spans="1:72">
      <c r="A550" s="1526"/>
      <c r="B550" s="1534"/>
      <c r="C550" s="1534"/>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899"/>
      <c r="AU550" s="2927"/>
      <c r="AV550" s="794">
        <f t="shared" si="298"/>
        <v>0</v>
      </c>
      <c r="AW550" s="794">
        <f t="shared" si="299"/>
        <v>0</v>
      </c>
      <c r="AX550" s="794">
        <f t="shared" si="300"/>
        <v>0</v>
      </c>
      <c r="AY550" s="1462">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45">
        <f t="shared" si="325"/>
        <v>0</v>
      </c>
    </row>
    <row r="551" spans="1:72">
      <c r="A551" s="1526"/>
      <c r="B551" s="1534"/>
      <c r="C551" s="1534"/>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899"/>
      <c r="AU551" s="2927"/>
      <c r="AV551" s="794">
        <f t="shared" si="298"/>
        <v>0</v>
      </c>
      <c r="AW551" s="794">
        <f t="shared" si="299"/>
        <v>0</v>
      </c>
      <c r="AX551" s="794">
        <f t="shared" si="300"/>
        <v>0</v>
      </c>
      <c r="AY551" s="1462">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45">
        <f t="shared" si="325"/>
        <v>0</v>
      </c>
    </row>
    <row r="552" spans="1:72">
      <c r="A552" s="1526"/>
      <c r="B552" s="1534"/>
      <c r="C552" s="1534"/>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899"/>
      <c r="AU552" s="2927"/>
      <c r="AV552" s="794">
        <f t="shared" si="298"/>
        <v>0</v>
      </c>
      <c r="AW552" s="794">
        <f t="shared" si="299"/>
        <v>0</v>
      </c>
      <c r="AX552" s="794">
        <f t="shared" si="300"/>
        <v>0</v>
      </c>
      <c r="AY552" s="1462">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45">
        <f t="shared" si="325"/>
        <v>0</v>
      </c>
    </row>
    <row r="553" spans="1:72">
      <c r="A553" s="1526"/>
      <c r="B553" s="1534"/>
      <c r="C553" s="1534"/>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899"/>
      <c r="AU553" s="2927"/>
      <c r="AV553" s="794">
        <f t="shared" ref="AV553:AV587" si="330">A553</f>
        <v>0</v>
      </c>
      <c r="AW553" s="794">
        <f t="shared" ref="AW553:AW587" si="331">B553</f>
        <v>0</v>
      </c>
      <c r="AX553" s="794">
        <f t="shared" ref="AX553:AX587" si="332">C553</f>
        <v>0</v>
      </c>
      <c r="AY553" s="1462">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45">
        <f t="shared" ref="BT553:BT587" si="354">IF($D553="是",AR553-AS553,0)</f>
        <v>0</v>
      </c>
    </row>
    <row r="554" spans="1:72">
      <c r="A554" s="1526"/>
      <c r="B554" s="1534"/>
      <c r="C554" s="1534"/>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899"/>
      <c r="AU554" s="2927"/>
      <c r="AV554" s="794">
        <f t="shared" si="330"/>
        <v>0</v>
      </c>
      <c r="AW554" s="794">
        <f t="shared" si="331"/>
        <v>0</v>
      </c>
      <c r="AX554" s="794">
        <f t="shared" si="332"/>
        <v>0</v>
      </c>
      <c r="AY554" s="1462">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45">
        <f t="shared" si="354"/>
        <v>0</v>
      </c>
    </row>
    <row r="555" spans="1:72">
      <c r="A555" s="1526"/>
      <c r="B555" s="1534"/>
      <c r="C555" s="1534"/>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899"/>
      <c r="AU555" s="2927"/>
      <c r="AV555" s="794">
        <f t="shared" si="330"/>
        <v>0</v>
      </c>
      <c r="AW555" s="794">
        <f t="shared" si="331"/>
        <v>0</v>
      </c>
      <c r="AX555" s="794">
        <f t="shared" si="332"/>
        <v>0</v>
      </c>
      <c r="AY555" s="1462">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45">
        <f t="shared" si="354"/>
        <v>0</v>
      </c>
    </row>
    <row r="556" spans="1:72">
      <c r="A556" s="1526"/>
      <c r="B556" s="1534"/>
      <c r="C556" s="1534"/>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899"/>
      <c r="AU556" s="2927"/>
      <c r="AV556" s="794">
        <f t="shared" si="330"/>
        <v>0</v>
      </c>
      <c r="AW556" s="794">
        <f t="shared" si="331"/>
        <v>0</v>
      </c>
      <c r="AX556" s="794">
        <f t="shared" si="332"/>
        <v>0</v>
      </c>
      <c r="AY556" s="1462">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45">
        <f t="shared" si="354"/>
        <v>0</v>
      </c>
    </row>
    <row r="557" spans="1:72">
      <c r="A557" s="1526"/>
      <c r="B557" s="1534"/>
      <c r="C557" s="1534"/>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899"/>
      <c r="AU557" s="2927"/>
      <c r="AV557" s="794">
        <f t="shared" si="330"/>
        <v>0</v>
      </c>
      <c r="AW557" s="794">
        <f t="shared" si="331"/>
        <v>0</v>
      </c>
      <c r="AX557" s="794">
        <f t="shared" si="332"/>
        <v>0</v>
      </c>
      <c r="AY557" s="1462">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45">
        <f t="shared" si="354"/>
        <v>0</v>
      </c>
    </row>
    <row r="558" spans="1:72">
      <c r="A558" s="1526"/>
      <c r="B558" s="1534"/>
      <c r="C558" s="1534"/>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899"/>
      <c r="AU558" s="2927"/>
      <c r="AV558" s="794">
        <f t="shared" si="330"/>
        <v>0</v>
      </c>
      <c r="AW558" s="794">
        <f t="shared" si="331"/>
        <v>0</v>
      </c>
      <c r="AX558" s="794">
        <f t="shared" si="332"/>
        <v>0</v>
      </c>
      <c r="AY558" s="1462">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45">
        <f t="shared" si="354"/>
        <v>0</v>
      </c>
    </row>
    <row r="559" spans="1:72">
      <c r="A559" s="1526"/>
      <c r="B559" s="1534"/>
      <c r="C559" s="1534"/>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899"/>
      <c r="AU559" s="2927"/>
      <c r="AV559" s="794">
        <f t="shared" si="330"/>
        <v>0</v>
      </c>
      <c r="AW559" s="794">
        <f t="shared" si="331"/>
        <v>0</v>
      </c>
      <c r="AX559" s="794">
        <f t="shared" si="332"/>
        <v>0</v>
      </c>
      <c r="AY559" s="1462">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45">
        <f t="shared" si="354"/>
        <v>0</v>
      </c>
    </row>
    <row r="560" spans="1:72">
      <c r="A560" s="1526"/>
      <c r="B560" s="1534"/>
      <c r="C560" s="1534"/>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899"/>
      <c r="AU560" s="2927"/>
      <c r="AV560" s="794">
        <f t="shared" si="330"/>
        <v>0</v>
      </c>
      <c r="AW560" s="794">
        <f t="shared" si="331"/>
        <v>0</v>
      </c>
      <c r="AX560" s="794">
        <f t="shared" si="332"/>
        <v>0</v>
      </c>
      <c r="AY560" s="1462">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45">
        <f t="shared" si="354"/>
        <v>0</v>
      </c>
    </row>
    <row r="561" spans="1:72">
      <c r="A561" s="1526"/>
      <c r="B561" s="1534"/>
      <c r="C561" s="1534"/>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899"/>
      <c r="AU561" s="2927"/>
      <c r="AV561" s="794">
        <f t="shared" si="330"/>
        <v>0</v>
      </c>
      <c r="AW561" s="794">
        <f t="shared" si="331"/>
        <v>0</v>
      </c>
      <c r="AX561" s="794">
        <f t="shared" si="332"/>
        <v>0</v>
      </c>
      <c r="AY561" s="1462">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45">
        <f t="shared" si="354"/>
        <v>0</v>
      </c>
    </row>
    <row r="562" spans="1:72">
      <c r="A562" s="1526"/>
      <c r="B562" s="1534"/>
      <c r="C562" s="1534"/>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899"/>
      <c r="AU562" s="2927"/>
      <c r="AV562" s="794">
        <f t="shared" si="330"/>
        <v>0</v>
      </c>
      <c r="AW562" s="794">
        <f t="shared" si="331"/>
        <v>0</v>
      </c>
      <c r="AX562" s="794">
        <f t="shared" si="332"/>
        <v>0</v>
      </c>
      <c r="AY562" s="1462">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45">
        <f t="shared" si="354"/>
        <v>0</v>
      </c>
    </row>
    <row r="563" spans="1:72">
      <c r="A563" s="1526"/>
      <c r="B563" s="1534"/>
      <c r="C563" s="1534"/>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899"/>
      <c r="AU563" s="2927"/>
      <c r="AV563" s="794">
        <f t="shared" si="330"/>
        <v>0</v>
      </c>
      <c r="AW563" s="794">
        <f t="shared" si="331"/>
        <v>0</v>
      </c>
      <c r="AX563" s="794">
        <f t="shared" si="332"/>
        <v>0</v>
      </c>
      <c r="AY563" s="1462">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45">
        <f t="shared" si="354"/>
        <v>0</v>
      </c>
    </row>
    <row r="564" spans="1:72">
      <c r="A564" s="1526"/>
      <c r="B564" s="1534"/>
      <c r="C564" s="1534"/>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899"/>
      <c r="AU564" s="2927"/>
      <c r="AV564" s="794">
        <f t="shared" si="330"/>
        <v>0</v>
      </c>
      <c r="AW564" s="794">
        <f t="shared" si="331"/>
        <v>0</v>
      </c>
      <c r="AX564" s="794">
        <f t="shared" si="332"/>
        <v>0</v>
      </c>
      <c r="AY564" s="1462">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45">
        <f t="shared" si="354"/>
        <v>0</v>
      </c>
    </row>
    <row r="565" spans="1:72">
      <c r="A565" s="1526"/>
      <c r="B565" s="1534"/>
      <c r="C565" s="1534"/>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899"/>
      <c r="AU565" s="2927"/>
      <c r="AV565" s="794">
        <f t="shared" si="330"/>
        <v>0</v>
      </c>
      <c r="AW565" s="794">
        <f t="shared" si="331"/>
        <v>0</v>
      </c>
      <c r="AX565" s="794">
        <f t="shared" si="332"/>
        <v>0</v>
      </c>
      <c r="AY565" s="1462">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45">
        <f t="shared" si="354"/>
        <v>0</v>
      </c>
    </row>
    <row r="566" spans="1:72">
      <c r="A566" s="1526"/>
      <c r="B566" s="1534"/>
      <c r="C566" s="1534"/>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899"/>
      <c r="AU566" s="2927"/>
      <c r="AV566" s="794">
        <f t="shared" si="330"/>
        <v>0</v>
      </c>
      <c r="AW566" s="794">
        <f t="shared" si="331"/>
        <v>0</v>
      </c>
      <c r="AX566" s="794">
        <f t="shared" si="332"/>
        <v>0</v>
      </c>
      <c r="AY566" s="1462">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45">
        <f t="shared" si="354"/>
        <v>0</v>
      </c>
    </row>
    <row r="567" spans="1:72">
      <c r="A567" s="1526"/>
      <c r="B567" s="1534"/>
      <c r="C567" s="1534"/>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899"/>
      <c r="AU567" s="2927"/>
      <c r="AV567" s="794">
        <f t="shared" si="330"/>
        <v>0</v>
      </c>
      <c r="AW567" s="794">
        <f t="shared" si="331"/>
        <v>0</v>
      </c>
      <c r="AX567" s="794">
        <f t="shared" si="332"/>
        <v>0</v>
      </c>
      <c r="AY567" s="1462">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45">
        <f t="shared" si="354"/>
        <v>0</v>
      </c>
    </row>
    <row r="568" spans="1:72">
      <c r="A568" s="1526"/>
      <c r="B568" s="1534"/>
      <c r="C568" s="1534"/>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899"/>
      <c r="AU568" s="2927"/>
      <c r="AV568" s="794">
        <f t="shared" si="330"/>
        <v>0</v>
      </c>
      <c r="AW568" s="794">
        <f t="shared" si="331"/>
        <v>0</v>
      </c>
      <c r="AX568" s="794">
        <f t="shared" si="332"/>
        <v>0</v>
      </c>
      <c r="AY568" s="1462">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45">
        <f t="shared" si="354"/>
        <v>0</v>
      </c>
    </row>
    <row r="569" spans="1:72">
      <c r="A569" s="1526"/>
      <c r="B569" s="1534"/>
      <c r="C569" s="1534"/>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899"/>
      <c r="AU569" s="2927"/>
      <c r="AV569" s="794">
        <f t="shared" si="330"/>
        <v>0</v>
      </c>
      <c r="AW569" s="794">
        <f t="shared" si="331"/>
        <v>0</v>
      </c>
      <c r="AX569" s="794">
        <f t="shared" si="332"/>
        <v>0</v>
      </c>
      <c r="AY569" s="1462">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45">
        <f t="shared" si="354"/>
        <v>0</v>
      </c>
    </row>
    <row r="570" spans="1:72">
      <c r="A570" s="1526"/>
      <c r="B570" s="1534"/>
      <c r="C570" s="1534"/>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899"/>
      <c r="AU570" s="2927"/>
      <c r="AV570" s="794">
        <f t="shared" si="330"/>
        <v>0</v>
      </c>
      <c r="AW570" s="794">
        <f t="shared" si="331"/>
        <v>0</v>
      </c>
      <c r="AX570" s="794">
        <f t="shared" si="332"/>
        <v>0</v>
      </c>
      <c r="AY570" s="1462">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45">
        <f t="shared" si="354"/>
        <v>0</v>
      </c>
    </row>
    <row r="571" spans="1:72">
      <c r="A571" s="1526"/>
      <c r="B571" s="1534"/>
      <c r="C571" s="1534"/>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899"/>
      <c r="AU571" s="2927"/>
      <c r="AV571" s="794">
        <f t="shared" si="330"/>
        <v>0</v>
      </c>
      <c r="AW571" s="794">
        <f t="shared" si="331"/>
        <v>0</v>
      </c>
      <c r="AX571" s="794">
        <f t="shared" si="332"/>
        <v>0</v>
      </c>
      <c r="AY571" s="1462">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45">
        <f t="shared" si="354"/>
        <v>0</v>
      </c>
    </row>
    <row r="572" spans="1:72">
      <c r="A572" s="1526"/>
      <c r="B572" s="1534"/>
      <c r="C572" s="1534"/>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899"/>
      <c r="AU572" s="2927"/>
      <c r="AV572" s="794">
        <f t="shared" si="330"/>
        <v>0</v>
      </c>
      <c r="AW572" s="794">
        <f t="shared" si="331"/>
        <v>0</v>
      </c>
      <c r="AX572" s="794">
        <f t="shared" si="332"/>
        <v>0</v>
      </c>
      <c r="AY572" s="1462">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45">
        <f t="shared" si="354"/>
        <v>0</v>
      </c>
    </row>
    <row r="573" spans="1:72">
      <c r="A573" s="1526"/>
      <c r="B573" s="1534"/>
      <c r="C573" s="1534"/>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899"/>
      <c r="AU573" s="2927"/>
      <c r="AV573" s="794">
        <f t="shared" si="330"/>
        <v>0</v>
      </c>
      <c r="AW573" s="794">
        <f t="shared" si="331"/>
        <v>0</v>
      </c>
      <c r="AX573" s="794">
        <f t="shared" si="332"/>
        <v>0</v>
      </c>
      <c r="AY573" s="1462">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45">
        <f t="shared" si="354"/>
        <v>0</v>
      </c>
    </row>
    <row r="574" spans="1:72">
      <c r="A574" s="1526"/>
      <c r="B574" s="1534"/>
      <c r="C574" s="1534"/>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899"/>
      <c r="AU574" s="2927"/>
      <c r="AV574" s="794">
        <f t="shared" si="330"/>
        <v>0</v>
      </c>
      <c r="AW574" s="794">
        <f t="shared" si="331"/>
        <v>0</v>
      </c>
      <c r="AX574" s="794">
        <f t="shared" si="332"/>
        <v>0</v>
      </c>
      <c r="AY574" s="1462">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45">
        <f t="shared" si="354"/>
        <v>0</v>
      </c>
    </row>
    <row r="575" spans="1:72">
      <c r="A575" s="1526"/>
      <c r="B575" s="1534"/>
      <c r="C575" s="1534"/>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899"/>
      <c r="AU575" s="2927"/>
      <c r="AV575" s="794">
        <f t="shared" si="330"/>
        <v>0</v>
      </c>
      <c r="AW575" s="794">
        <f t="shared" si="331"/>
        <v>0</v>
      </c>
      <c r="AX575" s="794">
        <f t="shared" si="332"/>
        <v>0</v>
      </c>
      <c r="AY575" s="1462">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45">
        <f t="shared" si="354"/>
        <v>0</v>
      </c>
    </row>
    <row r="576" spans="1:72">
      <c r="A576" s="1526"/>
      <c r="B576" s="1534"/>
      <c r="C576" s="1534"/>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899"/>
      <c r="AU576" s="2927"/>
      <c r="AV576" s="794">
        <f t="shared" si="330"/>
        <v>0</v>
      </c>
      <c r="AW576" s="794">
        <f t="shared" si="331"/>
        <v>0</v>
      </c>
      <c r="AX576" s="794">
        <f t="shared" si="332"/>
        <v>0</v>
      </c>
      <c r="AY576" s="1462">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45">
        <f t="shared" si="354"/>
        <v>0</v>
      </c>
    </row>
    <row r="577" spans="1:72">
      <c r="A577" s="1526"/>
      <c r="B577" s="1534"/>
      <c r="C577" s="1534"/>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899"/>
      <c r="AU577" s="2927"/>
      <c r="AV577" s="794">
        <f t="shared" si="330"/>
        <v>0</v>
      </c>
      <c r="AW577" s="794">
        <f t="shared" si="331"/>
        <v>0</v>
      </c>
      <c r="AX577" s="794">
        <f t="shared" si="332"/>
        <v>0</v>
      </c>
      <c r="AY577" s="1462">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45">
        <f t="shared" si="354"/>
        <v>0</v>
      </c>
    </row>
    <row r="578" spans="1:72">
      <c r="A578" s="1526"/>
      <c r="B578" s="1534"/>
      <c r="C578" s="1534"/>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899"/>
      <c r="AU578" s="2927"/>
      <c r="AV578" s="794">
        <f t="shared" si="330"/>
        <v>0</v>
      </c>
      <c r="AW578" s="794">
        <f t="shared" si="331"/>
        <v>0</v>
      </c>
      <c r="AX578" s="794">
        <f t="shared" si="332"/>
        <v>0</v>
      </c>
      <c r="AY578" s="1462">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45">
        <f t="shared" si="354"/>
        <v>0</v>
      </c>
    </row>
    <row r="579" spans="1:72">
      <c r="A579" s="1526"/>
      <c r="B579" s="1534"/>
      <c r="C579" s="1534"/>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899"/>
      <c r="AU579" s="2927"/>
      <c r="AV579" s="794">
        <f t="shared" si="330"/>
        <v>0</v>
      </c>
      <c r="AW579" s="794">
        <f t="shared" si="331"/>
        <v>0</v>
      </c>
      <c r="AX579" s="794">
        <f t="shared" si="332"/>
        <v>0</v>
      </c>
      <c r="AY579" s="1462">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45">
        <f t="shared" si="354"/>
        <v>0</v>
      </c>
    </row>
    <row r="580" spans="1:72">
      <c r="A580" s="1526"/>
      <c r="B580" s="1534"/>
      <c r="C580" s="1534"/>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899"/>
      <c r="AU580" s="2927"/>
      <c r="AV580" s="794">
        <f t="shared" si="330"/>
        <v>0</v>
      </c>
      <c r="AW580" s="794">
        <f t="shared" si="331"/>
        <v>0</v>
      </c>
      <c r="AX580" s="794">
        <f t="shared" si="332"/>
        <v>0</v>
      </c>
      <c r="AY580" s="1462">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45">
        <f t="shared" si="354"/>
        <v>0</v>
      </c>
    </row>
    <row r="581" spans="1:72">
      <c r="A581" s="1526"/>
      <c r="B581" s="1534"/>
      <c r="C581" s="1534"/>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899"/>
      <c r="AU581" s="2927"/>
      <c r="AV581" s="794">
        <f t="shared" si="330"/>
        <v>0</v>
      </c>
      <c r="AW581" s="794">
        <f t="shared" si="331"/>
        <v>0</v>
      </c>
      <c r="AX581" s="794">
        <f t="shared" si="332"/>
        <v>0</v>
      </c>
      <c r="AY581" s="1462">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45">
        <f t="shared" si="354"/>
        <v>0</v>
      </c>
    </row>
    <row r="582" spans="1:72">
      <c r="A582" s="1526"/>
      <c r="B582" s="1534"/>
      <c r="C582" s="1534"/>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899"/>
      <c r="AU582" s="2927"/>
      <c r="AV582" s="794">
        <f t="shared" si="330"/>
        <v>0</v>
      </c>
      <c r="AW582" s="794">
        <f t="shared" si="331"/>
        <v>0</v>
      </c>
      <c r="AX582" s="794">
        <f t="shared" si="332"/>
        <v>0</v>
      </c>
      <c r="AY582" s="1462">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45">
        <f t="shared" si="354"/>
        <v>0</v>
      </c>
    </row>
    <row r="583" spans="1:72">
      <c r="A583" s="1526"/>
      <c r="B583" s="1534"/>
      <c r="C583" s="1534"/>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899"/>
      <c r="AU583" s="2927"/>
      <c r="AV583" s="794">
        <f t="shared" si="330"/>
        <v>0</v>
      </c>
      <c r="AW583" s="794">
        <f t="shared" si="331"/>
        <v>0</v>
      </c>
      <c r="AX583" s="794">
        <f t="shared" si="332"/>
        <v>0</v>
      </c>
      <c r="AY583" s="1462">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45">
        <f t="shared" si="354"/>
        <v>0</v>
      </c>
    </row>
    <row r="584" spans="1:72">
      <c r="A584" s="1526"/>
      <c r="B584" s="1534"/>
      <c r="C584" s="1534"/>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899"/>
      <c r="AU584" s="2927"/>
      <c r="AV584" s="794">
        <f t="shared" si="330"/>
        <v>0</v>
      </c>
      <c r="AW584" s="794">
        <f t="shared" si="331"/>
        <v>0</v>
      </c>
      <c r="AX584" s="794">
        <f t="shared" si="332"/>
        <v>0</v>
      </c>
      <c r="AY584" s="1462">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45">
        <f t="shared" si="354"/>
        <v>0</v>
      </c>
    </row>
    <row r="585" spans="1:72">
      <c r="A585" s="1526"/>
      <c r="B585" s="1526"/>
      <c r="C585" s="1526"/>
      <c r="D585" s="2897"/>
      <c r="E585" s="2898">
        <f t="shared" si="326"/>
        <v>0</v>
      </c>
      <c r="F585" s="2918"/>
      <c r="G585" s="2900">
        <f t="shared" si="327"/>
        <v>0</v>
      </c>
      <c r="H585" s="2901">
        <f t="shared" si="328"/>
        <v>0</v>
      </c>
      <c r="I585" s="2946"/>
      <c r="J585" s="2946"/>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1569"/>
      <c r="AV585" s="794">
        <f t="shared" si="330"/>
        <v>0</v>
      </c>
      <c r="AW585" s="794">
        <f t="shared" si="331"/>
        <v>0</v>
      </c>
      <c r="AX585" s="794">
        <f t="shared" si="332"/>
        <v>0</v>
      </c>
      <c r="AY585" s="1462">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45">
        <f t="shared" si="354"/>
        <v>0</v>
      </c>
    </row>
    <row r="586" spans="1:72">
      <c r="A586" s="1526"/>
      <c r="B586" s="1526"/>
      <c r="C586" s="1526"/>
      <c r="D586" s="2897"/>
      <c r="E586" s="2898">
        <f t="shared" si="326"/>
        <v>0</v>
      </c>
      <c r="F586" s="2918"/>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1569"/>
      <c r="AV586" s="794">
        <f t="shared" si="330"/>
        <v>0</v>
      </c>
      <c r="AW586" s="794">
        <f t="shared" si="331"/>
        <v>0</v>
      </c>
      <c r="AX586" s="794">
        <f t="shared" si="332"/>
        <v>0</v>
      </c>
      <c r="AY586" s="1462">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45">
        <f t="shared" si="354"/>
        <v>0</v>
      </c>
    </row>
    <row r="587" spans="1:72">
      <c r="A587" s="1526"/>
      <c r="B587" s="1526"/>
      <c r="C587" s="1526"/>
      <c r="D587" s="2897"/>
      <c r="E587" s="2898">
        <f t="shared" si="326"/>
        <v>0</v>
      </c>
      <c r="F587" s="2918"/>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1569"/>
      <c r="AV587" s="794">
        <f t="shared" si="330"/>
        <v>0</v>
      </c>
      <c r="AW587" s="794">
        <f t="shared" si="331"/>
        <v>0</v>
      </c>
      <c r="AX587" s="794">
        <f t="shared" si="332"/>
        <v>0</v>
      </c>
      <c r="AY587" s="1462">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45">
        <f t="shared" si="354"/>
        <v>0</v>
      </c>
    </row>
    <row r="588" spans="1:72">
      <c r="E588" s="2947"/>
      <c r="F588" s="2947"/>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row>
    <row r="589" spans="1:72" s="2868" customFormat="1">
      <c r="C589" s="2948"/>
      <c r="D589" s="2948"/>
    </row>
    <row r="590" spans="1:72" s="2868" customFormat="1">
      <c r="C590" s="2948"/>
      <c r="D590" s="2948"/>
    </row>
    <row r="593" spans="2:2">
      <c r="B593" s="2948"/>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pageSetUpPr fitToPage="1"/>
  </sheetPr>
  <dimension ref="A1:S37"/>
  <sheetViews>
    <sheetView view="pageBreakPreview" zoomScale="85" zoomScaleNormal="100" workbookViewId="0">
      <selection activeCell="F49" sqref="F49"/>
    </sheetView>
  </sheetViews>
  <sheetFormatPr defaultColWidth="9.25" defaultRowHeight="14.25"/>
  <cols>
    <col min="1" max="1" width="12.125" style="2568" customWidth="1"/>
    <col min="2" max="2" width="10.25" style="2568" customWidth="1"/>
    <col min="3" max="3" width="18.5" style="2568" customWidth="1"/>
    <col min="4" max="4" width="11.625" style="2568" customWidth="1"/>
    <col min="5" max="5" width="13.375" style="2568" customWidth="1"/>
    <col min="6" max="8" width="11.5" style="2568" customWidth="1"/>
    <col min="9" max="9" width="11.125" style="2568" customWidth="1"/>
    <col min="10" max="10" width="3.125" style="2568" customWidth="1"/>
    <col min="11" max="16" width="10" style="2568" customWidth="1"/>
    <col min="17" max="17" width="2.625" style="2568" customWidth="1"/>
    <col min="18" max="18" width="9.375" style="2568" customWidth="1"/>
    <col min="19" max="19" width="10.5" style="2568" customWidth="1"/>
    <col min="20" max="16384" width="9.25" style="2568"/>
  </cols>
  <sheetData>
    <row r="1" spans="1:16" ht="18.75">
      <c r="A1" s="2289" t="s">
        <v>610</v>
      </c>
      <c r="B1" s="2358"/>
      <c r="C1" s="2358"/>
      <c r="D1" s="2358"/>
      <c r="E1" s="2358"/>
      <c r="F1" s="2358"/>
      <c r="G1" s="2358"/>
      <c r="H1" s="2358"/>
      <c r="I1" s="2358"/>
      <c r="J1" s="2358"/>
      <c r="K1" s="2358"/>
      <c r="L1" s="2358"/>
      <c r="M1" s="2358"/>
      <c r="N1" s="2358"/>
      <c r="O1" s="2358"/>
      <c r="P1" s="2358"/>
    </row>
    <row r="2" spans="1:16" ht="15">
      <c r="A2" s="3325" t="s">
        <v>611</v>
      </c>
      <c r="B2" s="3325"/>
      <c r="C2" s="3325"/>
      <c r="D2" s="2138" t="s">
        <v>612</v>
      </c>
      <c r="E2" s="2804" t="s">
        <v>613</v>
      </c>
      <c r="F2" s="2661"/>
      <c r="G2" s="2805"/>
      <c r="H2" s="2806"/>
      <c r="I2" s="2500" t="s">
        <v>614</v>
      </c>
      <c r="J2" s="2661"/>
      <c r="K2" s="2661"/>
      <c r="L2" s="2661"/>
      <c r="M2" s="2661"/>
      <c r="N2" s="1464"/>
      <c r="O2" s="2661"/>
      <c r="P2" s="2661"/>
    </row>
    <row r="3" spans="1:16" ht="15">
      <c r="A3" s="3326" t="s">
        <v>615</v>
      </c>
      <c r="B3" s="3326"/>
      <c r="C3" s="3326"/>
      <c r="D3" s="2807">
        <f>'数据-基础表'!AY6</f>
        <v>12590.6</v>
      </c>
      <c r="E3" s="2807">
        <f>'数据-基础表'!AZ5</f>
        <v>65221.919999999998</v>
      </c>
      <c r="F3" s="2661"/>
      <c r="G3" s="2808"/>
      <c r="H3" s="2311" t="s">
        <v>616</v>
      </c>
      <c r="I3" s="2219">
        <f>ROUND('数据-基础表'!B3/'数据-基础表'!A3,2)</f>
        <v>5.18</v>
      </c>
      <c r="J3" s="2661"/>
      <c r="K3" s="2661"/>
      <c r="L3" s="2661"/>
      <c r="M3" s="2661"/>
      <c r="N3" s="1464"/>
      <c r="O3" s="2661"/>
      <c r="P3" s="2661"/>
    </row>
    <row r="4" spans="1:16" ht="15">
      <c r="A4" s="3327"/>
      <c r="B4" s="3328"/>
      <c r="C4" s="3329"/>
      <c r="D4" s="2809" t="s">
        <v>612</v>
      </c>
      <c r="E4" s="2810" t="s">
        <v>613</v>
      </c>
      <c r="F4" s="2661"/>
      <c r="G4" s="2811" t="s">
        <v>617</v>
      </c>
      <c r="H4" s="2311" t="s">
        <v>618</v>
      </c>
      <c r="I4" s="2219">
        <f>ROUND(SUMIF('数据-基础表'!I9:AS9,"地上",'数据-基础表'!I5:AS5)/'数据-基础表'!A3,2)</f>
        <v>4.32</v>
      </c>
      <c r="J4" s="2661"/>
      <c r="K4" s="2661"/>
      <c r="L4" s="2661"/>
      <c r="M4" s="2661"/>
      <c r="N4" s="1464"/>
      <c r="O4" s="2661"/>
      <c r="P4" s="2661"/>
    </row>
    <row r="5" spans="1:16">
      <c r="A5" s="2808" t="s">
        <v>619</v>
      </c>
      <c r="B5" s="3330" t="s">
        <v>620</v>
      </c>
      <c r="C5" s="3330"/>
      <c r="D5" s="2311">
        <f>ROUND($D$3*E5/$E$3,2)</f>
        <v>0</v>
      </c>
      <c r="E5" s="2812">
        <f>SUMIF('数据-基础表'!$11:$11,"住宅",'数据-基础表'!$5:$5)</f>
        <v>0</v>
      </c>
      <c r="F5" s="2661"/>
      <c r="G5" s="2808"/>
      <c r="H5" s="2311" t="s">
        <v>616</v>
      </c>
      <c r="I5" s="2219">
        <f>ROUND(E31/D31,2)</f>
        <v>5.18</v>
      </c>
      <c r="J5" s="2661"/>
      <c r="K5" s="2661"/>
      <c r="L5" s="2661"/>
      <c r="M5" s="2661"/>
      <c r="N5" s="2661"/>
      <c r="O5" s="2661"/>
      <c r="P5" s="2661"/>
    </row>
    <row r="6" spans="1:16">
      <c r="A6" s="2813"/>
      <c r="B6" s="3330" t="s">
        <v>621</v>
      </c>
      <c r="C6" s="3330"/>
      <c r="D6" s="2311">
        <f>ROUND($D$3*E6/$E$3,2)</f>
        <v>12590.6</v>
      </c>
      <c r="E6" s="2812">
        <f>E3-E5</f>
        <v>65221.919999999998</v>
      </c>
      <c r="F6" s="2661"/>
      <c r="G6" s="2814" t="s">
        <v>622</v>
      </c>
      <c r="H6" s="2815" t="s">
        <v>618</v>
      </c>
      <c r="I6" s="2854">
        <f>ROUND(F31/D31,2)</f>
        <v>4.32</v>
      </c>
      <c r="J6" s="2661"/>
      <c r="K6" s="2661"/>
      <c r="L6" s="2661"/>
      <c r="M6" s="2661"/>
      <c r="N6" s="2661"/>
      <c r="O6" s="2661"/>
      <c r="P6" s="2661"/>
    </row>
    <row r="7" spans="1:16" ht="15">
      <c r="A7" s="3316"/>
      <c r="B7" s="3317"/>
      <c r="C7" s="3318"/>
      <c r="D7" s="2809" t="s">
        <v>612</v>
      </c>
      <c r="E7" s="2816" t="s">
        <v>623</v>
      </c>
      <c r="F7" s="2661"/>
      <c r="G7" s="2817" t="s">
        <v>624</v>
      </c>
      <c r="H7" s="2782"/>
      <c r="I7" s="2855"/>
      <c r="J7" s="2661"/>
      <c r="K7" s="2661"/>
      <c r="L7" s="2661"/>
      <c r="M7" s="2661"/>
      <c r="N7" s="2661"/>
      <c r="O7" s="2661"/>
      <c r="P7" s="2661"/>
    </row>
    <row r="8" spans="1:16">
      <c r="A8" s="2808" t="s">
        <v>625</v>
      </c>
      <c r="B8" s="2815" t="s">
        <v>626</v>
      </c>
      <c r="C8" s="2311" t="s">
        <v>627</v>
      </c>
      <c r="D8" s="2311">
        <f t="shared" ref="D8:D15" si="0">ROUND($D$3*E8/$E$3,2)</f>
        <v>10438.15</v>
      </c>
      <c r="E8" s="2818">
        <f>SUMIF('数据-基础表'!BB10:BK10,"地上",'数据-基础表'!BB5:BK5)</f>
        <v>54071.78</v>
      </c>
      <c r="F8" s="2661"/>
      <c r="G8" s="2661"/>
      <c r="H8" s="2661"/>
      <c r="I8" s="2661"/>
      <c r="J8" s="2661"/>
      <c r="K8" s="2661"/>
      <c r="L8" s="2661"/>
      <c r="M8" s="2661"/>
      <c r="N8" s="2661"/>
      <c r="O8" s="2661"/>
      <c r="P8" s="2661"/>
    </row>
    <row r="9" spans="1:16">
      <c r="A9" s="2814"/>
      <c r="B9" s="2819"/>
      <c r="C9" s="2311" t="s">
        <v>628</v>
      </c>
      <c r="D9" s="2311">
        <f t="shared" si="0"/>
        <v>0</v>
      </c>
      <c r="E9" s="2820">
        <v>0</v>
      </c>
      <c r="F9" s="2661"/>
      <c r="G9" s="2661"/>
      <c r="H9" s="2661"/>
      <c r="I9" s="2661"/>
      <c r="J9" s="2661"/>
      <c r="K9" s="2661"/>
      <c r="L9" s="2661"/>
      <c r="M9" s="2661"/>
      <c r="N9" s="2661"/>
      <c r="O9" s="2661"/>
      <c r="P9" s="2661"/>
    </row>
    <row r="10" spans="1:16">
      <c r="A10" s="2814"/>
      <c r="B10" s="2819"/>
      <c r="C10" s="2311" t="s">
        <v>629</v>
      </c>
      <c r="D10" s="2311">
        <f t="shared" si="0"/>
        <v>0</v>
      </c>
      <c r="E10" s="2818">
        <f>SUMPRODUCT(('数据-基础表'!BB10:BK10="地下")*('数据-基础表'!BB11:BK11="商业")*('数据-基础表'!BB5:BK5))</f>
        <v>0</v>
      </c>
      <c r="F10" s="2661"/>
      <c r="G10" s="2661"/>
      <c r="H10" s="2661"/>
      <c r="I10" s="2661"/>
      <c r="J10" s="2661"/>
      <c r="K10" s="2661"/>
      <c r="L10" s="2661"/>
      <c r="M10" s="2661"/>
      <c r="N10" s="2661"/>
      <c r="O10" s="2661"/>
      <c r="P10" s="2661"/>
    </row>
    <row r="11" spans="1:16">
      <c r="A11" s="2814"/>
      <c r="B11" s="2819"/>
      <c r="C11" s="2311" t="s">
        <v>630</v>
      </c>
      <c r="D11" s="2311">
        <f t="shared" si="0"/>
        <v>0</v>
      </c>
      <c r="E11" s="2818">
        <f>SUMPRODUCT(('数据-基础表'!BB10:BK10="地下")*('数据-基础表'!BB11:BK11="办公")*('数据-基础表'!BB5:BK5))+'数据-基础表'!BP5</f>
        <v>0</v>
      </c>
      <c r="F11" s="2661"/>
      <c r="G11" s="2661"/>
      <c r="H11" s="2661"/>
      <c r="I11" s="2661"/>
      <c r="J11" s="2661"/>
      <c r="K11" s="2661"/>
      <c r="L11" s="2661"/>
      <c r="M11" s="2661"/>
      <c r="N11" s="2661"/>
      <c r="O11" s="2661"/>
      <c r="P11" s="2661"/>
    </row>
    <row r="12" spans="1:16">
      <c r="A12" s="2814"/>
      <c r="B12" s="2819"/>
      <c r="C12" s="2311" t="s">
        <v>631</v>
      </c>
      <c r="D12" s="2311">
        <f t="shared" si="0"/>
        <v>0</v>
      </c>
      <c r="E12" s="2818">
        <f>SUMPRODUCT(('数据-基础表'!BB10:BK10="地下")*('数据-基础表'!BB11:BK11="仓储")*('数据-基础表'!BB5:BK5))</f>
        <v>0</v>
      </c>
      <c r="F12" s="2661"/>
      <c r="G12" s="2661"/>
      <c r="H12" s="2661"/>
      <c r="I12" s="2661"/>
      <c r="J12" s="2661"/>
      <c r="K12" s="2661"/>
      <c r="L12" s="2661"/>
      <c r="M12" s="2661"/>
      <c r="N12" s="2661"/>
      <c r="O12" s="2661"/>
      <c r="P12" s="2661"/>
    </row>
    <row r="13" spans="1:16">
      <c r="A13" s="2814"/>
      <c r="B13" s="2819"/>
      <c r="C13" s="2311" t="s">
        <v>632</v>
      </c>
      <c r="D13" s="2311">
        <f t="shared" si="0"/>
        <v>2080.3200000000002</v>
      </c>
      <c r="E13" s="2818">
        <f>SUMPRODUCT(('数据-基础表'!BB10:BK10="地下")*('数据-基础表'!BB11:BK11="车库")*('数据-基础表'!BB5:BK5))</f>
        <v>10776.5</v>
      </c>
      <c r="F13" s="2661"/>
      <c r="G13" s="2661"/>
      <c r="H13" s="2661"/>
      <c r="I13" s="2661"/>
      <c r="J13" s="2661"/>
      <c r="K13" s="2661"/>
      <c r="L13" s="2661"/>
      <c r="M13" s="2661"/>
      <c r="N13" s="2661"/>
      <c r="O13" s="2661"/>
      <c r="P13" s="2661"/>
    </row>
    <row r="14" spans="1:16">
      <c r="A14" s="2814"/>
      <c r="B14" s="2819"/>
      <c r="C14" s="2311" t="s">
        <v>633</v>
      </c>
      <c r="D14" s="2311">
        <f t="shared" si="0"/>
        <v>0</v>
      </c>
      <c r="E14" s="2818">
        <f>SUMPRODUCT(('数据-基础表'!BB10:BK10="地下")*('数据-基础表'!BB11:BK11="车库—商业")*('数据-基础表'!BB5:BK5))</f>
        <v>0</v>
      </c>
      <c r="F14" s="2661"/>
      <c r="G14" s="2661"/>
      <c r="H14" s="2661"/>
      <c r="I14" s="2661"/>
      <c r="J14" s="2661"/>
      <c r="K14" s="2661"/>
      <c r="L14" s="2661"/>
      <c r="M14" s="2661"/>
      <c r="N14" s="2661"/>
      <c r="O14" s="2661"/>
      <c r="P14" s="2661"/>
    </row>
    <row r="15" spans="1:16">
      <c r="A15" s="2814"/>
      <c r="B15" s="2819"/>
      <c r="C15" s="2311" t="s">
        <v>634</v>
      </c>
      <c r="D15" s="2311">
        <f t="shared" si="0"/>
        <v>0</v>
      </c>
      <c r="E15" s="2818">
        <f>SUMPRODUCT(('数据-基础表'!BB10:BK10="地下")*('数据-基础表'!BB11:BK11="车库—办公")*('数据-基础表'!BB5:BK5))</f>
        <v>0</v>
      </c>
      <c r="F15" s="2661"/>
      <c r="G15" s="2661"/>
      <c r="H15" s="2661"/>
      <c r="I15" s="2661"/>
      <c r="J15" s="2661"/>
      <c r="K15" s="2661"/>
      <c r="L15" s="2661"/>
      <c r="M15" s="2661"/>
      <c r="N15" s="2661"/>
      <c r="O15" s="2661"/>
      <c r="P15" s="2661"/>
    </row>
    <row r="16" spans="1:16" ht="15">
      <c r="A16" s="2813"/>
      <c r="B16" s="2819"/>
      <c r="C16" s="2815" t="s">
        <v>635</v>
      </c>
      <c r="D16" s="2815">
        <f>SUM(D8:D15)</f>
        <v>12518.47</v>
      </c>
      <c r="E16" s="2821">
        <f>SUM(E8:E15)</f>
        <v>64848.28</v>
      </c>
      <c r="F16" s="2661"/>
      <c r="G16" s="2661"/>
      <c r="H16" s="2822" t="s">
        <v>636</v>
      </c>
      <c r="I16" s="2856"/>
      <c r="J16" s="2358"/>
      <c r="K16" s="3319" t="s">
        <v>636</v>
      </c>
      <c r="L16" s="3320"/>
      <c r="M16" s="3320"/>
      <c r="N16" s="3320"/>
      <c r="O16" s="3320"/>
      <c r="P16" s="3321"/>
    </row>
    <row r="17" spans="1:19" ht="15">
      <c r="A17" s="2773" t="s">
        <v>637</v>
      </c>
      <c r="B17" s="2823" t="s">
        <v>638</v>
      </c>
      <c r="C17" s="2332" t="s">
        <v>639</v>
      </c>
      <c r="D17" s="2824" t="s">
        <v>612</v>
      </c>
      <c r="E17" s="2825" t="s">
        <v>613</v>
      </c>
      <c r="F17" s="2826"/>
      <c r="G17" s="2827"/>
      <c r="H17" s="2828" t="s">
        <v>640</v>
      </c>
      <c r="I17" s="2857" t="s">
        <v>641</v>
      </c>
      <c r="J17" s="2358"/>
      <c r="K17" s="3322" t="s">
        <v>642</v>
      </c>
      <c r="L17" s="3323"/>
      <c r="M17" s="3324"/>
      <c r="N17" s="3322" t="s">
        <v>643</v>
      </c>
      <c r="O17" s="3323"/>
      <c r="P17" s="3324"/>
      <c r="R17" s="2173" t="s">
        <v>644</v>
      </c>
      <c r="S17" s="2301"/>
    </row>
    <row r="18" spans="1:19" ht="15">
      <c r="A18" s="2814"/>
      <c r="B18" s="2829"/>
      <c r="C18" s="2304"/>
      <c r="D18" s="2830"/>
      <c r="E18" s="2831" t="s">
        <v>645</v>
      </c>
      <c r="F18" s="2832" t="s">
        <v>618</v>
      </c>
      <c r="G18" s="2833" t="s">
        <v>646</v>
      </c>
      <c r="H18" s="2777" t="s">
        <v>647</v>
      </c>
      <c r="I18" s="2858" t="s">
        <v>648</v>
      </c>
      <c r="J18" s="2358"/>
      <c r="K18" s="2777" t="s">
        <v>649</v>
      </c>
      <c r="L18" s="2513" t="s">
        <v>650</v>
      </c>
      <c r="M18" s="2219" t="s">
        <v>651</v>
      </c>
      <c r="N18" s="2777" t="s">
        <v>649</v>
      </c>
      <c r="O18" s="2513" t="s">
        <v>650</v>
      </c>
      <c r="P18" s="2219" t="s">
        <v>651</v>
      </c>
      <c r="R18" s="2311" t="s">
        <v>647</v>
      </c>
      <c r="S18" s="2311" t="s">
        <v>648</v>
      </c>
    </row>
    <row r="19" spans="1:19">
      <c r="A19" s="2834"/>
      <c r="B19" s="2815" t="s">
        <v>652</v>
      </c>
      <c r="C19" s="2835" t="s">
        <v>230</v>
      </c>
      <c r="D19" s="2311">
        <f>ROUND($D$3*E19/$E$3,2)</f>
        <v>10438.15</v>
      </c>
      <c r="E19" s="2836">
        <f t="shared" ref="E19:E26" si="1">SUM(F19:G19)</f>
        <v>54071.78</v>
      </c>
      <c r="F19" s="2837">
        <f>'数据-基础表'!I13</f>
        <v>54071.78</v>
      </c>
      <c r="G19" s="2344"/>
      <c r="H19" s="2764">
        <f>ROUND($D$3*I19/$E$3,2)</f>
        <v>60.14</v>
      </c>
      <c r="I19" s="2818">
        <f t="shared" ref="I19:I26" si="2">IF($I$17="自定义",P19,M19)</f>
        <v>311.55</v>
      </c>
      <c r="J19" s="2358"/>
      <c r="K19" s="2764">
        <f t="shared" ref="K19:K26" si="3">ROUND(E$28*E19/E$27,2)</f>
        <v>311.55</v>
      </c>
      <c r="L19" s="2311">
        <f t="shared" ref="L19:L26" si="4">ROUND(IF(COUNTIF(C19,"*住宅*")&gt;0,E$29*E19/E$32,0),2)</f>
        <v>0</v>
      </c>
      <c r="M19" s="2818">
        <f>K19+L19</f>
        <v>311.55</v>
      </c>
      <c r="N19" s="2859"/>
      <c r="O19" s="2860"/>
      <c r="P19" s="2818">
        <f>N19+O19</f>
        <v>0</v>
      </c>
      <c r="R19" s="2311">
        <f t="shared" ref="R19:S26" si="5">D19+H19</f>
        <v>10498.289999999999</v>
      </c>
      <c r="S19" s="2836">
        <f t="shared" si="5"/>
        <v>54383.33</v>
      </c>
    </row>
    <row r="20" spans="1:19">
      <c r="A20" s="2834"/>
      <c r="B20" s="2815" t="s">
        <v>652</v>
      </c>
      <c r="C20" s="2835" t="s">
        <v>609</v>
      </c>
      <c r="D20" s="2311">
        <f t="shared" ref="D20:D26" si="6">ROUND($D$3*E20/$E$3,2)</f>
        <v>2080.3200000000002</v>
      </c>
      <c r="E20" s="2836">
        <f t="shared" si="1"/>
        <v>10776.5</v>
      </c>
      <c r="F20" s="2837"/>
      <c r="G20" s="2344">
        <f>'数据-基础表'!K14</f>
        <v>10776.5</v>
      </c>
      <c r="H20" s="2764">
        <f t="shared" ref="H20:H26" si="7">ROUND($D$3*I20/$E$3,2)</f>
        <v>11.99</v>
      </c>
      <c r="I20" s="2818">
        <f t="shared" si="2"/>
        <v>62.09</v>
      </c>
      <c r="J20" s="2358"/>
      <c r="K20" s="2764">
        <f t="shared" si="3"/>
        <v>62.09</v>
      </c>
      <c r="L20" s="2311">
        <f t="shared" si="4"/>
        <v>0</v>
      </c>
      <c r="M20" s="2818">
        <f t="shared" ref="M20:M26" si="8">K20+L20</f>
        <v>62.09</v>
      </c>
      <c r="N20" s="2859"/>
      <c r="O20" s="2860"/>
      <c r="P20" s="2818">
        <f t="shared" ref="P20:P26" si="9">N20+O20</f>
        <v>0</v>
      </c>
      <c r="R20" s="2311">
        <f t="shared" si="5"/>
        <v>2092.31</v>
      </c>
      <c r="S20" s="2836">
        <f t="shared" si="5"/>
        <v>10838.59</v>
      </c>
    </row>
    <row r="21" spans="1:19">
      <c r="A21" s="2834"/>
      <c r="B21" s="2815" t="s">
        <v>652</v>
      </c>
      <c r="C21" s="2835"/>
      <c r="D21" s="2311">
        <f t="shared" si="6"/>
        <v>0</v>
      </c>
      <c r="E21" s="2836">
        <f t="shared" si="1"/>
        <v>0</v>
      </c>
      <c r="F21" s="2837"/>
      <c r="G21" s="2344"/>
      <c r="H21" s="2764">
        <f t="shared" si="7"/>
        <v>0</v>
      </c>
      <c r="I21" s="2818">
        <f t="shared" si="2"/>
        <v>0</v>
      </c>
      <c r="J21" s="2358"/>
      <c r="K21" s="2764">
        <f t="shared" si="3"/>
        <v>0</v>
      </c>
      <c r="L21" s="2311">
        <f t="shared" si="4"/>
        <v>0</v>
      </c>
      <c r="M21" s="2818">
        <f t="shared" si="8"/>
        <v>0</v>
      </c>
      <c r="N21" s="2859"/>
      <c r="O21" s="2860"/>
      <c r="P21" s="2818">
        <f t="shared" si="9"/>
        <v>0</v>
      </c>
      <c r="R21" s="2311">
        <f t="shared" si="5"/>
        <v>0</v>
      </c>
      <c r="S21" s="2836">
        <f t="shared" si="5"/>
        <v>0</v>
      </c>
    </row>
    <row r="22" spans="1:19">
      <c r="A22" s="2834"/>
      <c r="B22" s="2815" t="s">
        <v>652</v>
      </c>
      <c r="C22" s="2838"/>
      <c r="D22" s="2311">
        <f t="shared" si="6"/>
        <v>0</v>
      </c>
      <c r="E22" s="2836">
        <f t="shared" si="1"/>
        <v>0</v>
      </c>
      <c r="F22" s="2839"/>
      <c r="G22" s="2840"/>
      <c r="H22" s="2764">
        <f t="shared" si="7"/>
        <v>0</v>
      </c>
      <c r="I22" s="2818">
        <f t="shared" si="2"/>
        <v>0</v>
      </c>
      <c r="J22" s="2358"/>
      <c r="K22" s="2764">
        <f t="shared" si="3"/>
        <v>0</v>
      </c>
      <c r="L22" s="2311">
        <f t="shared" si="4"/>
        <v>0</v>
      </c>
      <c r="M22" s="2818">
        <f t="shared" si="8"/>
        <v>0</v>
      </c>
      <c r="N22" s="2859"/>
      <c r="O22" s="2860"/>
      <c r="P22" s="2818">
        <f t="shared" si="9"/>
        <v>0</v>
      </c>
      <c r="R22" s="2311">
        <f t="shared" si="5"/>
        <v>0</v>
      </c>
      <c r="S22" s="2836">
        <f t="shared" si="5"/>
        <v>0</v>
      </c>
    </row>
    <row r="23" spans="1:19">
      <c r="A23" s="2834"/>
      <c r="B23" s="2815" t="s">
        <v>652</v>
      </c>
      <c r="C23" s="2838"/>
      <c r="D23" s="2311">
        <f t="shared" si="6"/>
        <v>0</v>
      </c>
      <c r="E23" s="2836">
        <f t="shared" si="1"/>
        <v>0</v>
      </c>
      <c r="F23" s="2839"/>
      <c r="G23" s="2840"/>
      <c r="H23" s="2764">
        <f t="shared" si="7"/>
        <v>0</v>
      </c>
      <c r="I23" s="2818">
        <f t="shared" si="2"/>
        <v>0</v>
      </c>
      <c r="J23" s="2358"/>
      <c r="K23" s="2764">
        <f t="shared" si="3"/>
        <v>0</v>
      </c>
      <c r="L23" s="2311">
        <f t="shared" si="4"/>
        <v>0</v>
      </c>
      <c r="M23" s="2818">
        <f t="shared" si="8"/>
        <v>0</v>
      </c>
      <c r="N23" s="2859"/>
      <c r="O23" s="2860"/>
      <c r="P23" s="2818">
        <f t="shared" si="9"/>
        <v>0</v>
      </c>
      <c r="R23" s="2311">
        <f t="shared" si="5"/>
        <v>0</v>
      </c>
      <c r="S23" s="2836">
        <f t="shared" si="5"/>
        <v>0</v>
      </c>
    </row>
    <row r="24" spans="1:19">
      <c r="A24" s="2834"/>
      <c r="B24" s="2815" t="s">
        <v>652</v>
      </c>
      <c r="C24" s="2838"/>
      <c r="D24" s="2311">
        <f t="shared" si="6"/>
        <v>0</v>
      </c>
      <c r="E24" s="2836">
        <f t="shared" si="1"/>
        <v>0</v>
      </c>
      <c r="F24" s="2839"/>
      <c r="G24" s="2840"/>
      <c r="H24" s="2764">
        <f t="shared" si="7"/>
        <v>0</v>
      </c>
      <c r="I24" s="2818">
        <f t="shared" si="2"/>
        <v>0</v>
      </c>
      <c r="J24" s="2358"/>
      <c r="K24" s="2764">
        <f t="shared" si="3"/>
        <v>0</v>
      </c>
      <c r="L24" s="2311">
        <f t="shared" si="4"/>
        <v>0</v>
      </c>
      <c r="M24" s="2818">
        <f t="shared" si="8"/>
        <v>0</v>
      </c>
      <c r="N24" s="2859"/>
      <c r="O24" s="2860"/>
      <c r="P24" s="2818">
        <f t="shared" si="9"/>
        <v>0</v>
      </c>
      <c r="R24" s="2311">
        <f t="shared" si="5"/>
        <v>0</v>
      </c>
      <c r="S24" s="2836">
        <f t="shared" si="5"/>
        <v>0</v>
      </c>
    </row>
    <row r="25" spans="1:19">
      <c r="A25" s="2834"/>
      <c r="B25" s="2815" t="s">
        <v>652</v>
      </c>
      <c r="C25" s="2838"/>
      <c r="D25" s="2311">
        <f t="shared" si="6"/>
        <v>0</v>
      </c>
      <c r="E25" s="2836">
        <f t="shared" si="1"/>
        <v>0</v>
      </c>
      <c r="F25" s="2839"/>
      <c r="G25" s="2840"/>
      <c r="H25" s="2808">
        <f t="shared" si="7"/>
        <v>0</v>
      </c>
      <c r="I25" s="2818">
        <f t="shared" si="2"/>
        <v>0</v>
      </c>
      <c r="J25" s="2358"/>
      <c r="K25" s="2764">
        <f t="shared" si="3"/>
        <v>0</v>
      </c>
      <c r="L25" s="2311">
        <f t="shared" si="4"/>
        <v>0</v>
      </c>
      <c r="M25" s="2818">
        <f t="shared" si="8"/>
        <v>0</v>
      </c>
      <c r="N25" s="2859"/>
      <c r="O25" s="2860"/>
      <c r="P25" s="2818">
        <f t="shared" si="9"/>
        <v>0</v>
      </c>
      <c r="R25" s="2311">
        <f t="shared" si="5"/>
        <v>0</v>
      </c>
      <c r="S25" s="2836">
        <f t="shared" si="5"/>
        <v>0</v>
      </c>
    </row>
    <row r="26" spans="1:19">
      <c r="A26" s="2834"/>
      <c r="B26" s="2815" t="s">
        <v>652</v>
      </c>
      <c r="C26" s="2841"/>
      <c r="D26" s="2311">
        <f t="shared" si="6"/>
        <v>0</v>
      </c>
      <c r="E26" s="2836">
        <f t="shared" si="1"/>
        <v>0</v>
      </c>
      <c r="F26" s="2839"/>
      <c r="G26" s="2840"/>
      <c r="H26" s="2808">
        <f t="shared" si="7"/>
        <v>0</v>
      </c>
      <c r="I26" s="2818">
        <f t="shared" si="2"/>
        <v>0</v>
      </c>
      <c r="J26" s="2358"/>
      <c r="K26" s="2808">
        <f t="shared" si="3"/>
        <v>0</v>
      </c>
      <c r="L26" s="2815">
        <f t="shared" si="4"/>
        <v>0</v>
      </c>
      <c r="M26" s="2821">
        <f t="shared" si="8"/>
        <v>0</v>
      </c>
      <c r="N26" s="2861"/>
      <c r="O26" s="2862"/>
      <c r="P26" s="2821">
        <f t="shared" si="9"/>
        <v>0</v>
      </c>
      <c r="R26" s="2311">
        <f t="shared" si="5"/>
        <v>0</v>
      </c>
      <c r="S26" s="2836">
        <f t="shared" si="5"/>
        <v>0</v>
      </c>
    </row>
    <row r="27" spans="1:19" ht="15">
      <c r="A27" s="2834"/>
      <c r="B27" s="2311"/>
      <c r="C27" s="2503" t="s">
        <v>653</v>
      </c>
      <c r="D27" s="2842">
        <f>SUM(D19:D26)</f>
        <v>12518.47</v>
      </c>
      <c r="E27" s="2843">
        <f>IF(SUM(E19:E26)='数据-基础表'!BA5,SUM(E19:E26),IF(F27="地上面积有误","面积有误","地下面积有误"))</f>
        <v>64848.28</v>
      </c>
      <c r="F27" s="2842">
        <f>IF(SUM(F19:F26)=E8,SUM(F19:F26),"地上面积有误")</f>
        <v>54071.78</v>
      </c>
      <c r="G27" s="2844">
        <f>SUM(G19:G26)</f>
        <v>10776.5</v>
      </c>
      <c r="H27" s="2845">
        <f>SUM(H19:H26)</f>
        <v>72.13</v>
      </c>
      <c r="I27" s="2863">
        <f>SUM(I19:I26)</f>
        <v>373.64</v>
      </c>
      <c r="J27" s="2358"/>
      <c r="K27" s="2864">
        <f>SUM(K19:K26)</f>
        <v>373.64</v>
      </c>
      <c r="L27" s="2180">
        <f>SUM(L19:L26)</f>
        <v>0</v>
      </c>
      <c r="M27" s="2865">
        <f>SUM(M19:M26)</f>
        <v>373.64</v>
      </c>
      <c r="N27" s="2864">
        <f t="shared" ref="N27:P27" si="10">SUM(N19:N26)</f>
        <v>0</v>
      </c>
      <c r="O27" s="2180">
        <f t="shared" si="10"/>
        <v>0</v>
      </c>
      <c r="P27" s="2781">
        <f t="shared" si="10"/>
        <v>0</v>
      </c>
      <c r="R27" s="2798">
        <f>IF(SUM(R19:R26)=$D$3,SUM(R19:R26),SUM(R19:R26)&amp;"误差"&amp;ROUND(SUM(R19:R26)-$D$3,2))</f>
        <v>12590.599999999999</v>
      </c>
      <c r="S27" s="2311">
        <f>IF(SUM(S19:S26)=$E$3,SUM(S19:S26),SUM(S19:S26)&amp;"误差"&amp;ROUND(SUM(S19:S26)-E3,2))</f>
        <v>65221.919999999998</v>
      </c>
    </row>
    <row r="28" spans="1:19">
      <c r="A28" s="2834"/>
      <c r="B28" s="2815" t="s">
        <v>654</v>
      </c>
      <c r="C28" s="2301" t="s">
        <v>655</v>
      </c>
      <c r="D28" s="2311">
        <f>ROUND($D$3*E28/$E$3,2)</f>
        <v>72.13</v>
      </c>
      <c r="E28" s="2836">
        <f>SUM(F28:G28)</f>
        <v>373.64</v>
      </c>
      <c r="F28" s="2301">
        <f>'数据-基础表'!BQ5+'数据-基础表'!BS5</f>
        <v>373.64</v>
      </c>
      <c r="G28" s="2197">
        <f>'数据-基础表'!BR5+'数据-基础表'!BT5</f>
        <v>0</v>
      </c>
      <c r="H28" s="2661"/>
      <c r="I28" s="2661"/>
      <c r="J28" s="2661"/>
      <c r="K28" s="2661"/>
      <c r="L28" s="2661"/>
      <c r="M28" s="2661"/>
      <c r="N28" s="2661"/>
      <c r="O28" s="2661"/>
      <c r="P28" s="2661"/>
    </row>
    <row r="29" spans="1:19">
      <c r="A29" s="2834"/>
      <c r="B29" s="2815" t="s">
        <v>654</v>
      </c>
      <c r="C29" s="2356" t="s">
        <v>656</v>
      </c>
      <c r="D29" s="2311">
        <f>ROUND($D$3*E29/$E$3,2)</f>
        <v>0</v>
      </c>
      <c r="E29" s="2836">
        <f>SUM(F29:G29)</f>
        <v>0</v>
      </c>
      <c r="F29" s="2846">
        <f>'数据-基础表'!BM5+'数据-基础表'!BO5</f>
        <v>0</v>
      </c>
      <c r="G29" s="2821">
        <f>'数据-基础表'!BN5+'数据-基础表'!BP5</f>
        <v>0</v>
      </c>
      <c r="H29" s="2661"/>
      <c r="I29" s="2661"/>
      <c r="J29" s="2661"/>
      <c r="K29" s="2661"/>
      <c r="L29" s="2661"/>
      <c r="M29" s="2661"/>
      <c r="N29" s="2661"/>
      <c r="O29" s="2661"/>
      <c r="P29" s="2661"/>
    </row>
    <row r="30" spans="1:19" ht="15">
      <c r="A30" s="2834"/>
      <c r="B30" s="2815"/>
      <c r="C30" s="2847" t="s">
        <v>653</v>
      </c>
      <c r="D30" s="2842">
        <f>SUM(D28:D29)</f>
        <v>72.13</v>
      </c>
      <c r="E30" s="2842">
        <f>SUM(E28:E29)</f>
        <v>373.64</v>
      </c>
      <c r="F30" s="2842">
        <f>SUM(F28:F29)</f>
        <v>373.64</v>
      </c>
      <c r="G30" s="2844">
        <f>SUM(G28:G29)</f>
        <v>0</v>
      </c>
      <c r="H30" s="2661"/>
      <c r="I30" s="2661"/>
      <c r="J30" s="2661"/>
      <c r="K30" s="2661"/>
      <c r="L30" s="2661"/>
      <c r="M30" s="2661"/>
      <c r="N30" s="2661"/>
      <c r="O30" s="2661"/>
      <c r="P30" s="2661"/>
    </row>
    <row r="31" spans="1:19" ht="15">
      <c r="A31" s="2848"/>
      <c r="B31" s="2772"/>
      <c r="C31" s="2180" t="s">
        <v>657</v>
      </c>
      <c r="D31" s="2849">
        <f>D27+D30</f>
        <v>12590.599999999999</v>
      </c>
      <c r="E31" s="2849">
        <f>E27+E30</f>
        <v>65221.919999999998</v>
      </c>
      <c r="F31" s="2850">
        <f>F27+F30</f>
        <v>54445.42</v>
      </c>
      <c r="G31" s="2851">
        <f>G27+G30</f>
        <v>10776.5</v>
      </c>
      <c r="H31" s="2661"/>
      <c r="I31" s="2661"/>
      <c r="J31" s="2661"/>
      <c r="K31" s="2661"/>
      <c r="L31" s="2661"/>
      <c r="M31" s="2661"/>
      <c r="N31" s="2661"/>
      <c r="O31" s="2661"/>
      <c r="P31" s="2661"/>
    </row>
    <row r="32" spans="1:19">
      <c r="A32" s="2829"/>
      <c r="B32" s="2829" t="s">
        <v>658</v>
      </c>
      <c r="C32" s="2829"/>
      <c r="D32" s="2829"/>
      <c r="E32" s="2852">
        <f>SUMIF(C19:C26,"*住宅*",E19:E26)</f>
        <v>0</v>
      </c>
      <c r="F32" s="2829"/>
      <c r="G32" s="2829"/>
      <c r="H32" s="2661"/>
      <c r="I32" s="2661"/>
      <c r="J32" s="2661"/>
      <c r="K32" s="2661"/>
      <c r="L32" s="2661"/>
      <c r="M32" s="2661"/>
      <c r="N32" s="2661"/>
      <c r="O32" s="2661"/>
      <c r="P32" s="2661"/>
    </row>
    <row r="33" spans="4:7">
      <c r="D33" s="2853"/>
      <c r="G33" s="2568">
        <f>ROUND(G31/E31*100,2)</f>
        <v>16.52</v>
      </c>
    </row>
    <row r="36" spans="4:7">
      <c r="F36" s="3244">
        <f ca="1">F37/F31</f>
        <v>4.4697570521083314</v>
      </c>
      <c r="G36" s="3244">
        <v>0.8</v>
      </c>
    </row>
    <row r="37" spans="4:7">
      <c r="F37" s="2568">
        <f ca="1">结果表!G19-'数据-汇总表'!G37</f>
        <v>243357.8</v>
      </c>
      <c r="G37" s="2568">
        <f>G36*G20</f>
        <v>8621.2000000000007</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BO174"/>
  <sheetViews>
    <sheetView zoomScale="85" zoomScaleNormal="85" workbookViewId="0">
      <pane xSplit="3" ySplit="5" topLeftCell="D6" activePane="bottomRight" state="frozen"/>
      <selection pane="topRight"/>
      <selection pane="bottomLeft"/>
      <selection pane="bottomRight" activeCell="U7" sqref="U7"/>
    </sheetView>
  </sheetViews>
  <sheetFormatPr defaultColWidth="13.75" defaultRowHeight="12.75"/>
  <cols>
    <col min="1" max="1" width="20.875" style="2625" customWidth="1"/>
    <col min="2" max="2" width="12" style="2288" customWidth="1"/>
    <col min="3" max="3" width="12.75" style="2288" customWidth="1"/>
    <col min="4" max="4" width="9.125" style="2626" customWidth="1"/>
    <col min="5" max="5" width="15" style="2288" customWidth="1"/>
    <col min="6" max="10" width="8.875" style="2288" customWidth="1"/>
    <col min="11" max="12" width="12.375" style="2627" customWidth="1"/>
    <col min="13" max="13" width="8.625" style="2288" customWidth="1"/>
    <col min="14" max="14" width="11.875" style="2288" customWidth="1"/>
    <col min="15" max="15" width="8.5" style="2288" customWidth="1"/>
    <col min="16" max="17" width="10.875" style="2288" customWidth="1"/>
    <col min="18" max="19" width="12.5" style="2288" customWidth="1"/>
    <col min="20" max="20" width="12.125" style="2288" customWidth="1"/>
    <col min="21" max="21" width="8.875" style="2288" customWidth="1"/>
    <col min="22" max="22" width="6.375" style="2288" customWidth="1"/>
    <col min="23" max="30" width="6.75" style="2288" customWidth="1"/>
    <col min="31" max="31" width="8" style="2288" customWidth="1"/>
    <col min="32" max="34" width="7.25" style="2288" customWidth="1"/>
    <col min="35" max="39" width="8" style="2288" customWidth="1"/>
    <col min="40" max="40" width="13.75" style="1191"/>
    <col min="41" max="41" width="11.625" style="1191" customWidth="1"/>
    <col min="42" max="42" width="9.75" style="1191" customWidth="1"/>
    <col min="43" max="67" width="13.75" style="1191"/>
    <col min="68" max="16384" width="13.75" style="2288"/>
  </cols>
  <sheetData>
    <row r="1" spans="1:67" ht="18.75">
      <c r="A1" s="2628" t="s">
        <v>659</v>
      </c>
      <c r="B1" s="1075"/>
      <c r="C1" s="1006"/>
      <c r="D1" s="2629"/>
      <c r="E1" s="1006"/>
      <c r="F1" s="1006"/>
      <c r="G1" s="1006"/>
      <c r="H1" s="1006"/>
      <c r="I1" s="1006"/>
      <c r="J1" s="1006"/>
      <c r="K1" s="1231"/>
      <c r="L1" s="1231"/>
      <c r="M1" s="1006"/>
      <c r="N1" s="1006"/>
      <c r="O1" s="1006"/>
      <c r="P1" s="1006"/>
      <c r="Q1" s="1006"/>
      <c r="R1" s="1006"/>
      <c r="S1" s="1006"/>
      <c r="T1" s="1006"/>
      <c r="U1" s="1006"/>
      <c r="V1" s="1006"/>
      <c r="W1" s="1006"/>
      <c r="X1" s="1006"/>
      <c r="Y1" s="1006"/>
      <c r="Z1" s="1006"/>
      <c r="AA1" s="1006"/>
      <c r="AB1" s="1006"/>
      <c r="AC1" s="1006"/>
      <c r="AD1" s="1006"/>
      <c r="AE1" s="1006"/>
      <c r="AF1" s="1006"/>
      <c r="AG1" s="1006"/>
      <c r="AH1" s="1006"/>
      <c r="AI1" s="1006"/>
      <c r="AJ1" s="1006"/>
      <c r="AK1" s="1006"/>
      <c r="AL1" s="1006"/>
      <c r="AM1" s="1006"/>
      <c r="AN1" s="2121"/>
      <c r="AO1" s="2121"/>
      <c r="AP1" s="2121"/>
      <c r="AQ1" s="2121"/>
      <c r="AR1" s="2121"/>
    </row>
    <row r="2" spans="1:67" s="2623" customFormat="1" ht="15">
      <c r="A2" s="2630" t="s">
        <v>660</v>
      </c>
      <c r="B2" s="2631">
        <f>项目基本情况!D3</f>
        <v>45882</v>
      </c>
      <c r="C2" s="2358"/>
      <c r="D2" s="2632"/>
      <c r="E2" s="2358"/>
      <c r="F2" s="2358"/>
      <c r="G2" s="2358"/>
      <c r="H2" s="2358"/>
      <c r="I2" s="2358"/>
      <c r="J2" s="2358"/>
      <c r="K2" s="1774"/>
      <c r="L2" s="1774"/>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661"/>
      <c r="AO2" s="2661"/>
      <c r="AP2" s="2661"/>
      <c r="AQ2" s="2661"/>
      <c r="AR2" s="2661"/>
      <c r="AS2" s="2568"/>
      <c r="AT2" s="2568"/>
      <c r="AU2" s="2568"/>
      <c r="AV2" s="2568"/>
      <c r="AW2" s="2568"/>
      <c r="AX2" s="2568"/>
      <c r="AY2" s="2568"/>
      <c r="AZ2" s="2568"/>
      <c r="BA2" s="2568"/>
      <c r="BB2" s="2568"/>
      <c r="BC2" s="2568"/>
      <c r="BD2" s="2568"/>
      <c r="BE2" s="2568"/>
      <c r="BF2" s="2568"/>
      <c r="BG2" s="2568"/>
      <c r="BH2" s="2568"/>
      <c r="BI2" s="2568"/>
      <c r="BJ2" s="2568"/>
      <c r="BK2" s="2568"/>
      <c r="BL2" s="2568"/>
      <c r="BM2" s="2568"/>
      <c r="BN2" s="2568"/>
      <c r="BO2" s="2568"/>
    </row>
    <row r="3" spans="1:67" s="2623" customFormat="1" ht="14.25">
      <c r="A3" s="2633"/>
      <c r="B3" s="2304"/>
      <c r="C3" s="2358"/>
      <c r="D3" s="2632"/>
      <c r="E3" s="2358"/>
      <c r="F3" s="2358"/>
      <c r="G3" s="2358"/>
      <c r="H3" s="2358"/>
      <c r="I3" s="2358"/>
      <c r="J3" s="2358"/>
      <c r="K3" s="1774"/>
      <c r="L3" s="1774"/>
      <c r="M3" s="2358"/>
      <c r="N3" s="2358"/>
      <c r="O3" s="2358"/>
      <c r="P3" s="2358"/>
      <c r="Q3" s="2358"/>
      <c r="R3" s="2358"/>
      <c r="S3" s="2358"/>
      <c r="T3" s="2358"/>
      <c r="U3" s="2358"/>
      <c r="V3" s="2358"/>
      <c r="W3" s="2358"/>
      <c r="X3" s="2358"/>
      <c r="Y3" s="2358"/>
      <c r="Z3" s="2358"/>
      <c r="AA3" s="2358"/>
      <c r="AB3" s="2358"/>
      <c r="AC3" s="2358"/>
      <c r="AD3" s="2358"/>
      <c r="AE3" s="2358"/>
      <c r="AF3" s="2358"/>
      <c r="AG3" s="2358"/>
      <c r="AH3" s="2358"/>
      <c r="AI3" s="2358"/>
      <c r="AJ3" s="2358"/>
      <c r="AK3" s="2358"/>
      <c r="AL3" s="2358"/>
      <c r="AM3" s="2358"/>
      <c r="AN3" s="2661"/>
      <c r="AO3" s="2661"/>
      <c r="AP3" s="2661"/>
      <c r="AQ3" s="2661"/>
      <c r="AR3" s="2661"/>
      <c r="AS3" s="2568"/>
      <c r="AT3" s="2568"/>
      <c r="AU3" s="2568"/>
      <c r="AV3" s="2568"/>
      <c r="AW3" s="2568"/>
      <c r="AX3" s="2568"/>
      <c r="AY3" s="2568"/>
      <c r="AZ3" s="2568"/>
      <c r="BA3" s="2568"/>
      <c r="BB3" s="2568"/>
      <c r="BC3" s="2568"/>
      <c r="BD3" s="2568"/>
      <c r="BE3" s="2568"/>
      <c r="BF3" s="2568"/>
      <c r="BG3" s="2568"/>
      <c r="BH3" s="2568"/>
      <c r="BI3" s="2568"/>
      <c r="BJ3" s="2568"/>
      <c r="BK3" s="2568"/>
      <c r="BL3" s="2568"/>
      <c r="BM3" s="2568"/>
      <c r="BN3" s="2568"/>
      <c r="BO3" s="2568"/>
    </row>
    <row r="4" spans="1:67" s="2623" customFormat="1" ht="14.25">
      <c r="A4" s="1716" t="s">
        <v>661</v>
      </c>
      <c r="B4" s="2318"/>
      <c r="C4" s="2634"/>
      <c r="D4" s="2635"/>
      <c r="E4" s="2634" t="s">
        <v>662</v>
      </c>
      <c r="F4" s="2634"/>
      <c r="G4" s="2634"/>
      <c r="H4" s="2634"/>
      <c r="I4" s="2634"/>
      <c r="J4" s="2354"/>
      <c r="K4" s="2725"/>
      <c r="L4" s="2726"/>
      <c r="M4" s="2634"/>
      <c r="N4" s="2634" t="s">
        <v>663</v>
      </c>
      <c r="O4" s="2634"/>
      <c r="P4" s="2634"/>
      <c r="Q4" s="2634"/>
      <c r="R4" s="2634"/>
      <c r="S4" s="2354"/>
      <c r="T4" s="2747" t="str">
        <f>'数据-汇总表'!I17</f>
        <v>按面积比例</v>
      </c>
      <c r="U4" s="2318" t="s">
        <v>664</v>
      </c>
      <c r="V4" s="2634"/>
      <c r="W4" s="2634"/>
      <c r="X4" s="2634"/>
      <c r="Y4" s="2354"/>
      <c r="Z4" s="2332" t="s">
        <v>665</v>
      </c>
      <c r="AA4" s="2332"/>
      <c r="AB4" s="2332"/>
      <c r="AC4" s="2332"/>
      <c r="AD4" s="2332"/>
      <c r="AE4" s="2773" t="s">
        <v>666</v>
      </c>
      <c r="AF4" s="2332"/>
      <c r="AG4" s="2783"/>
      <c r="AH4" s="2318"/>
      <c r="AI4" s="2634"/>
      <c r="AJ4" s="2634"/>
      <c r="AK4" s="2634"/>
      <c r="AL4" s="2634"/>
      <c r="AM4" s="2354"/>
      <c r="AN4" s="2661"/>
      <c r="AO4" s="2661"/>
      <c r="AP4" s="2661"/>
      <c r="AQ4" s="2661"/>
      <c r="AR4" s="2661"/>
      <c r="AS4" s="2568"/>
      <c r="AT4" s="2568"/>
      <c r="AU4" s="2568"/>
      <c r="AV4" s="2568"/>
      <c r="AW4" s="2568"/>
      <c r="AX4" s="2568"/>
      <c r="AY4" s="2568"/>
      <c r="AZ4" s="2568"/>
      <c r="BA4" s="2568"/>
      <c r="BB4" s="2568"/>
      <c r="BC4" s="2568"/>
      <c r="BD4" s="2568"/>
      <c r="BE4" s="2568"/>
      <c r="BF4" s="2568"/>
      <c r="BG4" s="2568"/>
      <c r="BH4" s="2568"/>
      <c r="BI4" s="2568"/>
      <c r="BJ4" s="2568"/>
      <c r="BK4" s="2568"/>
      <c r="BL4" s="2568"/>
      <c r="BM4" s="2568"/>
      <c r="BN4" s="2568"/>
      <c r="BO4" s="2568"/>
    </row>
    <row r="5" spans="1:67" s="2624" customFormat="1" ht="42">
      <c r="A5" s="2636" t="s">
        <v>639</v>
      </c>
      <c r="B5" s="2637" t="s">
        <v>638</v>
      </c>
      <c r="C5" s="2638" t="s">
        <v>667</v>
      </c>
      <c r="D5" s="2639" t="s">
        <v>668</v>
      </c>
      <c r="E5" s="1557" t="s">
        <v>669</v>
      </c>
      <c r="F5" s="2640" t="s">
        <v>670</v>
      </c>
      <c r="G5" s="1557" t="s">
        <v>671</v>
      </c>
      <c r="H5" s="1557" t="s">
        <v>672</v>
      </c>
      <c r="I5" s="1557" t="s">
        <v>673</v>
      </c>
      <c r="J5" s="1618" t="s">
        <v>674</v>
      </c>
      <c r="K5" s="2727" t="s">
        <v>648</v>
      </c>
      <c r="L5" s="2728" t="s">
        <v>675</v>
      </c>
      <c r="M5" s="2729" t="s">
        <v>676</v>
      </c>
      <c r="N5" s="2730" t="s">
        <v>677</v>
      </c>
      <c r="O5" s="2728" t="s">
        <v>678</v>
      </c>
      <c r="P5" s="2731" t="s">
        <v>679</v>
      </c>
      <c r="Q5" s="1624" t="s">
        <v>680</v>
      </c>
      <c r="R5" s="2748" t="s">
        <v>681</v>
      </c>
      <c r="S5" s="2749" t="s">
        <v>682</v>
      </c>
      <c r="T5" s="2750" t="s">
        <v>683</v>
      </c>
      <c r="U5" s="2751" t="s">
        <v>684</v>
      </c>
      <c r="V5" s="1557" t="s">
        <v>685</v>
      </c>
      <c r="W5" s="1557" t="s">
        <v>686</v>
      </c>
      <c r="X5" s="1330"/>
      <c r="Y5" s="1332" t="s">
        <v>687</v>
      </c>
      <c r="Z5" s="1523" t="s">
        <v>684</v>
      </c>
      <c r="AA5" s="1557" t="s">
        <v>685</v>
      </c>
      <c r="AB5" s="1557" t="s">
        <v>686</v>
      </c>
      <c r="AC5" s="1330"/>
      <c r="AD5" s="1330" t="s">
        <v>687</v>
      </c>
      <c r="AE5" s="2751" t="s">
        <v>688</v>
      </c>
      <c r="AF5" s="1557" t="s">
        <v>689</v>
      </c>
      <c r="AG5" s="1332" t="s">
        <v>690</v>
      </c>
      <c r="AH5" s="2751" t="s">
        <v>691</v>
      </c>
      <c r="AI5" s="1523" t="s">
        <v>692</v>
      </c>
      <c r="AJ5" s="1523" t="s">
        <v>693</v>
      </c>
      <c r="AK5" s="1557" t="s">
        <v>694</v>
      </c>
      <c r="AL5" s="1557" t="s">
        <v>695</v>
      </c>
      <c r="AM5" s="1332" t="s">
        <v>696</v>
      </c>
      <c r="AN5" s="2784" t="s">
        <v>697</v>
      </c>
      <c r="AO5" s="2797" t="s">
        <v>698</v>
      </c>
      <c r="AP5" s="2798" t="s">
        <v>699</v>
      </c>
      <c r="AQ5" s="2799" t="s">
        <v>700</v>
      </c>
      <c r="AR5" s="2799" t="s">
        <v>701</v>
      </c>
      <c r="AS5" s="1800"/>
      <c r="AT5" s="1800"/>
      <c r="AU5" s="1800"/>
      <c r="AV5" s="1800"/>
      <c r="AW5" s="1800"/>
      <c r="AX5" s="1800"/>
      <c r="AY5" s="1800"/>
      <c r="AZ5" s="1800"/>
      <c r="BA5" s="1800"/>
      <c r="BB5" s="1800"/>
      <c r="BC5" s="1800"/>
      <c r="BD5" s="1800"/>
      <c r="BE5" s="1800"/>
      <c r="BF5" s="1800"/>
      <c r="BG5" s="1800"/>
      <c r="BH5" s="1800"/>
      <c r="BI5" s="1800"/>
      <c r="BJ5" s="1800"/>
      <c r="BK5" s="1800"/>
      <c r="BL5" s="1800"/>
      <c r="BM5" s="1800"/>
      <c r="BN5" s="1800"/>
      <c r="BO5" s="1800"/>
    </row>
    <row r="6" spans="1:67" s="2623" customFormat="1" ht="14.25">
      <c r="A6" s="2641" t="str">
        <f>'数据-汇总表'!C19</f>
        <v>办公</v>
      </c>
      <c r="B6" s="2642" t="str">
        <f>IF(A6=0,"","经营性")</f>
        <v>经营性</v>
      </c>
      <c r="C6" s="2643" t="s">
        <v>230</v>
      </c>
      <c r="D6" s="2644">
        <f>SUMIF(项目基本情况!C$12:I$12,C6,项目基本情况!C$14:I$14)</f>
        <v>50</v>
      </c>
      <c r="E6" s="2645">
        <f>IF(B6="","",SUMIF(项目基本情况!C$12:I$12,C6,项目基本情况!C$13:I$13))</f>
        <v>53578</v>
      </c>
      <c r="F6" s="2646">
        <f>SUMIF(项目基本情况!C$12:I$12,C6,项目基本情况!C$15:I$15)</f>
        <v>21.08</v>
      </c>
      <c r="G6" s="2647">
        <f>IF(ISERROR(ROUND(POWER(1+H6,D6-F6)*(POWER(1+H6,F6)-1)/(POWER(1+H6,D6)-1),3)),0,ROUND(POWER(1+H6,D6-F6)*(POWER(1+H6,F6)-1)/(POWER(1+H6,D6)-1),3))</f>
        <v>0.70399999999999996</v>
      </c>
      <c r="H6" s="2648">
        <v>0.05</v>
      </c>
      <c r="I6" s="2648">
        <v>5.5E-2</v>
      </c>
      <c r="J6" s="2649">
        <v>7.0000000000000007E-2</v>
      </c>
      <c r="K6" s="2732">
        <f>SUMIF('数据-汇总表'!C$19:C$33,A6,'数据-汇总表'!E$19:E$33)</f>
        <v>54071.78</v>
      </c>
      <c r="L6" s="2733">
        <v>5500</v>
      </c>
      <c r="M6" s="2734">
        <f t="shared" ref="M6:M14" si="0">ROUND(K6*L6/10000,0)</f>
        <v>29739</v>
      </c>
      <c r="N6" s="2735">
        <f>O20</f>
        <v>0.73</v>
      </c>
      <c r="O6" s="2734" t="str">
        <f>IF($N$5="成新度","——",ROUND(M6*N6,0))</f>
        <v>——</v>
      </c>
      <c r="P6" s="1465" t="str">
        <f>IF($N$5="成新度","——",M6-O6)</f>
        <v>——</v>
      </c>
      <c r="Q6" s="2752">
        <v>0.2</v>
      </c>
      <c r="R6" s="2753">
        <f ca="1">SUMIF('数据-汇总表'!C$19:C$33,A6,'数据-汇总表'!R$19:R$27)</f>
        <v>10498.289999999999</v>
      </c>
      <c r="S6" s="2754">
        <f>IF('数据-汇总表'!$I$17="按面积比例",SUMIF('数据-汇总表'!C$19:C$33,A6,'数据-汇总表'!K$19:K$33),SUMIF('数据-汇总表'!C$19:C$33,A6,'数据-汇总表'!N$19:N$33))</f>
        <v>311.55</v>
      </c>
      <c r="T6" s="2755">
        <f>ROUND($L$14*S6/10000,0)</f>
        <v>171</v>
      </c>
      <c r="U6" s="2756">
        <v>8.42</v>
      </c>
      <c r="V6" s="2757">
        <v>0</v>
      </c>
      <c r="W6" s="2757">
        <v>0</v>
      </c>
      <c r="X6" s="2758"/>
      <c r="Y6" s="2774">
        <f>N6</f>
        <v>0.73</v>
      </c>
      <c r="Z6" s="2775">
        <f>租约!J91</f>
        <v>11.35</v>
      </c>
      <c r="AA6" s="2649">
        <f>租约!J90</f>
        <v>0.02</v>
      </c>
      <c r="AB6" s="2649">
        <v>0.1</v>
      </c>
      <c r="AC6" s="2758"/>
      <c r="AD6" s="2776">
        <f>P20</f>
        <v>0.69</v>
      </c>
      <c r="AE6" s="2777">
        <f ca="1">IF(AN6="",0,SUMIF(INDIRECT("'"&amp;AN6&amp;"'"&amp;"!E:E"),$AE$5,INDIRECT("'"&amp;AN6&amp;"'"&amp;"!F:F")))</f>
        <v>21.08</v>
      </c>
      <c r="AF6" s="2298">
        <f>租约!J86</f>
        <v>6.39</v>
      </c>
      <c r="AG6" s="1880">
        <f ca="1">IF(AF6="",0,AE6-AF6)</f>
        <v>14.689999999999998</v>
      </c>
      <c r="AH6" s="2785"/>
      <c r="AI6" s="2786">
        <v>365</v>
      </c>
      <c r="AJ6" s="2298"/>
      <c r="AK6" s="2787">
        <v>2E-3</v>
      </c>
      <c r="AL6" s="2788">
        <v>1E-3</v>
      </c>
      <c r="AM6" s="2789">
        <v>0.01</v>
      </c>
      <c r="AN6" s="2790" t="s">
        <v>355</v>
      </c>
      <c r="AO6" s="1518">
        <f ca="1">SUMIF(INDIRECT("'"&amp;AN6&amp;"'"&amp;"!A:A"),"总价",INDIRECT("'"&amp;AN6&amp;"'"&amp;"!B:B"))</f>
        <v>205142</v>
      </c>
      <c r="AP6" s="2800">
        <f>IF(C6="住宅",K6*L6,0)</f>
        <v>0</v>
      </c>
      <c r="AQ6" s="1518">
        <f>ROUND($L$14*$N$14*S6/10000,0)</f>
        <v>125</v>
      </c>
      <c r="AR6" s="1518">
        <f>ROUND($L$14*(1-$N$14)*S6/10000,0)</f>
        <v>46</v>
      </c>
      <c r="AS6" s="2568"/>
      <c r="AT6" s="2568"/>
      <c r="AU6" s="2568"/>
      <c r="AV6" s="2568"/>
      <c r="AW6" s="2568"/>
      <c r="AX6" s="2568"/>
      <c r="AY6" s="2568"/>
      <c r="AZ6" s="2568"/>
      <c r="BA6" s="2568"/>
      <c r="BB6" s="2568"/>
      <c r="BC6" s="2568"/>
      <c r="BD6" s="2568"/>
      <c r="BE6" s="2568"/>
      <c r="BF6" s="2568"/>
      <c r="BG6" s="2568"/>
      <c r="BH6" s="2568"/>
      <c r="BI6" s="2568"/>
      <c r="BJ6" s="2568"/>
      <c r="BK6" s="2568"/>
      <c r="BL6" s="2568"/>
      <c r="BM6" s="2568"/>
      <c r="BN6" s="2568"/>
      <c r="BO6" s="2568"/>
    </row>
    <row r="7" spans="1:67" s="2623" customFormat="1" ht="14.25">
      <c r="A7" s="2641" t="str">
        <f>'数据-汇总表'!C20</f>
        <v>地下车库</v>
      </c>
      <c r="B7" s="2642" t="str">
        <f t="shared" ref="B7:B13" si="1">IF(A7=0,"","经营性")</f>
        <v>经营性</v>
      </c>
      <c r="C7" s="2643" t="s">
        <v>600</v>
      </c>
      <c r="D7" s="2644">
        <f>SUMIF(项目基本情况!C$12:I$12,C7,项目基本情况!C$14:I$14)</f>
        <v>50</v>
      </c>
      <c r="E7" s="2645">
        <f>IF(B7="","",SUMIF(项目基本情况!C$12:I$12,C7,项目基本情况!C$13:I$13))</f>
        <v>53578</v>
      </c>
      <c r="F7" s="2646">
        <f>SUMIF(项目基本情况!C$12:I$12,C7,项目基本情况!C$15:I$15)</f>
        <v>21.08</v>
      </c>
      <c r="G7" s="2647">
        <f t="shared" ref="G7:G13" si="2">IF(ISERROR(ROUND(POWER(1+H7,D7-F7)*(POWER(1+H7,F7)-1)/(POWER(1+H7,D7)-1),3)),0,ROUND(POWER(1+H7,D7-F7)*(POWER(1+H7,F7)-1)/(POWER(1+H7,D7)-1),3))</f>
        <v>0.70399999999999996</v>
      </c>
      <c r="H7" s="2648">
        <v>0.05</v>
      </c>
      <c r="I7" s="2648">
        <v>5.5E-2</v>
      </c>
      <c r="J7" s="2649">
        <v>7.0000000000000007E-2</v>
      </c>
      <c r="K7" s="2732">
        <f>SUMIF('数据-汇总表'!C$19:C$33,A7,'数据-汇总表'!E$19:E$33)</f>
        <v>10776.5</v>
      </c>
      <c r="L7" s="2733">
        <f>L6</f>
        <v>5500</v>
      </c>
      <c r="M7" s="2734">
        <f t="shared" si="0"/>
        <v>5927</v>
      </c>
      <c r="N7" s="2735">
        <f>N6</f>
        <v>0.73</v>
      </c>
      <c r="O7" s="2734" t="str">
        <f t="shared" ref="O7:O14" si="3">IF($N$5="成新度","——",ROUND(M7*N7,0))</f>
        <v>——</v>
      </c>
      <c r="P7" s="1465" t="str">
        <f t="shared" ref="P7:P14" si="4">IF($N$5="成新度","——",M7-O7)</f>
        <v>——</v>
      </c>
      <c r="Q7" s="2752">
        <v>0.05</v>
      </c>
      <c r="R7" s="2753">
        <f ca="1">SUMIF('数据-汇总表'!C$19:C$33,A7,'数据-汇总表'!R$19:R$27)</f>
        <v>2092.31</v>
      </c>
      <c r="S7" s="2754">
        <f>IF('数据-汇总表'!$I$17="按面积比例",SUMIF('数据-汇总表'!C$19:C$33,A7,'数据-汇总表'!K$19:K$33),SUMIF('数据-汇总表'!C$19:C$33,A7,'数据-汇总表'!N$19:N$33))</f>
        <v>62.09</v>
      </c>
      <c r="T7" s="2755">
        <f t="shared" ref="T7:T13" si="5">ROUND($L$14*S7/10000,0)</f>
        <v>34</v>
      </c>
      <c r="U7" s="2756">
        <v>1600</v>
      </c>
      <c r="V7" s="2757">
        <v>0.02</v>
      </c>
      <c r="W7" s="2757">
        <v>0.1</v>
      </c>
      <c r="X7" s="2758"/>
      <c r="Y7" s="2774">
        <f>N7</f>
        <v>0.73</v>
      </c>
      <c r="Z7" s="2775"/>
      <c r="AA7" s="2649"/>
      <c r="AB7" s="2649"/>
      <c r="AC7" s="2758"/>
      <c r="AD7" s="2776"/>
      <c r="AE7" s="2777">
        <f t="shared" ref="AE7:AE13" ca="1" si="6">IF(AN7="",0,SUMIF(INDIRECT("'"&amp;AN7&amp;"'"&amp;"!E:E"),$AE$5,INDIRECT("'"&amp;AN7&amp;"'"&amp;"!F:F")))</f>
        <v>21.08</v>
      </c>
      <c r="AF7" s="2298"/>
      <c r="AG7" s="1880">
        <f t="shared" ref="AG7:AG13" si="7">IF(AF7="",0,AE7-AF7)</f>
        <v>0</v>
      </c>
      <c r="AH7" s="2785">
        <v>327</v>
      </c>
      <c r="AI7" s="2786">
        <v>12</v>
      </c>
      <c r="AJ7" s="2298"/>
      <c r="AK7" s="2787">
        <v>2E-3</v>
      </c>
      <c r="AL7" s="2788">
        <v>1E-3</v>
      </c>
      <c r="AM7" s="2789">
        <v>0.01</v>
      </c>
      <c r="AN7" s="2790" t="s">
        <v>353</v>
      </c>
      <c r="AO7" s="1518">
        <f t="shared" ref="AO7:AO13" ca="1" si="8">SUMIF(INDIRECT("'"&amp;AN7&amp;"'"&amp;"!A:A"),"总价",INDIRECT("'"&amp;AN7&amp;"'"&amp;"!B:B"))</f>
        <v>6980</v>
      </c>
      <c r="AP7" s="2800">
        <f t="shared" ref="AP7:AP13" si="9">IF(C7="住宅",K7*L7,0)</f>
        <v>0</v>
      </c>
      <c r="AQ7" s="1518">
        <f t="shared" ref="AQ7:AQ13" si="10">ROUND($L$14*$N$14*S7/10000,0)</f>
        <v>25</v>
      </c>
      <c r="AR7" s="1518">
        <f t="shared" ref="AR7:AR13" si="11">ROUND($L$14*(1-$N$14)*S7/10000,0)</f>
        <v>9</v>
      </c>
      <c r="AS7" s="2568"/>
      <c r="AT7" s="2568"/>
      <c r="AU7" s="2568"/>
      <c r="AV7" s="2568"/>
      <c r="AW7" s="2568"/>
      <c r="AX7" s="2568"/>
      <c r="AY7" s="2568"/>
      <c r="AZ7" s="2568"/>
      <c r="BA7" s="2568"/>
      <c r="BB7" s="2568"/>
      <c r="BC7" s="2568"/>
      <c r="BD7" s="2568"/>
      <c r="BE7" s="2568"/>
      <c r="BF7" s="2568"/>
      <c r="BG7" s="2568"/>
      <c r="BH7" s="2568"/>
      <c r="BI7" s="2568"/>
      <c r="BJ7" s="2568"/>
      <c r="BK7" s="2568"/>
      <c r="BL7" s="2568"/>
      <c r="BM7" s="2568"/>
      <c r="BN7" s="2568"/>
      <c r="BO7" s="2568"/>
    </row>
    <row r="8" spans="1:67" s="2623" customFormat="1" ht="14.25" hidden="1">
      <c r="A8" s="2641">
        <f>'数据-汇总表'!C21</f>
        <v>0</v>
      </c>
      <c r="B8" s="2642" t="str">
        <f t="shared" si="1"/>
        <v/>
      </c>
      <c r="C8" s="2643"/>
      <c r="D8" s="2644">
        <f>SUMIF(项目基本情况!C$12:I$12,C8,项目基本情况!C$14:I$14)</f>
        <v>0</v>
      </c>
      <c r="E8" s="2645" t="str">
        <f>IF(B8="","",SUMIF(项目基本情况!C$12:I$12,C8,项目基本情况!C$13:I$13))</f>
        <v/>
      </c>
      <c r="F8" s="2646">
        <f>SUMIF(项目基本情况!C$12:I$12,C8,项目基本情况!C$15:I$15)</f>
        <v>0</v>
      </c>
      <c r="G8" s="2647">
        <f t="shared" si="2"/>
        <v>0</v>
      </c>
      <c r="H8" s="2648"/>
      <c r="I8" s="2648"/>
      <c r="J8" s="2649"/>
      <c r="K8" s="2732">
        <f>SUMIF('数据-汇总表'!C$19:C$33,A8,'数据-汇总表'!E$19:E$33)</f>
        <v>0</v>
      </c>
      <c r="L8" s="2733"/>
      <c r="M8" s="2734">
        <f t="shared" si="0"/>
        <v>0</v>
      </c>
      <c r="N8" s="2735"/>
      <c r="O8" s="2734" t="str">
        <f t="shared" si="3"/>
        <v>——</v>
      </c>
      <c r="P8" s="1465" t="str">
        <f t="shared" si="4"/>
        <v>——</v>
      </c>
      <c r="Q8" s="2752"/>
      <c r="R8" s="2753">
        <f ca="1">SUMIF('数据-汇总表'!C$19:C$33,A8,'数据-汇总表'!R$19:R$27)</f>
        <v>0</v>
      </c>
      <c r="S8" s="2754">
        <f>IF('数据-汇总表'!$I$17="按面积比例",SUMIF('数据-汇总表'!C$19:C$33,A8,'数据-汇总表'!K$19:K$33),SUMIF('数据-汇总表'!C$19:C$33,A8,'数据-汇总表'!N$19:N$33))</f>
        <v>0</v>
      </c>
      <c r="T8" s="2755">
        <f t="shared" si="5"/>
        <v>0</v>
      </c>
      <c r="U8" s="2759"/>
      <c r="V8" s="2760"/>
      <c r="W8" s="2760"/>
      <c r="X8" s="2758"/>
      <c r="Y8" s="2774"/>
      <c r="Z8" s="2775"/>
      <c r="AA8" s="2649"/>
      <c r="AB8" s="2649"/>
      <c r="AC8" s="2758"/>
      <c r="AD8" s="2776"/>
      <c r="AE8" s="2777">
        <f t="shared" ca="1" si="6"/>
        <v>0</v>
      </c>
      <c r="AF8" s="2298"/>
      <c r="AG8" s="1880">
        <f t="shared" si="7"/>
        <v>0</v>
      </c>
      <c r="AH8" s="2791"/>
      <c r="AI8" s="2786"/>
      <c r="AJ8" s="2298"/>
      <c r="AK8" s="2792"/>
      <c r="AL8" s="2793"/>
      <c r="AM8" s="2693"/>
      <c r="AN8" s="2790"/>
      <c r="AO8" s="1518" t="e">
        <f t="shared" ca="1" si="8"/>
        <v>#REF!</v>
      </c>
      <c r="AP8" s="2800">
        <f t="shared" si="9"/>
        <v>0</v>
      </c>
      <c r="AQ8" s="1518">
        <f t="shared" si="10"/>
        <v>0</v>
      </c>
      <c r="AR8" s="1518">
        <f t="shared" si="11"/>
        <v>0</v>
      </c>
      <c r="AS8" s="2568"/>
      <c r="AT8" s="2568"/>
      <c r="AU8" s="2568"/>
      <c r="AV8" s="2568"/>
      <c r="AW8" s="2568"/>
      <c r="AX8" s="2568"/>
      <c r="AY8" s="2568"/>
      <c r="AZ8" s="2568"/>
      <c r="BA8" s="2568"/>
      <c r="BB8" s="2568"/>
      <c r="BC8" s="2568"/>
      <c r="BD8" s="2568"/>
      <c r="BE8" s="2568"/>
      <c r="BF8" s="2568"/>
      <c r="BG8" s="2568"/>
      <c r="BH8" s="2568"/>
      <c r="BI8" s="2568"/>
      <c r="BJ8" s="2568"/>
      <c r="BK8" s="2568"/>
      <c r="BL8" s="2568"/>
      <c r="BM8" s="2568"/>
      <c r="BN8" s="2568"/>
      <c r="BO8" s="2568"/>
    </row>
    <row r="9" spans="1:67" s="2623" customFormat="1" ht="14.25" hidden="1">
      <c r="A9" s="2641">
        <f>'数据-汇总表'!C22</f>
        <v>0</v>
      </c>
      <c r="B9" s="2642" t="str">
        <f t="shared" si="1"/>
        <v/>
      </c>
      <c r="C9" s="2643"/>
      <c r="D9" s="2644">
        <f>SUMIF(项目基本情况!C$12:I$12,C9,项目基本情况!C$14:I$14)</f>
        <v>0</v>
      </c>
      <c r="E9" s="2645" t="str">
        <f>IF(B9="","",SUMIF(项目基本情况!C$12:I$12,C9,项目基本情况!C$13:I$13))</f>
        <v/>
      </c>
      <c r="F9" s="2646">
        <f>SUMIF(项目基本情况!C$12:I$12,C9,项目基本情况!C$15:I$15)</f>
        <v>0</v>
      </c>
      <c r="G9" s="2647">
        <f t="shared" si="2"/>
        <v>0</v>
      </c>
      <c r="H9" s="2649"/>
      <c r="I9" s="2649"/>
      <c r="J9" s="2649"/>
      <c r="K9" s="2732">
        <f>SUMIF('数据-汇总表'!C$19:C$33,A9,'数据-汇总表'!E$19:E$33)</f>
        <v>0</v>
      </c>
      <c r="L9" s="2733"/>
      <c r="M9" s="2734">
        <f t="shared" si="0"/>
        <v>0</v>
      </c>
      <c r="N9" s="2735"/>
      <c r="O9" s="2734" t="str">
        <f t="shared" si="3"/>
        <v>——</v>
      </c>
      <c r="P9" s="1465" t="str">
        <f t="shared" si="4"/>
        <v>——</v>
      </c>
      <c r="Q9" s="2761"/>
      <c r="R9" s="2753">
        <f ca="1">SUMIF('数据-汇总表'!C$19:C$33,A9,'数据-汇总表'!R$19:R$27)</f>
        <v>0</v>
      </c>
      <c r="S9" s="2754">
        <f>IF('数据-汇总表'!$I$17="按面积比例",SUMIF('数据-汇总表'!C$19:C$33,A9,'数据-汇总表'!K$19:K$33),SUMIF('数据-汇总表'!C$19:C$33,A9,'数据-汇总表'!N$19:N$33))</f>
        <v>0</v>
      </c>
      <c r="T9" s="2755">
        <f t="shared" si="5"/>
        <v>0</v>
      </c>
      <c r="U9" s="2756"/>
      <c r="V9" s="2757"/>
      <c r="W9" s="2757"/>
      <c r="X9" s="2758"/>
      <c r="Y9" s="2774"/>
      <c r="Z9" s="2775"/>
      <c r="AA9" s="2649"/>
      <c r="AB9" s="2649"/>
      <c r="AC9" s="2758"/>
      <c r="AD9" s="2776"/>
      <c r="AE9" s="2777">
        <f t="shared" ca="1" si="6"/>
        <v>0</v>
      </c>
      <c r="AF9" s="2298"/>
      <c r="AG9" s="1880">
        <f t="shared" si="7"/>
        <v>0</v>
      </c>
      <c r="AH9" s="2785"/>
      <c r="AI9" s="2786"/>
      <c r="AJ9" s="2298"/>
      <c r="AK9" s="2787"/>
      <c r="AL9" s="2788"/>
      <c r="AM9" s="2789"/>
      <c r="AN9" s="2790"/>
      <c r="AO9" s="1518" t="e">
        <f t="shared" ca="1" si="8"/>
        <v>#REF!</v>
      </c>
      <c r="AP9" s="2800">
        <f t="shared" si="9"/>
        <v>0</v>
      </c>
      <c r="AQ9" s="1518">
        <f t="shared" si="10"/>
        <v>0</v>
      </c>
      <c r="AR9" s="1518">
        <f t="shared" si="11"/>
        <v>0</v>
      </c>
      <c r="AS9" s="2568"/>
      <c r="AT9" s="2568"/>
      <c r="AU9" s="2568"/>
      <c r="AV9" s="2568"/>
      <c r="AW9" s="2568"/>
      <c r="AX9" s="2568"/>
      <c r="AY9" s="2568"/>
      <c r="AZ9" s="2568"/>
      <c r="BA9" s="2568"/>
      <c r="BB9" s="2568"/>
      <c r="BC9" s="2568"/>
      <c r="BD9" s="2568"/>
      <c r="BE9" s="2568"/>
      <c r="BF9" s="2568"/>
      <c r="BG9" s="2568"/>
      <c r="BH9" s="2568"/>
      <c r="BI9" s="2568"/>
      <c r="BJ9" s="2568"/>
      <c r="BK9" s="2568"/>
      <c r="BL9" s="2568"/>
      <c r="BM9" s="2568"/>
      <c r="BN9" s="2568"/>
      <c r="BO9" s="2568"/>
    </row>
    <row r="10" spans="1:67" s="2623" customFormat="1" ht="14.25" hidden="1">
      <c r="A10" s="2641">
        <f>'数据-汇总表'!C23</f>
        <v>0</v>
      </c>
      <c r="B10" s="2642" t="str">
        <f t="shared" si="1"/>
        <v/>
      </c>
      <c r="C10" s="2643"/>
      <c r="D10" s="2644">
        <f>SUMIF(项目基本情况!C$12:I$12,C10,项目基本情况!C$14:I$14)</f>
        <v>0</v>
      </c>
      <c r="E10" s="2645" t="str">
        <f>IF(B10="","",SUMIF(项目基本情况!C$12:I$12,C10,项目基本情况!C$13:I$13))</f>
        <v/>
      </c>
      <c r="F10" s="2646">
        <f>SUMIF(项目基本情况!C$12:I$12,C10,项目基本情况!C$15:I$15)</f>
        <v>0</v>
      </c>
      <c r="G10" s="2647">
        <f t="shared" si="2"/>
        <v>0</v>
      </c>
      <c r="H10" s="2649"/>
      <c r="I10" s="2649"/>
      <c r="J10" s="2649"/>
      <c r="K10" s="2732">
        <f>SUMIF('数据-汇总表'!C$19:C$33,A10,'数据-汇总表'!E$19:E$33)</f>
        <v>0</v>
      </c>
      <c r="L10" s="2733"/>
      <c r="M10" s="2734">
        <f t="shared" si="0"/>
        <v>0</v>
      </c>
      <c r="N10" s="2735"/>
      <c r="O10" s="2734" t="str">
        <f t="shared" si="3"/>
        <v>——</v>
      </c>
      <c r="P10" s="1465" t="str">
        <f t="shared" si="4"/>
        <v>——</v>
      </c>
      <c r="Q10" s="2761"/>
      <c r="R10" s="2753">
        <f ca="1">SUMIF('数据-汇总表'!C$19:C$33,A10,'数据-汇总表'!R$19:R$27)</f>
        <v>0</v>
      </c>
      <c r="S10" s="2754">
        <f>IF('数据-汇总表'!$I$17="按面积比例",SUMIF('数据-汇总表'!C$19:C$33,A10,'数据-汇总表'!K$19:K$33),SUMIF('数据-汇总表'!C$19:C$33,A10,'数据-汇总表'!N$19:N$33))</f>
        <v>0</v>
      </c>
      <c r="T10" s="2755">
        <f t="shared" si="5"/>
        <v>0</v>
      </c>
      <c r="U10" s="2756"/>
      <c r="V10" s="2757"/>
      <c r="W10" s="2757"/>
      <c r="X10" s="2758"/>
      <c r="Y10" s="2774"/>
      <c r="Z10" s="2775"/>
      <c r="AA10" s="2649"/>
      <c r="AB10" s="2649"/>
      <c r="AC10" s="2758"/>
      <c r="AD10" s="2776"/>
      <c r="AE10" s="2777">
        <f t="shared" ca="1" si="6"/>
        <v>0</v>
      </c>
      <c r="AF10" s="2298"/>
      <c r="AG10" s="1880">
        <f t="shared" si="7"/>
        <v>0</v>
      </c>
      <c r="AH10" s="2785"/>
      <c r="AI10" s="2786"/>
      <c r="AJ10" s="2298"/>
      <c r="AK10" s="2787"/>
      <c r="AL10" s="2788"/>
      <c r="AM10" s="2789"/>
      <c r="AN10" s="2790"/>
      <c r="AO10" s="1518" t="e">
        <f t="shared" ca="1" si="8"/>
        <v>#REF!</v>
      </c>
      <c r="AP10" s="2800">
        <f t="shared" si="9"/>
        <v>0</v>
      </c>
      <c r="AQ10" s="1518">
        <f t="shared" si="10"/>
        <v>0</v>
      </c>
      <c r="AR10" s="1518">
        <f t="shared" si="11"/>
        <v>0</v>
      </c>
      <c r="AS10" s="2568"/>
      <c r="AT10" s="2568"/>
      <c r="AU10" s="2568"/>
      <c r="AV10" s="2568"/>
      <c r="AW10" s="2568"/>
      <c r="AX10" s="2568"/>
      <c r="AY10" s="2568"/>
      <c r="AZ10" s="2568"/>
      <c r="BA10" s="2568"/>
      <c r="BB10" s="2568"/>
      <c r="BC10" s="2568"/>
      <c r="BD10" s="2568"/>
      <c r="BE10" s="2568"/>
      <c r="BF10" s="2568"/>
      <c r="BG10" s="2568"/>
      <c r="BH10" s="2568"/>
      <c r="BI10" s="2568"/>
      <c r="BJ10" s="2568"/>
      <c r="BK10" s="2568"/>
      <c r="BL10" s="2568"/>
      <c r="BM10" s="2568"/>
      <c r="BN10" s="2568"/>
      <c r="BO10" s="2568"/>
    </row>
    <row r="11" spans="1:67" s="2623" customFormat="1" ht="14.25" hidden="1">
      <c r="A11" s="2641">
        <f>'数据-汇总表'!C24</f>
        <v>0</v>
      </c>
      <c r="B11" s="2642" t="str">
        <f t="shared" si="1"/>
        <v/>
      </c>
      <c r="C11" s="2643"/>
      <c r="D11" s="2644">
        <f>SUMIF(项目基本情况!C$12:I$12,C11,项目基本情况!C$14:I$14)</f>
        <v>0</v>
      </c>
      <c r="E11" s="2645" t="str">
        <f>IF(B11="","",SUMIF(项目基本情况!C$12:I$12,C11,项目基本情况!C$13:I$13))</f>
        <v/>
      </c>
      <c r="F11" s="2646">
        <f>SUMIF(项目基本情况!C$12:I$12,C11,项目基本情况!C$15:I$15)</f>
        <v>0</v>
      </c>
      <c r="G11" s="2647">
        <f t="shared" si="2"/>
        <v>0</v>
      </c>
      <c r="H11" s="2649"/>
      <c r="I11" s="2649"/>
      <c r="J11" s="2649"/>
      <c r="K11" s="2732">
        <f>SUMIF('数据-汇总表'!C$19:C$33,A11,'数据-汇总表'!E$19:E$33)</f>
        <v>0</v>
      </c>
      <c r="L11" s="2736"/>
      <c r="M11" s="2734">
        <f t="shared" si="0"/>
        <v>0</v>
      </c>
      <c r="N11" s="2735"/>
      <c r="O11" s="2734" t="str">
        <f t="shared" si="3"/>
        <v>——</v>
      </c>
      <c r="P11" s="1465" t="str">
        <f t="shared" si="4"/>
        <v>——</v>
      </c>
      <c r="Q11" s="2761"/>
      <c r="R11" s="2753">
        <f ca="1">SUMIF('数据-汇总表'!C$19:C$33,A11,'数据-汇总表'!R$19:R$27)</f>
        <v>0</v>
      </c>
      <c r="S11" s="2754">
        <f>IF('数据-汇总表'!$I$17="按面积比例",SUMIF('数据-汇总表'!C$19:C$33,A11,'数据-汇总表'!K$19:K$33),SUMIF('数据-汇总表'!C$19:C$33,A11,'数据-汇总表'!N$19:N$33))</f>
        <v>0</v>
      </c>
      <c r="T11" s="2755">
        <f t="shared" si="5"/>
        <v>0</v>
      </c>
      <c r="U11" s="2756"/>
      <c r="V11" s="2649"/>
      <c r="W11" s="2649"/>
      <c r="X11" s="2758"/>
      <c r="Y11" s="2774"/>
      <c r="Z11" s="2778"/>
      <c r="AA11" s="2649"/>
      <c r="AB11" s="2649"/>
      <c r="AC11" s="2758"/>
      <c r="AD11" s="2776"/>
      <c r="AE11" s="2777">
        <f t="shared" ca="1" si="6"/>
        <v>0</v>
      </c>
      <c r="AF11" s="2298"/>
      <c r="AG11" s="1880">
        <f t="shared" si="7"/>
        <v>0</v>
      </c>
      <c r="AH11" s="2785"/>
      <c r="AI11" s="2786"/>
      <c r="AJ11" s="2298"/>
      <c r="AK11" s="2787"/>
      <c r="AL11" s="2788"/>
      <c r="AM11" s="2789"/>
      <c r="AN11" s="2790"/>
      <c r="AO11" s="1518" t="e">
        <f t="shared" ca="1" si="8"/>
        <v>#REF!</v>
      </c>
      <c r="AP11" s="2800">
        <f t="shared" si="9"/>
        <v>0</v>
      </c>
      <c r="AQ11" s="1518">
        <f t="shared" si="10"/>
        <v>0</v>
      </c>
      <c r="AR11" s="1518">
        <f t="shared" si="11"/>
        <v>0</v>
      </c>
      <c r="AS11" s="2568"/>
      <c r="AT11" s="2568"/>
      <c r="AU11" s="2568"/>
      <c r="AV11" s="2568"/>
      <c r="AW11" s="2568"/>
      <c r="AX11" s="2568"/>
      <c r="AY11" s="2568"/>
      <c r="AZ11" s="2568"/>
      <c r="BA11" s="2568"/>
      <c r="BB11" s="2568"/>
      <c r="BC11" s="2568"/>
      <c r="BD11" s="2568"/>
      <c r="BE11" s="2568"/>
      <c r="BF11" s="2568"/>
      <c r="BG11" s="2568"/>
      <c r="BH11" s="2568"/>
      <c r="BI11" s="2568"/>
      <c r="BJ11" s="2568"/>
      <c r="BK11" s="2568"/>
      <c r="BL11" s="2568"/>
      <c r="BM11" s="2568"/>
      <c r="BN11" s="2568"/>
      <c r="BO11" s="2568"/>
    </row>
    <row r="12" spans="1:67" s="2623" customFormat="1" ht="14.25" hidden="1">
      <c r="A12" s="2641">
        <f>'数据-汇总表'!C25</f>
        <v>0</v>
      </c>
      <c r="B12" s="2642" t="str">
        <f t="shared" si="1"/>
        <v/>
      </c>
      <c r="C12" s="2643"/>
      <c r="D12" s="2644">
        <f>SUMIF(项目基本情况!C$12:I$12,C12,项目基本情况!C$14:I$14)</f>
        <v>0</v>
      </c>
      <c r="E12" s="2645" t="str">
        <f>IF(B12="","",SUMIF(项目基本情况!C$12:I$12,C12,项目基本情况!C$13:I$13))</f>
        <v/>
      </c>
      <c r="F12" s="2646">
        <f>SUMIF(项目基本情况!C$12:I$12,C12,项目基本情况!C$15:I$15)</f>
        <v>0</v>
      </c>
      <c r="G12" s="2647">
        <f t="shared" si="2"/>
        <v>0</v>
      </c>
      <c r="H12" s="2649"/>
      <c r="I12" s="2649"/>
      <c r="J12" s="2649"/>
      <c r="K12" s="2732">
        <f>SUMIF('数据-汇总表'!C$19:C$33,A12,'数据-汇总表'!E$19:E$33)</f>
        <v>0</v>
      </c>
      <c r="L12" s="2736"/>
      <c r="M12" s="2734">
        <f t="shared" si="0"/>
        <v>0</v>
      </c>
      <c r="N12" s="2735"/>
      <c r="O12" s="2734" t="str">
        <f t="shared" si="3"/>
        <v>——</v>
      </c>
      <c r="P12" s="1465" t="str">
        <f t="shared" si="4"/>
        <v>——</v>
      </c>
      <c r="Q12" s="2761"/>
      <c r="R12" s="2753">
        <f ca="1">SUMIF('数据-汇总表'!C$19:C$33,A12,'数据-汇总表'!R$19:R$27)</f>
        <v>0</v>
      </c>
      <c r="S12" s="2754">
        <f>IF('数据-汇总表'!$I$17="按面积比例",SUMIF('数据-汇总表'!C$19:C$33,A12,'数据-汇总表'!K$19:K$33),SUMIF('数据-汇总表'!C$19:C$33,A12,'数据-汇总表'!N$19:N$33))</f>
        <v>0</v>
      </c>
      <c r="T12" s="2755">
        <f t="shared" si="5"/>
        <v>0</v>
      </c>
      <c r="U12" s="2756"/>
      <c r="V12" s="2649"/>
      <c r="W12" s="2649"/>
      <c r="X12" s="2758"/>
      <c r="Y12" s="2774"/>
      <c r="Z12" s="2778"/>
      <c r="AA12" s="2649"/>
      <c r="AB12" s="2649"/>
      <c r="AC12" s="2758"/>
      <c r="AD12" s="2776"/>
      <c r="AE12" s="2777">
        <f t="shared" ca="1" si="6"/>
        <v>0</v>
      </c>
      <c r="AF12" s="2298"/>
      <c r="AG12" s="1880">
        <f t="shared" si="7"/>
        <v>0</v>
      </c>
      <c r="AH12" s="2785"/>
      <c r="AI12" s="2786"/>
      <c r="AJ12" s="2298"/>
      <c r="AK12" s="2787"/>
      <c r="AL12" s="2788"/>
      <c r="AM12" s="2789"/>
      <c r="AN12" s="2790"/>
      <c r="AO12" s="1518" t="e">
        <f t="shared" ca="1" si="8"/>
        <v>#REF!</v>
      </c>
      <c r="AP12" s="2800">
        <f t="shared" si="9"/>
        <v>0</v>
      </c>
      <c r="AQ12" s="1518">
        <f t="shared" si="10"/>
        <v>0</v>
      </c>
      <c r="AR12" s="1518">
        <f t="shared" si="11"/>
        <v>0</v>
      </c>
      <c r="AS12" s="2568"/>
      <c r="AT12" s="2568"/>
      <c r="AU12" s="2568"/>
      <c r="AV12" s="2568"/>
      <c r="AW12" s="2568"/>
      <c r="AX12" s="2568"/>
      <c r="AY12" s="2568"/>
      <c r="AZ12" s="2568"/>
      <c r="BA12" s="2568"/>
      <c r="BB12" s="2568"/>
      <c r="BC12" s="2568"/>
      <c r="BD12" s="2568"/>
      <c r="BE12" s="2568"/>
      <c r="BF12" s="2568"/>
      <c r="BG12" s="2568"/>
      <c r="BH12" s="2568"/>
      <c r="BI12" s="2568"/>
      <c r="BJ12" s="2568"/>
      <c r="BK12" s="2568"/>
      <c r="BL12" s="2568"/>
      <c r="BM12" s="2568"/>
      <c r="BN12" s="2568"/>
      <c r="BO12" s="2568"/>
    </row>
    <row r="13" spans="1:67" s="2623" customFormat="1" ht="14.25" hidden="1">
      <c r="A13" s="2641">
        <f>'数据-汇总表'!C26</f>
        <v>0</v>
      </c>
      <c r="B13" s="2642" t="str">
        <f t="shared" si="1"/>
        <v/>
      </c>
      <c r="C13" s="2643"/>
      <c r="D13" s="2644">
        <f>SUMIF(项目基本情况!C$12:I$12,C13,项目基本情况!C$14:I$14)</f>
        <v>0</v>
      </c>
      <c r="E13" s="2645" t="str">
        <f>IF(B13="","",SUMIF(项目基本情况!C$12:I$12,C13,项目基本情况!C$13:I$13))</f>
        <v/>
      </c>
      <c r="F13" s="2646">
        <f>SUMIF(项目基本情况!C$12:I$12,C13,项目基本情况!C$15:I$15)</f>
        <v>0</v>
      </c>
      <c r="G13" s="2647">
        <f t="shared" si="2"/>
        <v>0</v>
      </c>
      <c r="H13" s="2649"/>
      <c r="I13" s="2649"/>
      <c r="J13" s="2649"/>
      <c r="K13" s="2732">
        <f>SUMIF('数据-汇总表'!C$19:C$33,A13,'数据-汇总表'!E$19:E$33)</f>
        <v>0</v>
      </c>
      <c r="L13" s="2736"/>
      <c r="M13" s="2734">
        <f t="shared" si="0"/>
        <v>0</v>
      </c>
      <c r="N13" s="2737"/>
      <c r="O13" s="2734" t="str">
        <f t="shared" si="3"/>
        <v>——</v>
      </c>
      <c r="P13" s="1465" t="str">
        <f t="shared" si="4"/>
        <v>——</v>
      </c>
      <c r="Q13" s="2761"/>
      <c r="R13" s="2753">
        <f ca="1">SUMIF('数据-汇总表'!C$19:C$33,A13,'数据-汇总表'!R$19:R$27)</f>
        <v>0</v>
      </c>
      <c r="S13" s="2754">
        <f>IF('数据-汇总表'!$I$17="按面积比例",SUMIF('数据-汇总表'!C$19:C$33,A13,'数据-汇总表'!K$19:K$33),SUMIF('数据-汇总表'!C$19:C$33,A13,'数据-汇总表'!N$19:N$33))</f>
        <v>0</v>
      </c>
      <c r="T13" s="2755">
        <f t="shared" si="5"/>
        <v>0</v>
      </c>
      <c r="U13" s="2762"/>
      <c r="V13" s="2757"/>
      <c r="W13" s="2757"/>
      <c r="X13" s="2758"/>
      <c r="Y13" s="2774"/>
      <c r="Z13" s="2775"/>
      <c r="AA13" s="2649"/>
      <c r="AB13" s="2649"/>
      <c r="AC13" s="2758"/>
      <c r="AD13" s="2776"/>
      <c r="AE13" s="2777">
        <f t="shared" ca="1" si="6"/>
        <v>0</v>
      </c>
      <c r="AF13" s="2298"/>
      <c r="AG13" s="1880">
        <f t="shared" si="7"/>
        <v>0</v>
      </c>
      <c r="AH13" s="2785"/>
      <c r="AI13" s="2786"/>
      <c r="AJ13" s="2298"/>
      <c r="AK13" s="2787"/>
      <c r="AL13" s="2788"/>
      <c r="AM13" s="2789"/>
      <c r="AN13" s="2790"/>
      <c r="AO13" s="1518" t="e">
        <f t="shared" ca="1" si="8"/>
        <v>#REF!</v>
      </c>
      <c r="AP13" s="2800">
        <f t="shared" si="9"/>
        <v>0</v>
      </c>
      <c r="AQ13" s="1518">
        <f t="shared" si="10"/>
        <v>0</v>
      </c>
      <c r="AR13" s="1518">
        <f t="shared" si="11"/>
        <v>0</v>
      </c>
      <c r="AS13" s="2568"/>
      <c r="AT13" s="2568"/>
      <c r="AU13" s="2568"/>
      <c r="AV13" s="2568"/>
      <c r="AW13" s="2568"/>
      <c r="AX13" s="2568"/>
      <c r="AY13" s="2568"/>
      <c r="AZ13" s="2568"/>
      <c r="BA13" s="2568"/>
      <c r="BB13" s="2568"/>
      <c r="BC13" s="2568"/>
      <c r="BD13" s="2568"/>
      <c r="BE13" s="2568"/>
      <c r="BF13" s="2568"/>
      <c r="BG13" s="2568"/>
      <c r="BH13" s="2568"/>
      <c r="BI13" s="2568"/>
      <c r="BJ13" s="2568"/>
      <c r="BK13" s="2568"/>
      <c r="BL13" s="2568"/>
      <c r="BM13" s="2568"/>
      <c r="BN13" s="2568"/>
      <c r="BO13" s="2568"/>
    </row>
    <row r="14" spans="1:67" s="2623" customFormat="1" ht="14.25">
      <c r="A14" s="2650" t="s">
        <v>655</v>
      </c>
      <c r="B14" s="2642" t="s">
        <v>654</v>
      </c>
      <c r="C14" s="2651" t="s">
        <v>655</v>
      </c>
      <c r="D14" s="2644"/>
      <c r="E14" s="2645"/>
      <c r="F14" s="2646"/>
      <c r="G14" s="2647"/>
      <c r="H14" s="2652"/>
      <c r="I14" s="2652"/>
      <c r="J14" s="2652"/>
      <c r="K14" s="2732">
        <f>SUMIF('数据-汇总表'!C$19:C$33,A14,'数据-汇总表'!E$19:E$33)</f>
        <v>373.64</v>
      </c>
      <c r="L14" s="2736">
        <f>L6</f>
        <v>5500</v>
      </c>
      <c r="M14" s="2734">
        <f t="shared" si="0"/>
        <v>206</v>
      </c>
      <c r="N14" s="2737">
        <f>N6</f>
        <v>0.73</v>
      </c>
      <c r="O14" s="2734" t="str">
        <f t="shared" si="3"/>
        <v>——</v>
      </c>
      <c r="P14" s="1465" t="str">
        <f t="shared" si="4"/>
        <v>——</v>
      </c>
      <c r="Q14" s="2763"/>
      <c r="R14" s="2753"/>
      <c r="S14" s="2754"/>
      <c r="T14" s="2755"/>
      <c r="U14" s="2764"/>
      <c r="V14" s="2765"/>
      <c r="W14" s="2765"/>
      <c r="X14" s="2766"/>
      <c r="Y14" s="2779"/>
      <c r="Z14" s="2301"/>
      <c r="AA14" s="2780"/>
      <c r="AB14" s="2780"/>
      <c r="AC14" s="2758"/>
      <c r="AD14" s="2766"/>
      <c r="AE14" s="2777"/>
      <c r="AF14" s="1518"/>
      <c r="AG14" s="1880"/>
      <c r="AH14" s="2777"/>
      <c r="AI14" s="1510"/>
      <c r="AJ14" s="1518"/>
      <c r="AK14" s="2794"/>
      <c r="AL14" s="2795"/>
      <c r="AM14" s="2796"/>
      <c r="AN14" s="2121"/>
      <c r="AO14" s="2661"/>
      <c r="AP14" s="2661"/>
      <c r="AQ14" s="2661"/>
      <c r="AR14" s="2661"/>
      <c r="AS14" s="2568"/>
      <c r="AT14" s="2568"/>
      <c r="AU14" s="2568"/>
      <c r="AV14" s="2568"/>
      <c r="AW14" s="2568"/>
      <c r="AX14" s="2568"/>
      <c r="AY14" s="2568"/>
      <c r="AZ14" s="2568"/>
      <c r="BA14" s="2568"/>
      <c r="BB14" s="2568"/>
      <c r="BC14" s="2568"/>
      <c r="BD14" s="2568"/>
      <c r="BE14" s="2568"/>
      <c r="BF14" s="2568"/>
      <c r="BG14" s="2568"/>
      <c r="BH14" s="2568"/>
      <c r="BI14" s="2568"/>
      <c r="BJ14" s="2568"/>
      <c r="BK14" s="2568"/>
      <c r="BL14" s="2568"/>
      <c r="BM14" s="2568"/>
      <c r="BN14" s="2568"/>
      <c r="BO14" s="2568"/>
    </row>
    <row r="15" spans="1:67" s="2623" customFormat="1" ht="27">
      <c r="A15" s="2650" t="s">
        <v>656</v>
      </c>
      <c r="B15" s="2642" t="s">
        <v>654</v>
      </c>
      <c r="C15" s="2651" t="s">
        <v>702</v>
      </c>
      <c r="D15" s="2644"/>
      <c r="E15" s="2645"/>
      <c r="F15" s="2646"/>
      <c r="G15" s="2647"/>
      <c r="H15" s="2652"/>
      <c r="I15" s="2652"/>
      <c r="J15" s="2652"/>
      <c r="K15" s="2732">
        <f>SUMIF('数据-汇总表'!C$19:C$33,A15,'数据-汇总表'!E$19:E$33)</f>
        <v>0</v>
      </c>
      <c r="L15" s="2738"/>
      <c r="M15" s="2734"/>
      <c r="N15" s="2739"/>
      <c r="O15" s="2734"/>
      <c r="P15" s="1465"/>
      <c r="Q15" s="2763"/>
      <c r="R15" s="2753"/>
      <c r="S15" s="2754"/>
      <c r="T15" s="2755"/>
      <c r="U15" s="2764"/>
      <c r="V15" s="2765"/>
      <c r="W15" s="2765"/>
      <c r="X15" s="2766"/>
      <c r="Y15" s="2779"/>
      <c r="Z15" s="2301"/>
      <c r="AA15" s="2780"/>
      <c r="AB15" s="2780"/>
      <c r="AC15" s="2758"/>
      <c r="AD15" s="2766"/>
      <c r="AE15" s="2777"/>
      <c r="AF15" s="1518"/>
      <c r="AG15" s="1880"/>
      <c r="AH15" s="2777"/>
      <c r="AI15" s="1510"/>
      <c r="AJ15" s="1518"/>
      <c r="AK15" s="2794"/>
      <c r="AL15" s="2795"/>
      <c r="AM15" s="2796"/>
      <c r="AN15" s="2121"/>
      <c r="AO15" s="2661"/>
      <c r="AP15" s="2661"/>
      <c r="AQ15" s="2661"/>
      <c r="AR15" s="2661"/>
      <c r="AS15" s="2568"/>
      <c r="AT15" s="2568"/>
      <c r="AU15" s="2568"/>
      <c r="AV15" s="2568"/>
      <c r="AW15" s="2568"/>
      <c r="AX15" s="2568"/>
      <c r="AY15" s="2568"/>
      <c r="AZ15" s="2568"/>
      <c r="BA15" s="2568"/>
      <c r="BB15" s="2568"/>
      <c r="BC15" s="2568"/>
      <c r="BD15" s="2568"/>
      <c r="BE15" s="2568"/>
      <c r="BF15" s="2568"/>
      <c r="BG15" s="2568"/>
      <c r="BH15" s="2568"/>
      <c r="BI15" s="2568"/>
      <c r="BJ15" s="2568"/>
      <c r="BK15" s="2568"/>
      <c r="BL15" s="2568"/>
      <c r="BM15" s="2568"/>
      <c r="BN15" s="2568"/>
      <c r="BO15" s="2568"/>
    </row>
    <row r="16" spans="1:67" s="2623" customFormat="1" ht="15">
      <c r="A16" s="2653" t="s">
        <v>657</v>
      </c>
      <c r="B16" s="2654"/>
      <c r="C16" s="2178"/>
      <c r="D16" s="2655"/>
      <c r="E16" s="2654"/>
      <c r="F16" s="2654"/>
      <c r="G16" s="2656">
        <f>ROUND(SUMPRODUCT(G6:G13,K6:K13)/SUMPRODUCT((G6:G13&gt;0)*(K6:K13)),3)</f>
        <v>0.70399999999999996</v>
      </c>
      <c r="H16" s="2657">
        <f>ROUND(SUMPRODUCT(H6:H13,K6:K13)/SUMPRODUCT((H6:H13&gt;0)*(K6:K13)),3)</f>
        <v>0.05</v>
      </c>
      <c r="I16" s="2740"/>
      <c r="J16" s="2740"/>
      <c r="K16" s="2741">
        <f>SUM(K6:K15)</f>
        <v>65221.919999999998</v>
      </c>
      <c r="L16" s="2742">
        <f>ROUND(M16*10000/SUM(K6:K14),0)</f>
        <v>5500</v>
      </c>
      <c r="M16" s="2742">
        <f>SUM(M6:M14)</f>
        <v>35872</v>
      </c>
      <c r="N16" s="2743">
        <f>ROUND(SUMPRODUCT(M6:M14,N6:N14)/M16,3)</f>
        <v>0.73</v>
      </c>
      <c r="O16" s="2742">
        <f>SUM(O6:O14)</f>
        <v>0</v>
      </c>
      <c r="P16" s="2742">
        <f>SUM(P6:P14)</f>
        <v>0</v>
      </c>
      <c r="Q16" s="2767">
        <f>ROUND(SUMPRODUCT(Q6:Q13,K6:K13)/SUMPRODUCT((Q6:Q13&gt;0)*(K6:K13)),2)</f>
        <v>0.18</v>
      </c>
      <c r="R16" s="2768">
        <f ca="1">SUM(R6:R13)</f>
        <v>12590.599999999999</v>
      </c>
      <c r="S16" s="2769">
        <f>SUM(S6:S13)</f>
        <v>373.64</v>
      </c>
      <c r="T16" s="2770" t="str">
        <f>IF(SUMIF(T6:T13,"&lt;9E307")=M14,SUMIF(T6:T13,"&lt;9E307"),"有误，请检查")</f>
        <v>有误，请检查</v>
      </c>
      <c r="U16" s="2771"/>
      <c r="V16" s="2313"/>
      <c r="W16" s="2313"/>
      <c r="X16" s="2772"/>
      <c r="Y16" s="2781"/>
      <c r="Z16" s="2782"/>
      <c r="AA16" s="2313"/>
      <c r="AB16" s="2313"/>
      <c r="AC16" s="2772"/>
      <c r="AD16" s="2772"/>
      <c r="AE16" s="2771"/>
      <c r="AF16" s="2313"/>
      <c r="AG16" s="2781"/>
      <c r="AH16" s="2771"/>
      <c r="AI16" s="2782"/>
      <c r="AJ16" s="2782"/>
      <c r="AK16" s="2313"/>
      <c r="AL16" s="2313"/>
      <c r="AM16" s="2781"/>
      <c r="AN16" s="2121"/>
      <c r="AO16" s="2661"/>
      <c r="AP16" s="2661"/>
      <c r="AQ16" s="2661"/>
      <c r="AR16" s="2661"/>
      <c r="AS16" s="2568"/>
      <c r="AT16" s="2568"/>
      <c r="AU16" s="2568"/>
      <c r="AV16" s="2568"/>
      <c r="AW16" s="2568"/>
      <c r="AX16" s="2568"/>
      <c r="AY16" s="2568"/>
      <c r="AZ16" s="2568"/>
      <c r="BA16" s="2568"/>
      <c r="BB16" s="2568"/>
      <c r="BC16" s="2568"/>
      <c r="BD16" s="2568"/>
      <c r="BE16" s="2568"/>
      <c r="BF16" s="2568"/>
      <c r="BG16" s="2568"/>
      <c r="BH16" s="2568"/>
      <c r="BI16" s="2568"/>
      <c r="BJ16" s="2568"/>
      <c r="BK16" s="2568"/>
      <c r="BL16" s="2568"/>
      <c r="BM16" s="2568"/>
      <c r="BN16" s="2568"/>
      <c r="BO16" s="2568"/>
    </row>
    <row r="17" spans="1:44">
      <c r="A17" s="2574"/>
      <c r="B17" s="2658"/>
      <c r="C17" s="2121"/>
      <c r="D17" s="2659"/>
      <c r="E17" s="2659"/>
      <c r="F17" s="2121"/>
      <c r="G17" s="2121"/>
      <c r="H17" s="2121"/>
      <c r="I17" s="2121"/>
      <c r="J17" s="2121"/>
      <c r="K17" s="2744"/>
      <c r="L17" s="2744"/>
      <c r="M17" s="2121"/>
      <c r="N17" s="2745"/>
      <c r="O17" s="2745"/>
      <c r="P17" s="2745" t="s">
        <v>703</v>
      </c>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121"/>
    </row>
    <row r="18" spans="1:44" ht="14.25">
      <c r="A18" s="1716" t="s">
        <v>704</v>
      </c>
      <c r="B18" s="2660"/>
      <c r="C18" s="2661"/>
      <c r="D18" s="2662"/>
      <c r="E18" s="2661"/>
      <c r="F18" s="2661"/>
      <c r="G18" s="2661"/>
      <c r="H18" s="2661"/>
      <c r="I18" s="2661"/>
      <c r="J18" s="2661"/>
      <c r="K18" s="2744"/>
      <c r="L18" s="2744"/>
      <c r="M18" s="2121"/>
      <c r="N18" s="2746" t="s">
        <v>705</v>
      </c>
      <c r="O18" s="2745">
        <f>ROUND(1-(1-0%)*(2025-2000)/60,2)</f>
        <v>0.57999999999999996</v>
      </c>
      <c r="P18" s="2745">
        <f>ROUND(1-(1-0%)*(2029-2000)/60,2)</f>
        <v>0.52</v>
      </c>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c r="AL18" s="2121"/>
      <c r="AM18" s="2121"/>
      <c r="AN18" s="2121"/>
      <c r="AO18" s="2121"/>
      <c r="AP18" s="2121"/>
      <c r="AQ18" s="2121"/>
      <c r="AR18" s="2121"/>
    </row>
    <row r="19" spans="1:44" ht="14.25">
      <c r="A19" s="2663" t="s">
        <v>706</v>
      </c>
      <c r="B19" s="2664">
        <v>0</v>
      </c>
      <c r="C19" s="2665" t="s">
        <v>707</v>
      </c>
      <c r="D19" s="2662"/>
      <c r="E19" s="2661"/>
      <c r="F19" s="2661"/>
      <c r="G19" s="2661"/>
      <c r="H19" s="2661"/>
      <c r="I19" s="2661"/>
      <c r="J19" s="2661"/>
      <c r="K19" s="2744"/>
      <c r="L19" s="2744"/>
      <c r="M19" s="2121"/>
      <c r="N19" s="2746" t="s">
        <v>708</v>
      </c>
      <c r="O19" s="2745">
        <v>0.88</v>
      </c>
      <c r="P19" s="2745">
        <v>0.85</v>
      </c>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1"/>
      <c r="AM19" s="2121"/>
      <c r="AN19" s="2121"/>
      <c r="AO19" s="2121"/>
      <c r="AP19" s="2121"/>
      <c r="AQ19" s="2121"/>
      <c r="AR19" s="2121"/>
    </row>
    <row r="20" spans="1:44" ht="14.25">
      <c r="A20" s="2666" t="s">
        <v>709</v>
      </c>
      <c r="B20" s="2667">
        <v>2.5</v>
      </c>
      <c r="C20" s="2668" t="s">
        <v>710</v>
      </c>
      <c r="D20" s="2662"/>
      <c r="E20" s="2661"/>
      <c r="F20" s="2661"/>
      <c r="G20" s="2661"/>
      <c r="H20" s="2661"/>
      <c r="I20" s="2661"/>
      <c r="J20" s="2661"/>
      <c r="K20" s="2744"/>
      <c r="L20" s="2744"/>
      <c r="M20" s="2121"/>
      <c r="N20" s="2745"/>
      <c r="O20" s="2745">
        <f>ROUND((O18+O19)/2,2)</f>
        <v>0.73</v>
      </c>
      <c r="P20" s="2745">
        <f>ROUND((P18+P19)/2,2)</f>
        <v>0.69</v>
      </c>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c r="AL20" s="2121"/>
      <c r="AM20" s="2121"/>
      <c r="AN20" s="2121"/>
      <c r="AO20" s="2121"/>
      <c r="AP20" s="2121"/>
      <c r="AQ20" s="2121"/>
      <c r="AR20" s="2121"/>
    </row>
    <row r="21" spans="1:44" ht="14.25">
      <c r="A21" s="2669" t="s">
        <v>711</v>
      </c>
      <c r="B21" s="2667">
        <v>2.5</v>
      </c>
      <c r="C21" s="2661"/>
      <c r="D21" s="2662"/>
      <c r="E21" s="2661"/>
      <c r="F21" s="2661"/>
      <c r="G21" s="2661"/>
      <c r="H21" s="2661"/>
      <c r="I21" s="2661"/>
      <c r="J21" s="266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c r="AL21" s="2121"/>
      <c r="AM21" s="2121"/>
      <c r="AN21" s="2121"/>
      <c r="AO21" s="2121"/>
      <c r="AP21" s="2121"/>
      <c r="AQ21" s="2121"/>
      <c r="AR21" s="2121"/>
    </row>
    <row r="22" spans="1:44" ht="14.25">
      <c r="A22" s="2666" t="s">
        <v>712</v>
      </c>
      <c r="B22" s="2670">
        <f>B19+B20</f>
        <v>2.5</v>
      </c>
      <c r="C22" s="2661"/>
      <c r="D22" s="2662"/>
      <c r="E22" s="2661"/>
      <c r="F22" s="2661"/>
      <c r="G22" s="2661"/>
      <c r="H22" s="2661"/>
      <c r="I22" s="2661"/>
      <c r="J22" s="2661"/>
      <c r="K22" s="2744"/>
      <c r="L22" s="2744"/>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2121"/>
      <c r="AM22" s="2121"/>
      <c r="AN22" s="2121"/>
      <c r="AO22" s="2121"/>
      <c r="AP22" s="2121"/>
      <c r="AQ22" s="2121"/>
      <c r="AR22" s="2121"/>
    </row>
    <row r="23" spans="1:44" ht="14.25">
      <c r="A23" s="2669" t="s">
        <v>713</v>
      </c>
      <c r="B23" s="2670">
        <f>B19+B21</f>
        <v>2.5</v>
      </c>
      <c r="C23" s="2661"/>
      <c r="D23" s="2662"/>
      <c r="E23" s="2661"/>
      <c r="F23" s="2661"/>
      <c r="G23" s="2661"/>
      <c r="H23" s="2661"/>
      <c r="I23" s="2661"/>
      <c r="J23" s="2661"/>
      <c r="K23" s="2744"/>
      <c r="L23" s="2744"/>
      <c r="M23" s="2121"/>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c r="AL23" s="2121"/>
      <c r="AM23" s="2121"/>
      <c r="AN23" s="2121"/>
      <c r="AO23" s="2121"/>
      <c r="AP23" s="2121"/>
      <c r="AQ23" s="2121"/>
      <c r="AR23" s="2121"/>
    </row>
    <row r="24" spans="1:44" ht="14.25">
      <c r="A24" s="2671" t="s">
        <v>714</v>
      </c>
      <c r="B24" s="2672">
        <f>B20-B21</f>
        <v>0</v>
      </c>
      <c r="C24" s="2661"/>
      <c r="D24" s="2662"/>
      <c r="E24" s="2661"/>
      <c r="F24" s="2661"/>
      <c r="G24" s="2661"/>
      <c r="H24" s="2661"/>
      <c r="I24" s="2661"/>
      <c r="J24" s="2661"/>
      <c r="K24" s="2744"/>
      <c r="L24" s="2744"/>
      <c r="M24" s="2121"/>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c r="AL24" s="2121"/>
      <c r="AM24" s="2121"/>
      <c r="AN24" s="2121"/>
      <c r="AO24" s="2121"/>
      <c r="AP24" s="2121"/>
      <c r="AQ24" s="2121"/>
      <c r="AR24" s="2121"/>
    </row>
    <row r="25" spans="1:44" ht="14.25">
      <c r="A25" s="2633"/>
      <c r="B25" s="2304"/>
      <c r="C25" s="2661"/>
      <c r="D25" s="2662"/>
      <c r="E25" s="2661"/>
      <c r="F25" s="2661"/>
      <c r="G25" s="2661"/>
      <c r="H25" s="2661"/>
      <c r="I25" s="2661"/>
      <c r="J25" s="2661"/>
      <c r="K25" s="2744"/>
      <c r="L25" s="2744"/>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2121"/>
      <c r="AR25" s="2121"/>
    </row>
    <row r="26" spans="1:44" ht="14.25">
      <c r="A26" s="2630" t="s">
        <v>715</v>
      </c>
      <c r="B26" s="2673" t="s">
        <v>716</v>
      </c>
      <c r="C26" s="2674" t="s">
        <v>717</v>
      </c>
      <c r="D26" s="2662"/>
      <c r="E26" s="2661"/>
      <c r="F26" s="2661"/>
      <c r="G26" s="2661"/>
      <c r="H26" s="2661"/>
      <c r="I26" s="2661"/>
      <c r="J26" s="2661"/>
      <c r="K26" s="2744"/>
      <c r="L26" s="2744"/>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1"/>
      <c r="AM26" s="2121"/>
      <c r="AN26" s="2121"/>
      <c r="AO26" s="2121"/>
      <c r="AP26" s="2121"/>
      <c r="AQ26" s="2121"/>
      <c r="AR26" s="2121"/>
    </row>
    <row r="27" spans="1:44" ht="27.75">
      <c r="A27" s="2675" t="s">
        <v>718</v>
      </c>
      <c r="B27" s="2676">
        <v>160</v>
      </c>
      <c r="C27" s="2677" t="s">
        <v>719</v>
      </c>
      <c r="D27" s="2678"/>
      <c r="E27" s="1464"/>
      <c r="F27" s="1464"/>
      <c r="G27" s="2661"/>
      <c r="H27" s="2661"/>
      <c r="I27" s="2661"/>
      <c r="J27" s="2661"/>
      <c r="K27" s="2744"/>
      <c r="L27" s="2744"/>
      <c r="M27" s="2121"/>
      <c r="N27" s="2121"/>
      <c r="O27" s="2121"/>
      <c r="P27" s="2121"/>
      <c r="Q27" s="2121"/>
      <c r="R27" s="2121"/>
      <c r="S27" s="2121"/>
      <c r="T27" s="2121"/>
      <c r="U27" s="2121"/>
      <c r="V27" s="2121"/>
      <c r="W27" s="2121"/>
      <c r="X27" s="2121"/>
      <c r="Y27" s="2121"/>
      <c r="Z27" s="2121"/>
      <c r="AA27" s="2121"/>
      <c r="AB27" s="2121"/>
      <c r="AC27" s="2121"/>
      <c r="AD27" s="2121"/>
      <c r="AE27" s="2121"/>
      <c r="AF27" s="2121"/>
      <c r="AG27" s="2121"/>
      <c r="AH27" s="2121"/>
      <c r="AI27" s="2121"/>
      <c r="AJ27" s="2121"/>
      <c r="AK27" s="2121"/>
      <c r="AL27" s="2121"/>
      <c r="AM27" s="2121"/>
      <c r="AN27" s="2121"/>
      <c r="AO27" s="2121"/>
      <c r="AP27" s="2121"/>
      <c r="AQ27" s="2121"/>
      <c r="AR27" s="2121"/>
    </row>
    <row r="28" spans="1:44" ht="27.75">
      <c r="A28" s="2679" t="s">
        <v>720</v>
      </c>
      <c r="B28" s="2680">
        <v>200</v>
      </c>
      <c r="C28" s="2681"/>
      <c r="D28" s="2678"/>
      <c r="E28" s="1464"/>
      <c r="F28" s="1464"/>
      <c r="G28" s="2661"/>
      <c r="H28" s="2661"/>
      <c r="I28" s="2661"/>
      <c r="J28" s="2661"/>
      <c r="K28" s="2744"/>
      <c r="L28" s="2744"/>
      <c r="M28" s="2121"/>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c r="AL28" s="2121"/>
      <c r="AM28" s="2121"/>
      <c r="AN28" s="2121"/>
      <c r="AO28" s="2121"/>
      <c r="AP28" s="2121"/>
      <c r="AQ28" s="2121"/>
      <c r="AR28" s="2121"/>
    </row>
    <row r="29" spans="1:44" ht="27.75">
      <c r="A29" s="2682" t="s">
        <v>721</v>
      </c>
      <c r="B29" s="2683">
        <f ca="1">成本法!C10</f>
        <v>1304</v>
      </c>
      <c r="C29" s="2684" t="s">
        <v>722</v>
      </c>
      <c r="D29" s="2678"/>
      <c r="E29" s="1464"/>
      <c r="F29" s="1464"/>
      <c r="G29" s="2661"/>
      <c r="H29" s="2661"/>
      <c r="I29" s="2661"/>
      <c r="J29" s="2661"/>
      <c r="K29" s="2744"/>
      <c r="L29" s="2744"/>
      <c r="M29" s="2121"/>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row>
    <row r="30" spans="1:44" ht="27">
      <c r="A30" s="2685" t="s">
        <v>723</v>
      </c>
      <c r="B30" s="2686">
        <v>200</v>
      </c>
      <c r="C30" s="2681"/>
      <c r="D30" s="2678"/>
      <c r="E30" s="1464"/>
      <c r="F30" s="1464"/>
      <c r="G30" s="2661"/>
      <c r="H30" s="2661"/>
      <c r="I30" s="2661"/>
      <c r="J30" s="2661"/>
      <c r="K30" s="2744"/>
      <c r="L30" s="2744"/>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1"/>
      <c r="AK30" s="2121"/>
      <c r="AL30" s="2121"/>
      <c r="AM30" s="2121"/>
      <c r="AN30" s="2121"/>
      <c r="AO30" s="2121"/>
      <c r="AP30" s="2121"/>
      <c r="AQ30" s="2121"/>
      <c r="AR30" s="2121"/>
    </row>
    <row r="31" spans="1:44" ht="27">
      <c r="A31" s="2679" t="s">
        <v>724</v>
      </c>
      <c r="B31" s="2687">
        <f>B30-B32</f>
        <v>200</v>
      </c>
      <c r="C31" s="2688"/>
      <c r="D31" s="2678"/>
      <c r="E31" s="1464"/>
      <c r="F31" s="1464"/>
      <c r="G31" s="2661"/>
      <c r="H31" s="2661"/>
      <c r="I31" s="2661"/>
      <c r="J31" s="2661"/>
      <c r="K31" s="2744"/>
      <c r="L31" s="2744"/>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1"/>
      <c r="AM31" s="2121"/>
      <c r="AN31" s="2121"/>
      <c r="AO31" s="2121"/>
      <c r="AP31" s="2121"/>
      <c r="AQ31" s="2121"/>
      <c r="AR31" s="2121"/>
    </row>
    <row r="32" spans="1:44" ht="27">
      <c r="A32" s="2689" t="s">
        <v>725</v>
      </c>
      <c r="B32" s="2690">
        <v>0</v>
      </c>
      <c r="C32" s="2681"/>
      <c r="D32" s="2662"/>
      <c r="E32" s="2661"/>
      <c r="F32" s="2661"/>
      <c r="G32" s="2661"/>
      <c r="H32" s="2661"/>
      <c r="I32" s="2661"/>
      <c r="J32" s="2661"/>
      <c r="K32" s="2744"/>
      <c r="L32" s="2744"/>
      <c r="M32" s="2121"/>
      <c r="N32" s="2121"/>
      <c r="O32" s="2121"/>
      <c r="P32" s="2121"/>
      <c r="Q32" s="2121"/>
      <c r="R32" s="2121"/>
      <c r="S32" s="2121"/>
      <c r="T32" s="2121"/>
      <c r="U32" s="2121"/>
      <c r="V32" s="2121"/>
      <c r="W32" s="2121"/>
      <c r="X32" s="2121"/>
      <c r="Y32" s="2121"/>
      <c r="Z32" s="2121"/>
      <c r="AA32" s="2121"/>
      <c r="AB32" s="2121"/>
      <c r="AC32" s="2121"/>
      <c r="AD32" s="2121"/>
      <c r="AE32" s="2121"/>
      <c r="AF32" s="2121"/>
      <c r="AG32" s="2121"/>
      <c r="AH32" s="2121"/>
      <c r="AI32" s="2121"/>
      <c r="AJ32" s="2121"/>
      <c r="AK32" s="2121"/>
      <c r="AL32" s="2121"/>
      <c r="AM32" s="2121"/>
      <c r="AN32" s="2121"/>
      <c r="AO32" s="2121"/>
      <c r="AP32" s="2121"/>
      <c r="AQ32" s="2121"/>
      <c r="AR32" s="2121"/>
    </row>
    <row r="33" spans="1:44" ht="14.25">
      <c r="A33" s="2675" t="s">
        <v>726</v>
      </c>
      <c r="B33" s="2691">
        <v>0.05</v>
      </c>
      <c r="C33" s="2692" t="s">
        <v>727</v>
      </c>
      <c r="D33" s="2662"/>
      <c r="E33" s="2661"/>
      <c r="F33" s="2661"/>
      <c r="G33" s="2661"/>
      <c r="H33" s="2661"/>
      <c r="I33" s="2661"/>
      <c r="J33" s="2661"/>
      <c r="K33" s="2744"/>
      <c r="L33" s="2744"/>
      <c r="M33" s="2121"/>
      <c r="N33" s="2121"/>
      <c r="O33" s="2121"/>
      <c r="P33" s="2121"/>
      <c r="Q33" s="2121"/>
      <c r="R33" s="2121"/>
      <c r="S33" s="2121"/>
      <c r="T33" s="2121"/>
      <c r="U33" s="2121"/>
      <c r="V33" s="2121"/>
      <c r="W33" s="2121"/>
      <c r="X33" s="2121"/>
      <c r="Y33" s="2121"/>
      <c r="Z33" s="2121"/>
      <c r="AA33" s="2121"/>
      <c r="AB33" s="2121"/>
      <c r="AC33" s="2121"/>
      <c r="AD33" s="2121"/>
      <c r="AE33" s="2121"/>
      <c r="AF33" s="2121"/>
      <c r="AG33" s="2121"/>
      <c r="AH33" s="2121"/>
      <c r="AI33" s="2121"/>
      <c r="AJ33" s="2121"/>
      <c r="AK33" s="2121"/>
      <c r="AL33" s="2121"/>
      <c r="AM33" s="2121"/>
      <c r="AN33" s="2121"/>
      <c r="AO33" s="2121"/>
      <c r="AP33" s="2121"/>
      <c r="AQ33" s="2121"/>
      <c r="AR33" s="2121"/>
    </row>
    <row r="34" spans="1:44" ht="14.25">
      <c r="A34" s="2679" t="s">
        <v>728</v>
      </c>
      <c r="B34" s="2693">
        <v>0</v>
      </c>
      <c r="C34" s="2692" t="s">
        <v>729</v>
      </c>
      <c r="D34" s="2694" t="s">
        <v>730</v>
      </c>
      <c r="E34" s="2658"/>
      <c r="F34" s="2661"/>
      <c r="G34" s="2661"/>
      <c r="H34" s="2661"/>
      <c r="I34" s="2661"/>
      <c r="J34" s="2661"/>
      <c r="K34" s="2744"/>
      <c r="L34" s="2744"/>
      <c r="M34" s="2121"/>
      <c r="N34" s="2121"/>
      <c r="O34" s="2121"/>
      <c r="P34" s="2121"/>
      <c r="Q34" s="2121"/>
      <c r="R34" s="2121"/>
      <c r="S34" s="2121"/>
      <c r="T34" s="2121"/>
      <c r="U34" s="2121"/>
      <c r="V34" s="2121"/>
      <c r="W34" s="2121"/>
      <c r="X34" s="2121"/>
      <c r="Y34" s="2121"/>
      <c r="Z34" s="2121"/>
      <c r="AA34" s="2121"/>
      <c r="AB34" s="2121"/>
      <c r="AC34" s="2121"/>
      <c r="AD34" s="2121"/>
      <c r="AE34" s="2121"/>
      <c r="AF34" s="2121"/>
      <c r="AG34" s="2121"/>
      <c r="AH34" s="2121"/>
      <c r="AI34" s="2121"/>
      <c r="AJ34" s="2121"/>
      <c r="AK34" s="2121"/>
      <c r="AL34" s="2121"/>
      <c r="AM34" s="2121"/>
      <c r="AN34" s="2121"/>
      <c r="AO34" s="2121"/>
      <c r="AP34" s="2121"/>
      <c r="AQ34" s="2121"/>
      <c r="AR34" s="2121"/>
    </row>
    <row r="35" spans="1:44" ht="14.25">
      <c r="A35" s="2679" t="s">
        <v>731</v>
      </c>
      <c r="B35" s="2680">
        <v>200</v>
      </c>
      <c r="C35" s="2692" t="s">
        <v>732</v>
      </c>
      <c r="D35" s="2678"/>
      <c r="E35" s="1464"/>
      <c r="F35" s="1464"/>
      <c r="G35" s="2661"/>
      <c r="H35" s="2661"/>
      <c r="I35" s="2661"/>
      <c r="J35" s="2661"/>
      <c r="K35" s="2744"/>
      <c r="L35" s="2744"/>
      <c r="M35" s="2121"/>
      <c r="N35" s="2121"/>
      <c r="O35" s="2121"/>
      <c r="P35" s="2121"/>
      <c r="Q35" s="2121"/>
      <c r="R35" s="2121"/>
      <c r="S35" s="2121"/>
      <c r="T35" s="2121"/>
      <c r="U35" s="2121"/>
      <c r="V35" s="2121"/>
      <c r="W35" s="2121"/>
      <c r="X35" s="2121"/>
      <c r="Y35" s="2121"/>
      <c r="Z35" s="2121"/>
      <c r="AA35" s="2121"/>
      <c r="AB35" s="2121"/>
      <c r="AC35" s="2121"/>
      <c r="AD35" s="2121"/>
      <c r="AE35" s="2121"/>
      <c r="AF35" s="2121"/>
      <c r="AG35" s="2121"/>
      <c r="AH35" s="2121"/>
      <c r="AI35" s="2121"/>
      <c r="AJ35" s="2121"/>
      <c r="AK35" s="2121"/>
      <c r="AL35" s="2121"/>
      <c r="AM35" s="2121"/>
      <c r="AN35" s="2121"/>
      <c r="AO35" s="2121"/>
      <c r="AP35" s="2121"/>
      <c r="AQ35" s="2121"/>
      <c r="AR35" s="2121"/>
    </row>
    <row r="36" spans="1:44" ht="14.25">
      <c r="A36" s="2682" t="s">
        <v>733</v>
      </c>
      <c r="B36" s="2695">
        <v>0.02</v>
      </c>
      <c r="C36" s="2692" t="s">
        <v>734</v>
      </c>
      <c r="D36" s="2662"/>
      <c r="E36" s="2661"/>
      <c r="F36" s="2661"/>
      <c r="G36" s="2661"/>
      <c r="H36" s="2661"/>
      <c r="I36" s="2661"/>
      <c r="J36" s="2661"/>
      <c r="K36" s="2744"/>
      <c r="L36" s="2744"/>
      <c r="M36" s="2121"/>
      <c r="N36" s="2121"/>
      <c r="O36" s="2121"/>
      <c r="P36" s="2121"/>
      <c r="Q36" s="2121"/>
      <c r="R36" s="2121"/>
      <c r="S36" s="2121"/>
      <c r="T36" s="2121"/>
      <c r="U36" s="2121"/>
      <c r="V36" s="2121"/>
      <c r="W36" s="2121"/>
      <c r="X36" s="2121"/>
      <c r="Y36" s="2121"/>
      <c r="Z36" s="2121"/>
      <c r="AA36" s="2121"/>
      <c r="AB36" s="2121"/>
      <c r="AC36" s="2121"/>
      <c r="AD36" s="2121"/>
      <c r="AE36" s="2121"/>
      <c r="AF36" s="2121"/>
      <c r="AG36" s="2121"/>
      <c r="AH36" s="2121"/>
      <c r="AI36" s="2121"/>
      <c r="AJ36" s="2121"/>
      <c r="AK36" s="2121"/>
      <c r="AL36" s="2121"/>
      <c r="AM36" s="2121"/>
      <c r="AN36" s="2121"/>
      <c r="AO36" s="2121"/>
      <c r="AP36" s="2121"/>
      <c r="AQ36" s="2121"/>
      <c r="AR36" s="2121"/>
    </row>
    <row r="37" spans="1:44" ht="14.25">
      <c r="A37" s="2685" t="s">
        <v>735</v>
      </c>
      <c r="B37" s="2696">
        <v>0.02</v>
      </c>
      <c r="C37" s="2692" t="s">
        <v>736</v>
      </c>
      <c r="D37" s="2662"/>
      <c r="E37" s="2661"/>
      <c r="F37" s="2661"/>
      <c r="G37" s="2661"/>
      <c r="H37" s="2661"/>
      <c r="I37" s="2661"/>
      <c r="J37" s="2661"/>
      <c r="K37" s="2744"/>
      <c r="L37" s="2744"/>
      <c r="M37" s="2121"/>
      <c r="N37" s="2121"/>
      <c r="O37" s="2121"/>
      <c r="P37" s="2121"/>
      <c r="Q37" s="2121"/>
      <c r="R37" s="2121"/>
      <c r="S37" s="2121"/>
      <c r="T37" s="2121"/>
      <c r="U37" s="2121"/>
      <c r="V37" s="2121"/>
      <c r="W37" s="2121"/>
      <c r="X37" s="2121"/>
      <c r="Y37" s="2121"/>
      <c r="Z37" s="2121"/>
      <c r="AA37" s="2121"/>
      <c r="AB37" s="2121"/>
      <c r="AC37" s="2121"/>
      <c r="AD37" s="2121"/>
      <c r="AE37" s="2121"/>
      <c r="AF37" s="2121"/>
      <c r="AG37" s="2121"/>
      <c r="AH37" s="2121"/>
      <c r="AI37" s="2121"/>
      <c r="AJ37" s="2121"/>
      <c r="AK37" s="2121"/>
      <c r="AL37" s="2121"/>
      <c r="AM37" s="2121"/>
      <c r="AN37" s="2121"/>
      <c r="AO37" s="2121"/>
      <c r="AP37" s="2121"/>
      <c r="AQ37" s="2121"/>
      <c r="AR37" s="2121"/>
    </row>
    <row r="38" spans="1:44" ht="14.25">
      <c r="A38" s="2679" t="s">
        <v>737</v>
      </c>
      <c r="B38" s="2693">
        <v>0.02</v>
      </c>
      <c r="C38" s="2692" t="s">
        <v>738</v>
      </c>
      <c r="D38" s="2662"/>
      <c r="E38" s="2661"/>
      <c r="F38" s="2661"/>
      <c r="G38" s="2661"/>
      <c r="H38" s="2661"/>
      <c r="I38" s="2661"/>
      <c r="J38" s="2661"/>
      <c r="K38" s="2744"/>
      <c r="L38" s="2744"/>
      <c r="M38" s="2121"/>
      <c r="N38" s="2121"/>
      <c r="O38" s="2121"/>
      <c r="P38" s="2121"/>
      <c r="Q38" s="2121"/>
      <c r="R38" s="2121"/>
      <c r="S38" s="2121"/>
      <c r="T38" s="2121"/>
      <c r="U38" s="2121"/>
      <c r="V38" s="2121"/>
      <c r="W38" s="2121"/>
      <c r="X38" s="2121"/>
      <c r="Y38" s="2121"/>
      <c r="Z38" s="2121"/>
      <c r="AA38" s="2121"/>
      <c r="AB38" s="2121"/>
      <c r="AC38" s="2121"/>
      <c r="AD38" s="2121"/>
      <c r="AE38" s="2121"/>
      <c r="AF38" s="2121"/>
      <c r="AG38" s="2121"/>
      <c r="AH38" s="2121"/>
      <c r="AI38" s="2121"/>
      <c r="AJ38" s="2121"/>
      <c r="AK38" s="2121"/>
      <c r="AL38" s="2121"/>
      <c r="AM38" s="2121"/>
      <c r="AN38" s="2121"/>
      <c r="AO38" s="2121"/>
      <c r="AP38" s="2121"/>
      <c r="AQ38" s="2121"/>
      <c r="AR38" s="2121"/>
    </row>
    <row r="39" spans="1:44" ht="14.25">
      <c r="A39" s="2689" t="s">
        <v>739</v>
      </c>
      <c r="B39" s="2697">
        <f ca="1">存贷款利率!I1</f>
        <v>1.4999999999999999E-2</v>
      </c>
      <c r="C39" s="2698"/>
      <c r="D39" s="2662"/>
      <c r="E39" s="2661"/>
      <c r="F39" s="2661"/>
      <c r="G39" s="2661"/>
      <c r="H39" s="2661"/>
      <c r="I39" s="2661"/>
      <c r="J39" s="2661"/>
      <c r="K39" s="2744"/>
      <c r="L39" s="2744"/>
      <c r="M39" s="2121"/>
      <c r="N39" s="2121"/>
      <c r="O39" s="2121"/>
      <c r="P39" s="2121"/>
      <c r="Q39" s="2121"/>
      <c r="R39" s="2121"/>
      <c r="S39" s="2121"/>
      <c r="T39" s="2121"/>
      <c r="U39" s="2121"/>
      <c r="V39" s="2121"/>
      <c r="W39" s="2121"/>
      <c r="X39" s="2121"/>
      <c r="Y39" s="2121"/>
      <c r="Z39" s="2121"/>
      <c r="AA39" s="2121"/>
      <c r="AB39" s="2121"/>
      <c r="AC39" s="2121"/>
      <c r="AD39" s="2121"/>
      <c r="AE39" s="2121"/>
      <c r="AF39" s="2121"/>
      <c r="AG39" s="2121"/>
      <c r="AH39" s="2121"/>
      <c r="AI39" s="2121"/>
      <c r="AJ39" s="2121"/>
      <c r="AK39" s="2121"/>
      <c r="AL39" s="2121"/>
      <c r="AM39" s="2121"/>
      <c r="AN39" s="2121"/>
      <c r="AO39" s="2121"/>
      <c r="AP39" s="2121"/>
      <c r="AQ39" s="2121"/>
      <c r="AR39" s="2121"/>
    </row>
    <row r="40" spans="1:44" ht="14.25">
      <c r="A40" s="2699" t="s">
        <v>740</v>
      </c>
      <c r="B40" s="2700">
        <f ca="1">IF(A40="利息：取LPR",存贷款利率!G1,存贷款利率!G1+C40)</f>
        <v>0.03</v>
      </c>
      <c r="C40" s="2701">
        <v>5.0000000000000001E-3</v>
      </c>
      <c r="D40" s="2121"/>
      <c r="E40" s="2662"/>
      <c r="F40" s="2661"/>
      <c r="G40" s="2661"/>
      <c r="H40" s="2661"/>
      <c r="I40" s="2661"/>
      <c r="J40" s="2661"/>
      <c r="K40" s="2744"/>
      <c r="L40" s="2744"/>
      <c r="M40" s="2121"/>
      <c r="N40" s="2121"/>
      <c r="O40" s="2121"/>
      <c r="P40" s="2121"/>
      <c r="Q40" s="2121"/>
      <c r="R40" s="2121"/>
      <c r="S40" s="2121"/>
      <c r="T40" s="2121"/>
      <c r="U40" s="2121"/>
      <c r="V40" s="2121"/>
      <c r="W40" s="2121"/>
      <c r="X40" s="2121"/>
      <c r="Y40" s="2121"/>
      <c r="Z40" s="2121"/>
      <c r="AA40" s="2121"/>
      <c r="AB40" s="2121"/>
      <c r="AC40" s="2121"/>
      <c r="AD40" s="2121"/>
      <c r="AE40" s="2121"/>
      <c r="AF40" s="2121"/>
      <c r="AG40" s="2121"/>
      <c r="AH40" s="2121"/>
      <c r="AI40" s="2121"/>
      <c r="AJ40" s="2121"/>
      <c r="AK40" s="2121"/>
      <c r="AL40" s="2121"/>
      <c r="AM40" s="2121"/>
      <c r="AN40" s="2121"/>
      <c r="AO40" s="2121"/>
      <c r="AP40" s="2121"/>
      <c r="AQ40" s="2121"/>
      <c r="AR40" s="2121"/>
    </row>
    <row r="41" spans="1:44" ht="14.25">
      <c r="A41" s="2675" t="s">
        <v>741</v>
      </c>
      <c r="B41" s="2702">
        <f>B42+B43</f>
        <v>5.6000000000000001E-2</v>
      </c>
      <c r="C41" s="2688"/>
      <c r="D41" s="2121"/>
      <c r="E41" s="2662"/>
      <c r="F41" s="2661"/>
      <c r="G41" s="2661"/>
      <c r="H41" s="2661"/>
      <c r="I41" s="2661"/>
      <c r="J41" s="2661"/>
      <c r="K41" s="2744"/>
      <c r="L41" s="2744"/>
      <c r="M41" s="2121"/>
      <c r="N41" s="2121"/>
      <c r="O41" s="2121"/>
      <c r="P41" s="2121"/>
      <c r="Q41" s="2121"/>
      <c r="R41" s="2121"/>
      <c r="S41" s="2121"/>
      <c r="T41" s="2121"/>
      <c r="U41" s="2121"/>
      <c r="V41" s="2121"/>
      <c r="W41" s="2121"/>
      <c r="X41" s="2121"/>
      <c r="Y41" s="2121"/>
      <c r="Z41" s="2121"/>
      <c r="AA41" s="2121"/>
      <c r="AB41" s="2121"/>
      <c r="AC41" s="2121"/>
      <c r="AD41" s="2121"/>
      <c r="AE41" s="2121"/>
      <c r="AF41" s="2121"/>
      <c r="AG41" s="2121"/>
      <c r="AH41" s="2121"/>
      <c r="AI41" s="2121"/>
      <c r="AJ41" s="2121"/>
      <c r="AK41" s="2121"/>
      <c r="AL41" s="2121"/>
      <c r="AM41" s="2121"/>
      <c r="AN41" s="2121"/>
      <c r="AO41" s="2121"/>
      <c r="AP41" s="2121"/>
      <c r="AQ41" s="2121"/>
      <c r="AR41" s="2121"/>
    </row>
    <row r="42" spans="1:44" ht="14.25">
      <c r="A42" s="2703" t="s">
        <v>742</v>
      </c>
      <c r="B42" s="2704">
        <v>0.05</v>
      </c>
      <c r="C42" s="2705">
        <f>IF(B2&lt;DATE(2016,5,1),0,B42)</f>
        <v>0.05</v>
      </c>
      <c r="D42" s="2662"/>
      <c r="E42" s="2661"/>
      <c r="F42" s="2661"/>
      <c r="G42" s="2661"/>
      <c r="H42" s="2661"/>
      <c r="I42" s="2661"/>
      <c r="J42" s="2661"/>
      <c r="K42" s="2744"/>
      <c r="L42" s="2744"/>
      <c r="M42" s="2121"/>
      <c r="N42" s="2121"/>
      <c r="O42" s="2121"/>
      <c r="P42" s="2121"/>
      <c r="Q42" s="2121"/>
      <c r="R42" s="2121"/>
      <c r="S42" s="2121"/>
      <c r="T42" s="2121"/>
      <c r="U42" s="2121"/>
      <c r="V42" s="2121"/>
      <c r="W42" s="2121"/>
      <c r="X42" s="2121"/>
      <c r="Y42" s="2121"/>
      <c r="Z42" s="2121"/>
      <c r="AA42" s="2121"/>
      <c r="AB42" s="2121"/>
      <c r="AC42" s="2121"/>
      <c r="AD42" s="2121"/>
      <c r="AE42" s="2121"/>
      <c r="AF42" s="2121"/>
      <c r="AG42" s="2121"/>
      <c r="AH42" s="2121"/>
      <c r="AI42" s="2121"/>
      <c r="AJ42" s="2121"/>
      <c r="AK42" s="2121"/>
      <c r="AL42" s="2121"/>
      <c r="AM42" s="2121"/>
      <c r="AN42" s="2121"/>
      <c r="AO42" s="2121"/>
      <c r="AP42" s="2121"/>
      <c r="AQ42" s="2121"/>
      <c r="AR42" s="2121"/>
    </row>
    <row r="43" spans="1:44" ht="14.25">
      <c r="A43" s="2703" t="s">
        <v>743</v>
      </c>
      <c r="B43" s="2706">
        <f>B42*(B44+B45+B46)+B47</f>
        <v>6.000000000000001E-3</v>
      </c>
      <c r="C43" s="2688"/>
      <c r="D43" s="2662"/>
      <c r="E43" s="2661"/>
      <c r="F43" s="2661"/>
      <c r="G43" s="2661"/>
      <c r="H43" s="2661"/>
      <c r="I43" s="2661"/>
      <c r="J43" s="2661"/>
      <c r="K43" s="2744"/>
      <c r="L43" s="2744"/>
      <c r="M43" s="2121"/>
      <c r="N43" s="2121"/>
      <c r="O43" s="2121"/>
      <c r="P43" s="2121"/>
      <c r="Q43" s="2121"/>
      <c r="R43" s="2121"/>
      <c r="S43" s="2121"/>
      <c r="T43" s="2121"/>
      <c r="U43" s="2121"/>
      <c r="V43" s="2121"/>
      <c r="W43" s="2121"/>
      <c r="X43" s="2121"/>
      <c r="Y43" s="2121"/>
      <c r="Z43" s="2121"/>
      <c r="AA43" s="2121"/>
      <c r="AB43" s="2121"/>
      <c r="AC43" s="2121"/>
      <c r="AD43" s="2121"/>
      <c r="AE43" s="2121"/>
      <c r="AF43" s="2121"/>
      <c r="AG43" s="2121"/>
      <c r="AH43" s="2121"/>
      <c r="AI43" s="2121"/>
      <c r="AJ43" s="2121"/>
      <c r="AK43" s="2121"/>
      <c r="AL43" s="2121"/>
      <c r="AM43" s="2121"/>
      <c r="AN43" s="2121"/>
      <c r="AO43" s="2121"/>
      <c r="AP43" s="2121"/>
      <c r="AQ43" s="2121"/>
      <c r="AR43" s="2121"/>
    </row>
    <row r="44" spans="1:44" ht="14.25">
      <c r="A44" s="2707" t="s">
        <v>744</v>
      </c>
      <c r="B44" s="2708">
        <v>7.0000000000000007E-2</v>
      </c>
      <c r="C44" s="2692" t="s">
        <v>745</v>
      </c>
      <c r="D44" s="2662"/>
      <c r="E44" s="2661"/>
      <c r="F44" s="2661"/>
      <c r="G44" s="2661"/>
      <c r="H44" s="2661"/>
      <c r="I44" s="2661"/>
      <c r="J44" s="2661"/>
      <c r="K44" s="2744"/>
      <c r="L44" s="2744"/>
      <c r="M44" s="2121"/>
      <c r="N44" s="2121"/>
      <c r="O44" s="2121"/>
      <c r="P44" s="2121"/>
      <c r="Q44" s="2121"/>
      <c r="R44" s="2121"/>
      <c r="S44" s="2121"/>
      <c r="T44" s="2121"/>
      <c r="U44" s="2121"/>
      <c r="V44" s="2121"/>
      <c r="W44" s="2121"/>
      <c r="X44" s="2121"/>
      <c r="Y44" s="2121"/>
      <c r="Z44" s="2121"/>
      <c r="AA44" s="2121"/>
      <c r="AB44" s="2121"/>
      <c r="AC44" s="2121"/>
      <c r="AD44" s="2121"/>
      <c r="AE44" s="2121"/>
      <c r="AF44" s="2121"/>
      <c r="AG44" s="2121"/>
      <c r="AH44" s="2121"/>
      <c r="AI44" s="2121"/>
      <c r="AJ44" s="2121"/>
      <c r="AK44" s="2121"/>
      <c r="AL44" s="2121"/>
      <c r="AM44" s="2121"/>
      <c r="AN44" s="2121"/>
      <c r="AO44" s="2121"/>
      <c r="AP44" s="2121"/>
      <c r="AQ44" s="2121"/>
      <c r="AR44" s="2121"/>
    </row>
    <row r="45" spans="1:44" ht="14.25">
      <c r="A45" s="2707" t="s">
        <v>746</v>
      </c>
      <c r="B45" s="2704">
        <v>0.03</v>
      </c>
      <c r="C45" s="2684" t="s">
        <v>747</v>
      </c>
      <c r="D45" s="2662"/>
      <c r="E45" s="2661"/>
      <c r="F45" s="2661"/>
      <c r="G45" s="2661"/>
      <c r="H45" s="2661"/>
      <c r="I45" s="2661"/>
      <c r="J45" s="2661"/>
      <c r="K45" s="2744"/>
      <c r="L45" s="2744"/>
      <c r="M45" s="2121"/>
      <c r="N45" s="2121"/>
      <c r="O45" s="2121"/>
      <c r="P45" s="2121"/>
      <c r="Q45" s="2121"/>
      <c r="R45" s="2121"/>
      <c r="S45" s="2121"/>
      <c r="T45" s="2121"/>
      <c r="U45" s="2121"/>
      <c r="V45" s="2121"/>
      <c r="W45" s="2121"/>
      <c r="X45" s="2121"/>
      <c r="Y45" s="2121"/>
      <c r="Z45" s="2121"/>
      <c r="AA45" s="2121"/>
      <c r="AB45" s="2121"/>
      <c r="AC45" s="2121"/>
      <c r="AD45" s="2121"/>
      <c r="AE45" s="2121"/>
      <c r="AF45" s="2121"/>
      <c r="AG45" s="2121"/>
      <c r="AH45" s="2121"/>
      <c r="AI45" s="2121"/>
      <c r="AJ45" s="2121"/>
      <c r="AK45" s="2121"/>
      <c r="AL45" s="2121"/>
      <c r="AM45" s="2121"/>
      <c r="AN45" s="2121"/>
      <c r="AO45" s="2121"/>
      <c r="AP45" s="2121"/>
      <c r="AQ45" s="2121"/>
      <c r="AR45" s="2121"/>
    </row>
    <row r="46" spans="1:44" ht="14.25">
      <c r="A46" s="2707" t="s">
        <v>748</v>
      </c>
      <c r="B46" s="2704">
        <v>0.02</v>
      </c>
      <c r="C46" s="2684" t="s">
        <v>749</v>
      </c>
      <c r="D46" s="2662"/>
      <c r="E46" s="2661"/>
      <c r="F46" s="2661"/>
      <c r="G46" s="2661"/>
      <c r="H46" s="2661"/>
      <c r="I46" s="2661"/>
      <c r="J46" s="2661"/>
      <c r="K46" s="2744"/>
      <c r="L46" s="2744"/>
      <c r="M46" s="2121"/>
      <c r="N46" s="2121"/>
      <c r="O46" s="2121"/>
      <c r="P46" s="2121"/>
      <c r="Q46" s="2121"/>
      <c r="R46" s="2121"/>
      <c r="S46" s="2121"/>
      <c r="T46" s="2121"/>
      <c r="U46" s="2121"/>
      <c r="V46" s="2121"/>
      <c r="W46" s="2121"/>
      <c r="X46" s="2121"/>
      <c r="Y46" s="2121"/>
      <c r="Z46" s="2121"/>
      <c r="AA46" s="2121"/>
      <c r="AB46" s="2121"/>
      <c r="AC46" s="2121"/>
      <c r="AD46" s="2121"/>
      <c r="AE46" s="2121"/>
      <c r="AF46" s="2121"/>
      <c r="AG46" s="2121"/>
      <c r="AH46" s="2121"/>
      <c r="AI46" s="2121"/>
      <c r="AJ46" s="2121"/>
      <c r="AK46" s="2121"/>
      <c r="AL46" s="2121"/>
      <c r="AM46" s="2121"/>
      <c r="AN46" s="2121"/>
      <c r="AO46" s="2121"/>
      <c r="AP46" s="2121"/>
      <c r="AQ46" s="2121"/>
      <c r="AR46" s="2121"/>
    </row>
    <row r="47" spans="1:44" ht="14.25">
      <c r="A47" s="2709" t="s">
        <v>750</v>
      </c>
      <c r="B47" s="2710"/>
      <c r="C47" s="2711" t="s">
        <v>751</v>
      </c>
      <c r="D47" s="2662"/>
      <c r="E47" s="2661"/>
      <c r="F47" s="2661"/>
      <c r="G47" s="2661"/>
      <c r="H47" s="2661"/>
      <c r="I47" s="2661"/>
      <c r="J47" s="2661"/>
      <c r="K47" s="2744"/>
      <c r="L47" s="2744"/>
      <c r="M47" s="2121"/>
      <c r="N47" s="2121"/>
      <c r="O47" s="2121"/>
      <c r="P47" s="2121"/>
      <c r="Q47" s="2121"/>
      <c r="R47" s="2121"/>
      <c r="S47" s="2121"/>
      <c r="T47" s="2121"/>
      <c r="U47" s="2121"/>
      <c r="V47" s="2121"/>
      <c r="W47" s="2121"/>
      <c r="X47" s="2121"/>
      <c r="Y47" s="2121"/>
      <c r="Z47" s="2121"/>
      <c r="AA47" s="2121"/>
      <c r="AB47" s="2121"/>
      <c r="AC47" s="2121"/>
      <c r="AD47" s="2121"/>
      <c r="AE47" s="2121"/>
      <c r="AF47" s="2121"/>
      <c r="AG47" s="2121"/>
      <c r="AH47" s="2121"/>
      <c r="AI47" s="2121"/>
      <c r="AJ47" s="2121"/>
      <c r="AK47" s="2121"/>
      <c r="AL47" s="2121"/>
      <c r="AM47" s="2121"/>
      <c r="AN47" s="2121"/>
      <c r="AO47" s="2121"/>
      <c r="AP47" s="2121"/>
      <c r="AQ47" s="2121"/>
      <c r="AR47" s="2121"/>
    </row>
    <row r="48" spans="1:44" ht="14.25">
      <c r="A48" s="2712" t="s">
        <v>752</v>
      </c>
      <c r="B48" s="2713">
        <v>0.03</v>
      </c>
      <c r="C48" s="2684" t="s">
        <v>747</v>
      </c>
      <c r="D48" s="2662"/>
      <c r="E48" s="2661"/>
      <c r="F48" s="2661"/>
      <c r="G48" s="2661"/>
      <c r="H48" s="2661"/>
      <c r="I48" s="2661"/>
      <c r="J48" s="2661"/>
      <c r="K48" s="2744"/>
      <c r="L48" s="2744"/>
      <c r="M48" s="2121"/>
      <c r="N48" s="2121"/>
      <c r="O48" s="2121"/>
      <c r="P48" s="2121"/>
      <c r="Q48" s="2121"/>
      <c r="R48" s="2121"/>
      <c r="S48" s="2121"/>
      <c r="T48" s="2121"/>
      <c r="U48" s="2121"/>
      <c r="V48" s="2121"/>
      <c r="W48" s="2121"/>
      <c r="X48" s="2121"/>
      <c r="Y48" s="2121"/>
      <c r="Z48" s="2121"/>
      <c r="AA48" s="2121"/>
      <c r="AB48" s="2121"/>
      <c r="AC48" s="2121"/>
      <c r="AD48" s="2121"/>
      <c r="AE48" s="2121"/>
      <c r="AF48" s="2121"/>
      <c r="AG48" s="2121"/>
      <c r="AH48" s="2121"/>
      <c r="AI48" s="2121"/>
      <c r="AJ48" s="2121"/>
      <c r="AK48" s="2121"/>
      <c r="AL48" s="2121"/>
      <c r="AM48" s="2121"/>
      <c r="AN48" s="2121"/>
      <c r="AO48" s="2121"/>
      <c r="AP48" s="2121"/>
      <c r="AQ48" s="2121"/>
      <c r="AR48" s="2121"/>
    </row>
    <row r="49" spans="1:44" ht="14.25">
      <c r="A49" s="2689" t="s">
        <v>753</v>
      </c>
      <c r="B49" s="2704">
        <v>5.0000000000000001E-4</v>
      </c>
      <c r="C49" s="2684" t="s">
        <v>754</v>
      </c>
      <c r="D49" s="2662"/>
      <c r="E49" s="2661"/>
      <c r="F49" s="2661"/>
      <c r="G49" s="2661"/>
      <c r="H49" s="2661"/>
      <c r="I49" s="2661"/>
      <c r="J49" s="2661"/>
      <c r="K49" s="2744"/>
      <c r="L49" s="2744"/>
      <c r="M49" s="2121"/>
      <c r="N49" s="2121"/>
      <c r="O49" s="2121"/>
      <c r="P49" s="2121"/>
      <c r="Q49" s="2121"/>
      <c r="R49" s="2121"/>
      <c r="S49" s="2121"/>
      <c r="T49" s="2121"/>
      <c r="U49" s="2121"/>
      <c r="V49" s="2121"/>
      <c r="W49" s="2121"/>
      <c r="X49" s="2121"/>
      <c r="Y49" s="2121"/>
      <c r="Z49" s="2121"/>
      <c r="AA49" s="2121"/>
      <c r="AB49" s="2121"/>
      <c r="AC49" s="2121"/>
      <c r="AD49" s="2121"/>
      <c r="AE49" s="2121"/>
      <c r="AF49" s="2121"/>
      <c r="AG49" s="2121"/>
      <c r="AH49" s="2121"/>
      <c r="AI49" s="2121"/>
      <c r="AJ49" s="2121"/>
      <c r="AK49" s="2121"/>
      <c r="AL49" s="2121"/>
      <c r="AM49" s="2121"/>
      <c r="AN49" s="2121"/>
      <c r="AO49" s="2121"/>
      <c r="AP49" s="2121"/>
      <c r="AQ49" s="2121"/>
      <c r="AR49" s="2121"/>
    </row>
    <row r="50" spans="1:44" ht="14.25">
      <c r="A50" s="2714" t="s">
        <v>755</v>
      </c>
      <c r="B50" s="2715">
        <v>1.2E-2</v>
      </c>
      <c r="C50" s="1464"/>
      <c r="D50" s="2662"/>
      <c r="E50" s="2661"/>
      <c r="F50" s="2661"/>
      <c r="G50" s="2661"/>
      <c r="H50" s="2661"/>
      <c r="I50" s="2661"/>
      <c r="J50" s="2661"/>
      <c r="K50" s="2744"/>
      <c r="L50" s="2744"/>
      <c r="M50" s="2121"/>
      <c r="N50" s="2121"/>
      <c r="O50" s="2121"/>
      <c r="P50" s="2121"/>
      <c r="Q50" s="2121"/>
      <c r="R50" s="2121"/>
      <c r="S50" s="2121"/>
      <c r="T50" s="2121"/>
      <c r="U50" s="2121"/>
      <c r="V50" s="2121"/>
      <c r="W50" s="2121"/>
      <c r="X50" s="2121"/>
      <c r="Y50" s="2121"/>
      <c r="Z50" s="2121"/>
      <c r="AA50" s="2121"/>
      <c r="AB50" s="2121"/>
      <c r="AC50" s="2121"/>
      <c r="AD50" s="2121"/>
      <c r="AE50" s="2121"/>
      <c r="AF50" s="2121"/>
      <c r="AG50" s="2121"/>
      <c r="AH50" s="2121"/>
      <c r="AI50" s="2121"/>
      <c r="AJ50" s="2121"/>
      <c r="AK50" s="2121"/>
      <c r="AL50" s="2121"/>
      <c r="AM50" s="2121"/>
      <c r="AN50" s="2121"/>
      <c r="AO50" s="2121"/>
      <c r="AP50" s="2121"/>
      <c r="AQ50" s="2121"/>
      <c r="AR50" s="2121"/>
    </row>
    <row r="51" spans="1:44" ht="14.25">
      <c r="A51" s="2682" t="s">
        <v>756</v>
      </c>
      <c r="B51" s="2716">
        <v>0.12</v>
      </c>
      <c r="C51" s="1464"/>
      <c r="D51" s="2662"/>
      <c r="E51" s="2661"/>
      <c r="F51" s="2661"/>
      <c r="G51" s="2661"/>
      <c r="H51" s="2661"/>
      <c r="I51" s="2661"/>
      <c r="J51" s="2661"/>
      <c r="K51" s="2744"/>
      <c r="L51" s="2744"/>
      <c r="M51" s="2121"/>
      <c r="N51" s="2121"/>
      <c r="O51" s="2121"/>
      <c r="P51" s="2121"/>
      <c r="Q51" s="2121"/>
      <c r="R51" s="2121"/>
      <c r="S51" s="2121"/>
      <c r="T51" s="2121"/>
      <c r="U51" s="2121"/>
      <c r="V51" s="2121"/>
      <c r="W51" s="2121"/>
      <c r="X51" s="2121"/>
      <c r="Y51" s="2121"/>
      <c r="Z51" s="2121"/>
      <c r="AA51" s="2121"/>
      <c r="AB51" s="2121"/>
      <c r="AC51" s="2121"/>
      <c r="AD51" s="2121"/>
      <c r="AE51" s="2121"/>
      <c r="AF51" s="2121"/>
      <c r="AG51" s="2121"/>
      <c r="AH51" s="2121"/>
      <c r="AI51" s="2121"/>
      <c r="AJ51" s="2121"/>
      <c r="AK51" s="2121"/>
      <c r="AL51" s="2121"/>
      <c r="AM51" s="2121"/>
      <c r="AN51" s="2121"/>
      <c r="AO51" s="2121"/>
      <c r="AP51" s="2121"/>
      <c r="AQ51" s="2121"/>
      <c r="AR51" s="2121"/>
    </row>
    <row r="52" spans="1:44" ht="14.25">
      <c r="A52" s="2714" t="s">
        <v>757</v>
      </c>
      <c r="B52" s="2717">
        <f>SUMIF(A54:A63,B53,B54:B63)</f>
        <v>30</v>
      </c>
      <c r="C52" s="1464"/>
      <c r="D52" s="2662"/>
      <c r="E52" s="2661"/>
      <c r="F52" s="2661"/>
      <c r="G52" s="2661"/>
      <c r="H52" s="2661"/>
      <c r="I52" s="2661"/>
      <c r="J52" s="2661"/>
      <c r="K52" s="2744"/>
      <c r="L52" s="2744"/>
      <c r="M52" s="2121"/>
      <c r="N52" s="2121"/>
      <c r="O52" s="2121"/>
      <c r="P52" s="2121"/>
      <c r="Q52" s="2121"/>
      <c r="R52" s="2121"/>
      <c r="S52" s="2121"/>
      <c r="T52" s="2121"/>
      <c r="U52" s="2121"/>
      <c r="V52" s="2121"/>
      <c r="W52" s="2121"/>
      <c r="X52" s="2121"/>
      <c r="Y52" s="2121"/>
      <c r="Z52" s="2121"/>
      <c r="AA52" s="2121"/>
      <c r="AB52" s="2121"/>
      <c r="AC52" s="2121"/>
      <c r="AD52" s="2121"/>
      <c r="AE52" s="2121"/>
      <c r="AF52" s="2121"/>
      <c r="AG52" s="2121"/>
      <c r="AH52" s="2121"/>
      <c r="AI52" s="2121"/>
      <c r="AJ52" s="2121"/>
      <c r="AK52" s="2121"/>
      <c r="AL52" s="2121"/>
      <c r="AM52" s="2121"/>
      <c r="AN52" s="2121"/>
      <c r="AO52" s="2121"/>
      <c r="AP52" s="2121"/>
      <c r="AQ52" s="2121"/>
      <c r="AR52" s="2121"/>
    </row>
    <row r="53" spans="1:44" ht="27">
      <c r="A53" s="2679" t="s">
        <v>758</v>
      </c>
      <c r="B53" s="2718" t="s">
        <v>235</v>
      </c>
      <c r="C53" s="1464" t="s">
        <v>759</v>
      </c>
      <c r="D53" s="2719" t="s">
        <v>760</v>
      </c>
      <c r="E53" s="2661"/>
      <c r="F53" s="2661"/>
      <c r="G53" s="2661"/>
      <c r="H53" s="2661"/>
      <c r="I53" s="2661"/>
      <c r="J53" s="2661"/>
      <c r="K53" s="2744"/>
      <c r="L53" s="2744"/>
      <c r="M53" s="2121"/>
      <c r="N53" s="2121"/>
      <c r="O53" s="2121"/>
      <c r="P53" s="2121"/>
      <c r="Q53" s="2121"/>
      <c r="R53" s="2121"/>
      <c r="S53" s="2121"/>
      <c r="T53" s="2121"/>
      <c r="U53" s="2121"/>
      <c r="V53" s="2121"/>
      <c r="W53" s="2121"/>
      <c r="X53" s="2121"/>
      <c r="Y53" s="2121"/>
      <c r="Z53" s="2121"/>
      <c r="AA53" s="2121"/>
      <c r="AB53" s="2121"/>
      <c r="AC53" s="2121"/>
      <c r="AD53" s="2121"/>
      <c r="AE53" s="2121"/>
      <c r="AF53" s="2121"/>
      <c r="AG53" s="2121"/>
      <c r="AH53" s="2121"/>
      <c r="AI53" s="2121"/>
      <c r="AJ53" s="2121"/>
      <c r="AK53" s="2121"/>
      <c r="AL53" s="2121"/>
      <c r="AM53" s="2121"/>
      <c r="AN53" s="2121"/>
      <c r="AO53" s="2121"/>
      <c r="AP53" s="2121"/>
      <c r="AQ53" s="2121"/>
      <c r="AR53" s="2121"/>
    </row>
    <row r="54" spans="1:44" ht="14.25">
      <c r="A54" s="2720" t="s">
        <v>761</v>
      </c>
      <c r="B54" s="2721">
        <v>30</v>
      </c>
      <c r="C54" s="1464">
        <v>30</v>
      </c>
      <c r="D54" s="2662"/>
      <c r="E54" s="2661"/>
      <c r="F54" s="2661"/>
      <c r="G54" s="2661"/>
      <c r="H54" s="2661"/>
      <c r="I54" s="2661"/>
      <c r="J54" s="2661"/>
      <c r="K54" s="2744"/>
      <c r="L54" s="2744"/>
      <c r="M54" s="2121"/>
      <c r="N54" s="2121"/>
      <c r="O54" s="2121"/>
      <c r="P54" s="2121"/>
      <c r="Q54" s="2121"/>
      <c r="R54" s="2121"/>
      <c r="S54" s="2121"/>
      <c r="T54" s="2121"/>
      <c r="U54" s="2121"/>
      <c r="V54" s="2121"/>
      <c r="W54" s="2121"/>
      <c r="X54" s="2121"/>
      <c r="Y54" s="2121"/>
      <c r="Z54" s="2121"/>
      <c r="AA54" s="2121"/>
      <c r="AB54" s="2121"/>
      <c r="AC54" s="2121"/>
      <c r="AD54" s="2121"/>
      <c r="AE54" s="2121"/>
      <c r="AF54" s="2121"/>
      <c r="AG54" s="2121"/>
      <c r="AH54" s="2121"/>
      <c r="AI54" s="2121"/>
      <c r="AJ54" s="2121"/>
      <c r="AK54" s="2121"/>
      <c r="AL54" s="2121"/>
      <c r="AM54" s="2121"/>
      <c r="AN54" s="2121"/>
      <c r="AO54" s="2121"/>
      <c r="AP54" s="2121"/>
      <c r="AQ54" s="2121"/>
      <c r="AR54" s="2121"/>
    </row>
    <row r="55" spans="1:44" ht="14.25">
      <c r="A55" s="2720" t="s">
        <v>762</v>
      </c>
      <c r="B55" s="2721"/>
      <c r="C55" s="1464">
        <v>24</v>
      </c>
      <c r="D55" s="2662"/>
      <c r="E55" s="2661"/>
      <c r="F55" s="2661"/>
      <c r="G55" s="2661"/>
      <c r="H55" s="2661"/>
      <c r="I55" s="2661"/>
      <c r="J55" s="2661"/>
      <c r="K55" s="2744"/>
      <c r="L55" s="2744"/>
      <c r="M55" s="2121"/>
      <c r="N55" s="2121"/>
      <c r="O55" s="2121"/>
      <c r="P55" s="2121"/>
      <c r="Q55" s="2121"/>
      <c r="R55" s="2121"/>
      <c r="S55" s="2121"/>
      <c r="T55" s="2121"/>
      <c r="U55" s="2121"/>
      <c r="V55" s="2121"/>
      <c r="W55" s="2121"/>
      <c r="X55" s="2121"/>
      <c r="Y55" s="2121"/>
      <c r="Z55" s="2121"/>
      <c r="AA55" s="2121"/>
      <c r="AB55" s="2121"/>
      <c r="AC55" s="2121"/>
      <c r="AD55" s="2121"/>
      <c r="AE55" s="2121"/>
      <c r="AF55" s="2121"/>
      <c r="AG55" s="2121"/>
      <c r="AH55" s="2121"/>
      <c r="AI55" s="2121"/>
      <c r="AJ55" s="2121"/>
      <c r="AK55" s="2121"/>
      <c r="AL55" s="2121"/>
      <c r="AM55" s="2121"/>
      <c r="AN55" s="2121"/>
      <c r="AO55" s="2121"/>
      <c r="AP55" s="2121"/>
      <c r="AQ55" s="2121"/>
      <c r="AR55" s="2121"/>
    </row>
    <row r="56" spans="1:44" ht="14.25">
      <c r="A56" s="2720" t="s">
        <v>763</v>
      </c>
      <c r="B56" s="2721"/>
      <c r="C56" s="1464">
        <v>18</v>
      </c>
      <c r="D56" s="2662"/>
      <c r="E56" s="2661"/>
      <c r="F56" s="2661"/>
      <c r="G56" s="2661"/>
      <c r="H56" s="2661"/>
      <c r="I56" s="2661"/>
      <c r="J56" s="2661"/>
      <c r="K56" s="2744"/>
      <c r="L56" s="2744"/>
      <c r="M56" s="2121"/>
      <c r="N56" s="2121"/>
      <c r="O56" s="2121"/>
      <c r="P56" s="2121"/>
      <c r="Q56" s="2121"/>
      <c r="R56" s="2121"/>
      <c r="S56" s="2121"/>
      <c r="T56" s="2121"/>
      <c r="U56" s="2121"/>
      <c r="V56" s="2121"/>
      <c r="W56" s="2121"/>
      <c r="X56" s="2121"/>
      <c r="Y56" s="2121"/>
      <c r="Z56" s="2121"/>
      <c r="AA56" s="2121"/>
      <c r="AB56" s="2121"/>
      <c r="AC56" s="2121"/>
      <c r="AD56" s="2121"/>
      <c r="AE56" s="2121"/>
      <c r="AF56" s="2121"/>
      <c r="AG56" s="2121"/>
      <c r="AH56" s="2121"/>
      <c r="AI56" s="2121"/>
      <c r="AJ56" s="2121"/>
      <c r="AK56" s="2121"/>
      <c r="AL56" s="2121"/>
      <c r="AM56" s="2121"/>
      <c r="AN56" s="2121"/>
      <c r="AO56" s="2121"/>
      <c r="AP56" s="2121"/>
      <c r="AQ56" s="2121"/>
      <c r="AR56" s="2121"/>
    </row>
    <row r="57" spans="1:44" ht="14.25">
      <c r="A57" s="2720" t="s">
        <v>764</v>
      </c>
      <c r="B57" s="2721"/>
      <c r="C57" s="1464">
        <v>12</v>
      </c>
      <c r="D57" s="2662"/>
      <c r="E57" s="2661"/>
      <c r="F57" s="2661"/>
      <c r="G57" s="2661"/>
      <c r="H57" s="2661"/>
      <c r="I57" s="2661"/>
      <c r="J57" s="2661"/>
      <c r="K57" s="2744"/>
      <c r="L57" s="2744"/>
      <c r="M57" s="2121"/>
      <c r="N57" s="2121"/>
      <c r="O57" s="2121"/>
      <c r="P57" s="2121"/>
      <c r="Q57" s="2121"/>
      <c r="R57" s="2121"/>
      <c r="S57" s="2121"/>
      <c r="T57" s="2121"/>
      <c r="U57" s="2121"/>
      <c r="V57" s="2121"/>
      <c r="W57" s="2121"/>
      <c r="X57" s="2121"/>
      <c r="Y57" s="2121"/>
      <c r="Z57" s="2121"/>
      <c r="AA57" s="2121"/>
      <c r="AB57" s="2121"/>
      <c r="AC57" s="2121"/>
      <c r="AD57" s="2121"/>
      <c r="AE57" s="2121"/>
      <c r="AF57" s="2121"/>
      <c r="AG57" s="2121"/>
      <c r="AH57" s="2121"/>
      <c r="AI57" s="2121"/>
      <c r="AJ57" s="2121"/>
      <c r="AK57" s="2121"/>
      <c r="AL57" s="2121"/>
      <c r="AM57" s="2121"/>
      <c r="AN57" s="2121"/>
      <c r="AO57" s="2121"/>
      <c r="AP57" s="2121"/>
      <c r="AQ57" s="2121"/>
      <c r="AR57" s="2121"/>
    </row>
    <row r="58" spans="1:44" ht="14.25">
      <c r="A58" s="2720" t="s">
        <v>765</v>
      </c>
      <c r="B58" s="2721"/>
      <c r="C58" s="1464">
        <v>3</v>
      </c>
      <c r="D58" s="2662"/>
      <c r="E58" s="2661"/>
      <c r="F58" s="2661"/>
      <c r="G58" s="2661"/>
      <c r="H58" s="2661"/>
      <c r="I58" s="2661"/>
      <c r="J58" s="2661"/>
      <c r="K58" s="2744"/>
      <c r="L58" s="2744"/>
      <c r="M58" s="2121"/>
      <c r="N58" s="2121"/>
      <c r="O58" s="2121"/>
      <c r="P58" s="2121"/>
      <c r="Q58" s="2121"/>
      <c r="R58" s="2121"/>
      <c r="S58" s="2121"/>
      <c r="T58" s="2121"/>
      <c r="U58" s="2121"/>
      <c r="V58" s="2121"/>
      <c r="W58" s="2121"/>
      <c r="X58" s="2121"/>
      <c r="Y58" s="2121"/>
      <c r="Z58" s="2121"/>
      <c r="AA58" s="2121"/>
      <c r="AB58" s="2121"/>
      <c r="AC58" s="2121"/>
      <c r="AD58" s="2121"/>
      <c r="AE58" s="2121"/>
      <c r="AF58" s="2121"/>
      <c r="AG58" s="2121"/>
      <c r="AH58" s="2121"/>
      <c r="AI58" s="2121"/>
      <c r="AJ58" s="2121"/>
      <c r="AK58" s="2121"/>
      <c r="AL58" s="2121"/>
      <c r="AM58" s="2121"/>
      <c r="AN58" s="2121"/>
      <c r="AO58" s="2121"/>
      <c r="AP58" s="2121"/>
      <c r="AQ58" s="2121"/>
      <c r="AR58" s="2121"/>
    </row>
    <row r="59" spans="1:44" ht="14.25">
      <c r="A59" s="2720" t="s">
        <v>766</v>
      </c>
      <c r="B59" s="2721"/>
      <c r="C59" s="1464">
        <v>1.5</v>
      </c>
      <c r="D59" s="2662"/>
      <c r="E59" s="2661"/>
      <c r="F59" s="2661"/>
      <c r="G59" s="2661"/>
      <c r="H59" s="2661"/>
      <c r="I59" s="2661"/>
      <c r="J59" s="2661"/>
      <c r="K59" s="2744"/>
      <c r="L59" s="2744"/>
      <c r="M59" s="2121"/>
      <c r="N59" s="2121"/>
      <c r="O59" s="2121"/>
      <c r="P59" s="2121"/>
      <c r="Q59" s="2121"/>
      <c r="R59" s="2121"/>
      <c r="S59" s="2121"/>
      <c r="T59" s="2121"/>
      <c r="U59" s="2121"/>
      <c r="V59" s="2121"/>
      <c r="W59" s="2121"/>
      <c r="X59" s="2121"/>
      <c r="Y59" s="2121"/>
      <c r="Z59" s="2121"/>
      <c r="AA59" s="2121"/>
      <c r="AB59" s="2121"/>
      <c r="AC59" s="2121"/>
      <c r="AD59" s="2121"/>
      <c r="AE59" s="2121"/>
      <c r="AF59" s="2121"/>
      <c r="AG59" s="2121"/>
      <c r="AH59" s="2121"/>
      <c r="AI59" s="2121"/>
      <c r="AJ59" s="2121"/>
      <c r="AK59" s="2121"/>
      <c r="AL59" s="2121"/>
      <c r="AM59" s="2121"/>
      <c r="AN59" s="2121"/>
      <c r="AO59" s="2121"/>
      <c r="AP59" s="2121"/>
      <c r="AQ59" s="2121"/>
      <c r="AR59" s="2121"/>
    </row>
    <row r="60" spans="1:44" ht="14.25">
      <c r="A60" s="2720" t="s">
        <v>767</v>
      </c>
      <c r="B60" s="2721"/>
      <c r="C60" s="2661"/>
      <c r="D60" s="2662"/>
      <c r="E60" s="2661"/>
      <c r="F60" s="2661"/>
      <c r="G60" s="2661"/>
      <c r="H60" s="2661"/>
      <c r="I60" s="2661"/>
      <c r="J60" s="2661"/>
      <c r="K60" s="2744"/>
      <c r="L60" s="2744"/>
      <c r="M60" s="2121"/>
      <c r="N60" s="2121"/>
      <c r="O60" s="2121"/>
      <c r="P60" s="2121"/>
      <c r="Q60" s="2121"/>
      <c r="R60" s="2121"/>
      <c r="S60" s="2121"/>
      <c r="T60" s="2121"/>
      <c r="U60" s="2121"/>
      <c r="V60" s="2121"/>
      <c r="W60" s="2121"/>
      <c r="X60" s="2121"/>
      <c r="Y60" s="2121"/>
      <c r="Z60" s="2121"/>
      <c r="AA60" s="2121"/>
      <c r="AB60" s="2121"/>
      <c r="AC60" s="2121"/>
      <c r="AD60" s="2121"/>
      <c r="AE60" s="2121"/>
      <c r="AF60" s="2121"/>
      <c r="AG60" s="2121"/>
      <c r="AH60" s="2121"/>
      <c r="AI60" s="2121"/>
      <c r="AJ60" s="2121"/>
      <c r="AK60" s="2121"/>
      <c r="AL60" s="2121"/>
      <c r="AM60" s="2121"/>
      <c r="AN60" s="2121"/>
      <c r="AO60" s="2121"/>
      <c r="AP60" s="2121"/>
      <c r="AQ60" s="2121"/>
      <c r="AR60" s="2121"/>
    </row>
    <row r="61" spans="1:44" ht="14.25">
      <c r="A61" s="2720" t="s">
        <v>768</v>
      </c>
      <c r="B61" s="2721"/>
      <c r="C61" s="2661"/>
      <c r="D61" s="2662"/>
      <c r="E61" s="2661"/>
      <c r="F61" s="2661"/>
      <c r="G61" s="2661"/>
      <c r="H61" s="2661"/>
      <c r="I61" s="2661"/>
      <c r="J61" s="2661"/>
      <c r="K61" s="2744"/>
      <c r="L61" s="2744"/>
      <c r="M61" s="2121"/>
      <c r="N61" s="2121"/>
      <c r="O61" s="2121"/>
      <c r="P61" s="2121"/>
      <c r="Q61" s="2121"/>
      <c r="R61" s="2121"/>
      <c r="S61" s="2121"/>
      <c r="T61" s="2121"/>
      <c r="U61" s="2121"/>
      <c r="V61" s="2121"/>
      <c r="W61" s="2121"/>
      <c r="X61" s="2121"/>
      <c r="Y61" s="2121"/>
      <c r="Z61" s="2121"/>
      <c r="AA61" s="2121"/>
      <c r="AB61" s="2121"/>
      <c r="AC61" s="2121"/>
      <c r="AD61" s="2121"/>
      <c r="AE61" s="2121"/>
      <c r="AF61" s="2121"/>
      <c r="AG61" s="2121"/>
      <c r="AH61" s="2121"/>
      <c r="AI61" s="2121"/>
      <c r="AJ61" s="2121"/>
      <c r="AK61" s="2121"/>
      <c r="AL61" s="2121"/>
      <c r="AM61" s="2121"/>
      <c r="AN61" s="2121"/>
      <c r="AO61" s="2121"/>
      <c r="AP61" s="2121"/>
      <c r="AQ61" s="2121"/>
      <c r="AR61" s="2121"/>
    </row>
    <row r="62" spans="1:44" ht="14.25">
      <c r="A62" s="2720" t="s">
        <v>769</v>
      </c>
      <c r="B62" s="2721"/>
      <c r="C62" s="2661"/>
      <c r="D62" s="2662"/>
      <c r="E62" s="2661"/>
      <c r="F62" s="2661"/>
      <c r="G62" s="2661"/>
      <c r="H62" s="2661"/>
      <c r="I62" s="2661"/>
      <c r="J62" s="2661"/>
      <c r="K62" s="2744"/>
      <c r="L62" s="2744"/>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1"/>
      <c r="AK62" s="2121"/>
      <c r="AL62" s="2121"/>
      <c r="AM62" s="2121"/>
      <c r="AN62" s="2121"/>
      <c r="AO62" s="2121"/>
      <c r="AP62" s="2121"/>
      <c r="AQ62" s="2121"/>
      <c r="AR62" s="2121"/>
    </row>
    <row r="63" spans="1:44" ht="14.25">
      <c r="A63" s="2722" t="s">
        <v>770</v>
      </c>
      <c r="B63" s="2723"/>
      <c r="C63" s="2661"/>
      <c r="D63" s="2662"/>
      <c r="E63" s="2661"/>
      <c r="F63" s="2661"/>
      <c r="G63" s="2661"/>
      <c r="H63" s="2661"/>
      <c r="I63" s="2661"/>
      <c r="J63" s="2661"/>
      <c r="K63" s="2744"/>
      <c r="L63" s="2744"/>
      <c r="M63" s="2121"/>
      <c r="N63" s="2121"/>
      <c r="O63" s="2121"/>
      <c r="P63" s="2121"/>
      <c r="Q63" s="2121"/>
      <c r="R63" s="2121"/>
      <c r="S63" s="2121"/>
      <c r="T63" s="2121"/>
      <c r="U63" s="2121"/>
      <c r="V63" s="2121"/>
      <c r="W63" s="2121"/>
      <c r="X63" s="2121"/>
      <c r="Y63" s="2121"/>
      <c r="Z63" s="2121"/>
      <c r="AA63" s="2121"/>
      <c r="AB63" s="2121"/>
      <c r="AC63" s="2121"/>
      <c r="AD63" s="2121"/>
      <c r="AE63" s="2121"/>
      <c r="AF63" s="2121"/>
      <c r="AG63" s="2121"/>
      <c r="AH63" s="2121"/>
      <c r="AI63" s="2121"/>
      <c r="AJ63" s="2121"/>
      <c r="AK63" s="2121"/>
      <c r="AL63" s="2121"/>
      <c r="AM63" s="2121"/>
      <c r="AN63" s="2121"/>
      <c r="AO63" s="2121"/>
      <c r="AP63" s="2121"/>
      <c r="AQ63" s="2121"/>
      <c r="AR63" s="2121"/>
    </row>
    <row r="64" spans="1:44" s="1192" customFormat="1">
      <c r="A64" s="2724"/>
      <c r="B64" s="2121"/>
      <c r="C64" s="2121"/>
      <c r="D64" s="2659"/>
      <c r="E64" s="2121"/>
      <c r="F64" s="2121"/>
      <c r="G64" s="2121"/>
      <c r="H64" s="2121"/>
      <c r="I64" s="2121"/>
      <c r="J64" s="2121"/>
      <c r="K64" s="2744"/>
      <c r="L64" s="2744"/>
      <c r="M64" s="2121"/>
      <c r="N64" s="2121"/>
      <c r="O64" s="2121"/>
      <c r="P64" s="2121"/>
      <c r="Q64" s="2121"/>
      <c r="R64" s="2121"/>
      <c r="S64" s="2121"/>
      <c r="T64" s="2121"/>
      <c r="U64" s="2121"/>
      <c r="V64" s="2121"/>
      <c r="W64" s="2121"/>
      <c r="X64" s="2121"/>
      <c r="Y64" s="2121"/>
      <c r="Z64" s="2121"/>
      <c r="AA64" s="2121"/>
      <c r="AB64" s="2121"/>
      <c r="AC64" s="2121"/>
      <c r="AD64" s="2121"/>
      <c r="AE64" s="2121"/>
      <c r="AF64" s="2121"/>
      <c r="AG64" s="2121"/>
      <c r="AH64" s="2121"/>
      <c r="AI64" s="2121"/>
      <c r="AJ64" s="2121"/>
      <c r="AK64" s="2121"/>
      <c r="AL64" s="2121"/>
      <c r="AM64" s="2121"/>
      <c r="AN64" s="2121"/>
      <c r="AO64" s="2121"/>
      <c r="AP64" s="2121"/>
      <c r="AQ64" s="2121"/>
      <c r="AR64" s="2121"/>
    </row>
    <row r="65" spans="1:44" s="1192" customFormat="1">
      <c r="A65" s="2724"/>
      <c r="B65" s="2121"/>
      <c r="C65" s="2121"/>
      <c r="D65" s="2659"/>
      <c r="E65" s="2121"/>
      <c r="F65" s="2121"/>
      <c r="G65" s="2121"/>
      <c r="H65" s="2121"/>
      <c r="I65" s="2121"/>
      <c r="J65" s="2121"/>
      <c r="K65" s="2744"/>
      <c r="L65" s="2744"/>
      <c r="M65" s="2121"/>
      <c r="N65" s="2121"/>
      <c r="O65" s="2121"/>
      <c r="P65" s="2121"/>
      <c r="Q65" s="2121"/>
      <c r="R65" s="2121"/>
      <c r="S65" s="2121"/>
      <c r="T65" s="2121"/>
      <c r="U65" s="2121"/>
      <c r="V65" s="2121"/>
      <c r="W65" s="2121"/>
      <c r="X65" s="2121"/>
      <c r="Y65" s="2121"/>
      <c r="Z65" s="2121"/>
      <c r="AA65" s="2121"/>
      <c r="AB65" s="2121"/>
      <c r="AC65" s="2121"/>
      <c r="AD65" s="2121"/>
      <c r="AE65" s="2121"/>
      <c r="AF65" s="2121"/>
      <c r="AG65" s="2121"/>
      <c r="AH65" s="2121"/>
      <c r="AI65" s="2121"/>
      <c r="AJ65" s="2121"/>
      <c r="AK65" s="2121"/>
      <c r="AL65" s="2121"/>
      <c r="AM65" s="2121"/>
      <c r="AN65" s="2121"/>
      <c r="AO65" s="2121"/>
      <c r="AP65" s="2121"/>
      <c r="AQ65" s="2121"/>
      <c r="AR65" s="2121"/>
    </row>
    <row r="66" spans="1:44" s="1192" customFormat="1">
      <c r="A66" s="2724"/>
      <c r="B66" s="2121"/>
      <c r="C66" s="2121"/>
      <c r="D66" s="2659"/>
      <c r="E66" s="2121"/>
      <c r="F66" s="2121"/>
      <c r="G66" s="2121"/>
      <c r="H66" s="2121"/>
      <c r="I66" s="2121"/>
      <c r="J66" s="2121"/>
      <c r="K66" s="2744"/>
      <c r="L66" s="2744"/>
      <c r="M66" s="2121"/>
      <c r="N66" s="2121"/>
      <c r="O66" s="2121"/>
      <c r="P66" s="2121"/>
      <c r="Q66" s="2121"/>
      <c r="R66" s="2121"/>
      <c r="S66" s="2121"/>
      <c r="T66" s="2121"/>
      <c r="U66" s="2121"/>
      <c r="V66" s="2121"/>
      <c r="W66" s="2121"/>
      <c r="X66" s="2121"/>
      <c r="Y66" s="2121"/>
      <c r="Z66" s="2121"/>
      <c r="AA66" s="2121"/>
      <c r="AB66" s="2121"/>
      <c r="AC66" s="2121"/>
      <c r="AD66" s="2121"/>
      <c r="AE66" s="2121"/>
      <c r="AF66" s="2121"/>
      <c r="AG66" s="2121"/>
      <c r="AH66" s="2121"/>
      <c r="AI66" s="2121"/>
      <c r="AJ66" s="2121"/>
      <c r="AK66" s="2121"/>
      <c r="AL66" s="2121"/>
      <c r="AM66" s="2121"/>
      <c r="AN66" s="2121"/>
      <c r="AO66" s="2121"/>
      <c r="AP66" s="2121"/>
      <c r="AQ66" s="2121"/>
      <c r="AR66" s="2121"/>
    </row>
    <row r="67" spans="1:44" s="1192" customFormat="1">
      <c r="A67" s="2724"/>
      <c r="B67" s="2121"/>
      <c r="C67" s="2121"/>
      <c r="D67" s="2659"/>
      <c r="E67" s="2121"/>
      <c r="F67" s="2121"/>
      <c r="G67" s="2121"/>
      <c r="H67" s="2121"/>
      <c r="I67" s="2121"/>
      <c r="J67" s="2121"/>
      <c r="K67" s="2744"/>
      <c r="L67" s="2744"/>
      <c r="M67" s="2121"/>
      <c r="N67" s="2121"/>
      <c r="O67" s="2121"/>
      <c r="P67" s="2121"/>
      <c r="Q67" s="2121"/>
      <c r="R67" s="2121"/>
      <c r="S67" s="2121"/>
      <c r="T67" s="2121"/>
      <c r="U67" s="2121"/>
      <c r="V67" s="2121"/>
      <c r="W67" s="2121"/>
      <c r="X67" s="2121"/>
      <c r="Y67" s="2121"/>
      <c r="Z67" s="2121"/>
      <c r="AA67" s="2121"/>
      <c r="AB67" s="2121"/>
      <c r="AC67" s="2121"/>
      <c r="AD67" s="2121"/>
      <c r="AE67" s="2121"/>
      <c r="AF67" s="2121"/>
      <c r="AG67" s="2121"/>
      <c r="AH67" s="2121"/>
      <c r="AI67" s="2121"/>
      <c r="AJ67" s="2121"/>
      <c r="AK67" s="2121"/>
      <c r="AL67" s="2121"/>
      <c r="AM67" s="2121"/>
      <c r="AN67" s="2121"/>
      <c r="AO67" s="2121"/>
      <c r="AP67" s="2121"/>
      <c r="AQ67" s="2121"/>
      <c r="AR67" s="2121"/>
    </row>
    <row r="68" spans="1:44" s="1192" customFormat="1">
      <c r="A68" s="2724"/>
      <c r="B68" s="2121"/>
      <c r="C68" s="2121"/>
      <c r="D68" s="2659"/>
      <c r="E68" s="2121"/>
      <c r="F68" s="2121"/>
      <c r="G68" s="2121"/>
      <c r="H68" s="2121"/>
      <c r="I68" s="2121"/>
      <c r="J68" s="2121"/>
      <c r="K68" s="2744"/>
      <c r="L68" s="2744"/>
      <c r="M68" s="2121"/>
      <c r="N68" s="2121"/>
      <c r="O68" s="2121"/>
      <c r="P68" s="2121"/>
      <c r="Q68" s="2121"/>
      <c r="R68" s="2121"/>
      <c r="S68" s="2121"/>
      <c r="T68" s="2121"/>
      <c r="U68" s="2121"/>
      <c r="V68" s="2121"/>
      <c r="W68" s="2121"/>
      <c r="X68" s="2121"/>
      <c r="Y68" s="2121"/>
      <c r="Z68" s="2121"/>
      <c r="AA68" s="2121"/>
      <c r="AB68" s="2121"/>
      <c r="AC68" s="2121"/>
      <c r="AD68" s="2121"/>
      <c r="AE68" s="2121"/>
      <c r="AF68" s="2121"/>
      <c r="AG68" s="2121"/>
      <c r="AH68" s="2121"/>
      <c r="AI68" s="2121"/>
      <c r="AJ68" s="2121"/>
      <c r="AK68" s="2121"/>
      <c r="AL68" s="2121"/>
      <c r="AM68" s="2121"/>
      <c r="AN68" s="2121"/>
      <c r="AO68" s="2121"/>
      <c r="AP68" s="2121"/>
      <c r="AQ68" s="2121"/>
      <c r="AR68" s="2121"/>
    </row>
    <row r="69" spans="1:44" s="1192" customFormat="1">
      <c r="A69" s="2549"/>
      <c r="D69" s="2801"/>
      <c r="K69" s="1272"/>
      <c r="L69" s="1272"/>
    </row>
    <row r="70" spans="1:44" s="1192" customFormat="1">
      <c r="A70" s="2549"/>
      <c r="D70" s="2801"/>
      <c r="K70" s="1272"/>
      <c r="L70" s="1272"/>
    </row>
    <row r="71" spans="1:44" s="1192" customFormat="1">
      <c r="A71" s="2549"/>
      <c r="D71" s="2801"/>
      <c r="K71" s="1272"/>
      <c r="L71" s="1272"/>
    </row>
    <row r="72" spans="1:44" s="1192" customFormat="1">
      <c r="A72" s="2549"/>
      <c r="D72" s="2801"/>
      <c r="K72" s="1272"/>
      <c r="L72" s="1272"/>
    </row>
    <row r="73" spans="1:44" s="1192" customFormat="1">
      <c r="A73" s="2549"/>
      <c r="D73" s="2801"/>
      <c r="K73" s="1272"/>
      <c r="L73" s="1272"/>
    </row>
    <row r="74" spans="1:44" s="1192" customFormat="1">
      <c r="A74" s="2549"/>
      <c r="D74" s="2801"/>
      <c r="K74" s="1272"/>
      <c r="L74" s="1272"/>
    </row>
    <row r="75" spans="1:44" s="1192" customFormat="1">
      <c r="A75" s="2549"/>
      <c r="D75" s="2801"/>
      <c r="K75" s="1272"/>
      <c r="L75" s="1272"/>
    </row>
    <row r="76" spans="1:44" s="1192" customFormat="1">
      <c r="A76" s="2549"/>
      <c r="D76" s="2801"/>
      <c r="K76" s="1272"/>
      <c r="L76" s="1272"/>
    </row>
    <row r="77" spans="1:44" s="1192" customFormat="1">
      <c r="A77" s="2549"/>
      <c r="D77" s="2801"/>
      <c r="K77" s="1272"/>
      <c r="L77" s="1272"/>
    </row>
    <row r="78" spans="1:44" s="1192" customFormat="1">
      <c r="A78" s="2549"/>
      <c r="D78" s="2801"/>
      <c r="K78" s="1272"/>
      <c r="L78" s="1272"/>
    </row>
    <row r="79" spans="1:44" s="1192" customFormat="1">
      <c r="A79" s="2549"/>
      <c r="D79" s="2801"/>
      <c r="K79" s="1272"/>
      <c r="L79" s="1272"/>
    </row>
    <row r="80" spans="1:44" s="1192" customFormat="1">
      <c r="A80" s="2549"/>
      <c r="D80" s="2801"/>
      <c r="K80" s="1272"/>
      <c r="L80" s="1272"/>
    </row>
    <row r="81" spans="1:12" s="1192" customFormat="1">
      <c r="A81" s="2549"/>
      <c r="D81" s="2801"/>
      <c r="K81" s="1272"/>
      <c r="L81" s="1272"/>
    </row>
    <row r="82" spans="1:12" s="1192" customFormat="1">
      <c r="A82" s="2549"/>
      <c r="D82" s="2801"/>
      <c r="K82" s="1272"/>
      <c r="L82" s="1272"/>
    </row>
    <row r="83" spans="1:12" s="1192" customFormat="1">
      <c r="A83" s="2549"/>
      <c r="D83" s="2801"/>
      <c r="K83" s="1272"/>
      <c r="L83" s="1272"/>
    </row>
    <row r="84" spans="1:12" s="1192" customFormat="1">
      <c r="A84" s="2549"/>
      <c r="D84" s="2801"/>
      <c r="K84" s="1272"/>
      <c r="L84" s="1272"/>
    </row>
    <row r="85" spans="1:12" s="1192" customFormat="1">
      <c r="A85" s="2549"/>
      <c r="D85" s="2801"/>
      <c r="K85" s="1272"/>
      <c r="L85" s="1272"/>
    </row>
    <row r="86" spans="1:12" s="1192" customFormat="1">
      <c r="A86" s="2549"/>
      <c r="D86" s="2801"/>
      <c r="K86" s="1272"/>
      <c r="L86" s="1272"/>
    </row>
    <row r="87" spans="1:12" s="1192" customFormat="1">
      <c r="A87" s="2549"/>
      <c r="D87" s="2801"/>
      <c r="K87" s="1272"/>
      <c r="L87" s="1272"/>
    </row>
    <row r="88" spans="1:12" s="1192" customFormat="1">
      <c r="A88" s="2549"/>
      <c r="D88" s="2801"/>
      <c r="K88" s="1272"/>
      <c r="L88" s="1272"/>
    </row>
    <row r="89" spans="1:12" s="1192" customFormat="1">
      <c r="A89" s="2549"/>
      <c r="D89" s="2801"/>
      <c r="K89" s="1272"/>
      <c r="L89" s="1272"/>
    </row>
    <row r="90" spans="1:12" s="1192" customFormat="1">
      <c r="A90" s="2549"/>
      <c r="D90" s="2801"/>
      <c r="K90" s="1272"/>
      <c r="L90" s="1272"/>
    </row>
    <row r="91" spans="1:12" s="1192" customFormat="1">
      <c r="A91" s="2549"/>
      <c r="D91" s="2801"/>
      <c r="K91" s="1272"/>
      <c r="L91" s="1272"/>
    </row>
    <row r="92" spans="1:12" s="1192" customFormat="1">
      <c r="A92" s="2549"/>
      <c r="D92" s="2801"/>
      <c r="K92" s="1272"/>
      <c r="L92" s="1272"/>
    </row>
    <row r="93" spans="1:12" s="1192" customFormat="1">
      <c r="A93" s="2549"/>
      <c r="D93" s="2801"/>
      <c r="K93" s="1272"/>
      <c r="L93" s="1272"/>
    </row>
    <row r="94" spans="1:12" s="1192" customFormat="1">
      <c r="A94" s="2549"/>
      <c r="D94" s="2801"/>
      <c r="K94" s="1272"/>
      <c r="L94" s="1272"/>
    </row>
    <row r="95" spans="1:12" s="1192" customFormat="1">
      <c r="A95" s="2549"/>
      <c r="D95" s="2801"/>
      <c r="K95" s="1272"/>
      <c r="L95" s="1272"/>
    </row>
    <row r="96" spans="1:12" s="1192" customFormat="1">
      <c r="A96" s="2549"/>
      <c r="D96" s="2801"/>
      <c r="K96" s="1272"/>
      <c r="L96" s="1272"/>
    </row>
    <row r="97" spans="1:12" s="1192" customFormat="1">
      <c r="A97" s="2549"/>
      <c r="D97" s="2801"/>
      <c r="K97" s="1272"/>
      <c r="L97" s="1272"/>
    </row>
    <row r="98" spans="1:12" s="1192" customFormat="1">
      <c r="A98" s="2549"/>
      <c r="D98" s="2801"/>
      <c r="K98" s="1272"/>
      <c r="L98" s="1272"/>
    </row>
    <row r="99" spans="1:12" s="1192" customFormat="1">
      <c r="A99" s="2549"/>
      <c r="D99" s="2801"/>
      <c r="K99" s="1272"/>
      <c r="L99" s="1272"/>
    </row>
    <row r="100" spans="1:12" s="1192" customFormat="1">
      <c r="A100" s="2549"/>
      <c r="D100" s="2801"/>
      <c r="K100" s="1272"/>
      <c r="L100" s="1272"/>
    </row>
    <row r="101" spans="1:12" s="1192" customFormat="1">
      <c r="A101" s="2549"/>
      <c r="D101" s="2801"/>
      <c r="K101" s="1272"/>
      <c r="L101" s="1272"/>
    </row>
    <row r="102" spans="1:12" s="1192" customFormat="1">
      <c r="A102" s="2549"/>
      <c r="D102" s="2801"/>
      <c r="K102" s="1272"/>
      <c r="L102" s="1272"/>
    </row>
    <row r="103" spans="1:12" s="1192" customFormat="1">
      <c r="A103" s="2549"/>
      <c r="D103" s="2801"/>
      <c r="K103" s="1272"/>
      <c r="L103" s="1272"/>
    </row>
    <row r="104" spans="1:12" s="1192" customFormat="1">
      <c r="A104" s="2549"/>
      <c r="D104" s="2801"/>
      <c r="K104" s="1272"/>
      <c r="L104" s="1272"/>
    </row>
    <row r="105" spans="1:12" s="1192" customFormat="1">
      <c r="A105" s="2549"/>
      <c r="D105" s="2801"/>
      <c r="K105" s="1272"/>
      <c r="L105" s="1272"/>
    </row>
    <row r="106" spans="1:12" s="1192" customFormat="1">
      <c r="A106" s="2549"/>
      <c r="D106" s="2801"/>
      <c r="K106" s="1272"/>
      <c r="L106" s="1272"/>
    </row>
    <row r="107" spans="1:12" s="1192" customFormat="1">
      <c r="A107" s="2549"/>
      <c r="D107" s="2801"/>
      <c r="K107" s="1272"/>
      <c r="L107" s="1272"/>
    </row>
    <row r="108" spans="1:12" s="1192" customFormat="1">
      <c r="A108" s="2549"/>
      <c r="D108" s="2801"/>
      <c r="K108" s="1272"/>
      <c r="L108" s="1272"/>
    </row>
    <row r="109" spans="1:12" s="1192" customFormat="1">
      <c r="A109" s="2549"/>
      <c r="D109" s="2801"/>
      <c r="K109" s="1272"/>
      <c r="L109" s="1272"/>
    </row>
    <row r="110" spans="1:12" s="1192" customFormat="1">
      <c r="A110" s="2549"/>
      <c r="D110" s="2801"/>
      <c r="K110" s="1272"/>
      <c r="L110" s="1272"/>
    </row>
    <row r="111" spans="1:12" s="1192" customFormat="1">
      <c r="A111" s="2549"/>
      <c r="D111" s="2801"/>
      <c r="K111" s="1272"/>
      <c r="L111" s="1272"/>
    </row>
    <row r="112" spans="1:12" s="1192" customFormat="1">
      <c r="A112" s="2549"/>
      <c r="D112" s="2801"/>
      <c r="K112" s="1272"/>
      <c r="L112" s="1272"/>
    </row>
    <row r="113" spans="1:12" s="1192" customFormat="1">
      <c r="A113" s="2549"/>
      <c r="D113" s="2801"/>
      <c r="K113" s="1272"/>
      <c r="L113" s="1272"/>
    </row>
    <row r="114" spans="1:12" s="1192" customFormat="1">
      <c r="A114" s="2549"/>
      <c r="D114" s="2801"/>
      <c r="K114" s="1272"/>
      <c r="L114" s="1272"/>
    </row>
    <row r="115" spans="1:12" s="1192" customFormat="1">
      <c r="A115" s="2549"/>
      <c r="D115" s="2801"/>
      <c r="K115" s="1272"/>
      <c r="L115" s="1272"/>
    </row>
    <row r="116" spans="1:12" s="1192" customFormat="1">
      <c r="A116" s="2549"/>
      <c r="D116" s="2801"/>
      <c r="K116" s="1272"/>
      <c r="L116" s="1272"/>
    </row>
    <row r="117" spans="1:12" s="1192" customFormat="1">
      <c r="A117" s="2549"/>
      <c r="D117" s="2801"/>
      <c r="K117" s="1272"/>
      <c r="L117" s="1272"/>
    </row>
    <row r="118" spans="1:12" s="1192" customFormat="1">
      <c r="A118" s="2549"/>
      <c r="D118" s="2801"/>
      <c r="K118" s="1272"/>
      <c r="L118" s="1272"/>
    </row>
    <row r="119" spans="1:12" s="1192" customFormat="1">
      <c r="A119" s="2549"/>
      <c r="D119" s="2801"/>
      <c r="K119" s="1272"/>
      <c r="L119" s="1272"/>
    </row>
    <row r="120" spans="1:12" s="1192" customFormat="1">
      <c r="A120" s="2549"/>
      <c r="D120" s="2801"/>
      <c r="K120" s="1272"/>
      <c r="L120" s="1272"/>
    </row>
    <row r="121" spans="1:12" s="1192" customFormat="1">
      <c r="A121" s="2549"/>
      <c r="D121" s="2801"/>
      <c r="K121" s="1272"/>
      <c r="L121" s="1272"/>
    </row>
    <row r="122" spans="1:12" s="1192" customFormat="1">
      <c r="A122" s="2549"/>
      <c r="D122" s="2801"/>
      <c r="K122" s="1272"/>
      <c r="L122" s="1272"/>
    </row>
    <row r="123" spans="1:12" s="1192" customFormat="1">
      <c r="A123" s="2549"/>
      <c r="D123" s="2801"/>
      <c r="K123" s="1272"/>
      <c r="L123" s="1272"/>
    </row>
    <row r="124" spans="1:12" s="1192" customFormat="1">
      <c r="A124" s="2549"/>
      <c r="D124" s="2801"/>
      <c r="K124" s="1272"/>
      <c r="L124" s="1272"/>
    </row>
    <row r="125" spans="1:12" s="1192" customFormat="1">
      <c r="A125" s="2549"/>
      <c r="D125" s="2801"/>
      <c r="K125" s="1272"/>
      <c r="L125" s="1272"/>
    </row>
    <row r="126" spans="1:12" s="1192" customFormat="1">
      <c r="A126" s="2549"/>
      <c r="D126" s="2801"/>
      <c r="K126" s="1272"/>
      <c r="L126" s="1272"/>
    </row>
    <row r="127" spans="1:12" s="1192" customFormat="1">
      <c r="A127" s="2549"/>
      <c r="D127" s="2801"/>
      <c r="K127" s="1272"/>
      <c r="L127" s="1272"/>
    </row>
    <row r="128" spans="1:12" s="1192" customFormat="1">
      <c r="A128" s="2549"/>
      <c r="D128" s="2801"/>
      <c r="K128" s="1272"/>
      <c r="L128" s="1272"/>
    </row>
    <row r="129" spans="1:12" s="1192" customFormat="1">
      <c r="A129" s="2549"/>
      <c r="D129" s="2801"/>
      <c r="K129" s="1272"/>
      <c r="L129" s="1272"/>
    </row>
    <row r="130" spans="1:12" s="1192" customFormat="1">
      <c r="A130" s="2549"/>
      <c r="D130" s="2801"/>
      <c r="K130" s="1272"/>
      <c r="L130" s="1272"/>
    </row>
    <row r="131" spans="1:12" s="1192" customFormat="1">
      <c r="A131" s="2549"/>
      <c r="D131" s="2801"/>
      <c r="K131" s="1272"/>
      <c r="L131" s="1272"/>
    </row>
    <row r="132" spans="1:12" s="1192" customFormat="1">
      <c r="A132" s="2549"/>
      <c r="D132" s="2801"/>
      <c r="K132" s="1272"/>
      <c r="L132" s="1272"/>
    </row>
    <row r="133" spans="1:12" s="1192" customFormat="1">
      <c r="A133" s="2549"/>
      <c r="D133" s="2801"/>
      <c r="K133" s="1272"/>
      <c r="L133" s="1272"/>
    </row>
    <row r="134" spans="1:12" s="1191" customFormat="1">
      <c r="A134" s="2802"/>
      <c r="D134" s="2803"/>
      <c r="K134" s="1188"/>
      <c r="L134" s="1188"/>
    </row>
    <row r="135" spans="1:12" s="1191" customFormat="1">
      <c r="A135" s="2802"/>
      <c r="D135" s="2803"/>
      <c r="K135" s="1188"/>
      <c r="L135" s="1188"/>
    </row>
    <row r="136" spans="1:12" s="1191" customFormat="1">
      <c r="A136" s="2802"/>
      <c r="D136" s="2803"/>
      <c r="K136" s="1188"/>
      <c r="L136" s="1188"/>
    </row>
    <row r="137" spans="1:12" s="1191" customFormat="1">
      <c r="A137" s="2802"/>
      <c r="D137" s="2803"/>
      <c r="K137" s="1188"/>
      <c r="L137" s="1188"/>
    </row>
    <row r="138" spans="1:12" s="1191" customFormat="1">
      <c r="A138" s="2802"/>
      <c r="D138" s="2803"/>
      <c r="K138" s="1188"/>
      <c r="L138" s="1188"/>
    </row>
    <row r="139" spans="1:12" s="1191" customFormat="1">
      <c r="A139" s="2802"/>
      <c r="D139" s="2803"/>
      <c r="K139" s="1188"/>
      <c r="L139" s="1188"/>
    </row>
    <row r="140" spans="1:12" s="1191" customFormat="1">
      <c r="A140" s="2802"/>
      <c r="D140" s="2803"/>
      <c r="K140" s="1188"/>
      <c r="L140" s="1188"/>
    </row>
    <row r="141" spans="1:12" s="1191" customFormat="1">
      <c r="A141" s="2802"/>
      <c r="D141" s="2803"/>
      <c r="K141" s="1188"/>
      <c r="L141" s="1188"/>
    </row>
    <row r="142" spans="1:12" s="1191" customFormat="1">
      <c r="A142" s="2802"/>
      <c r="D142" s="2803"/>
      <c r="K142" s="1188"/>
      <c r="L142" s="1188"/>
    </row>
    <row r="143" spans="1:12" s="1191" customFormat="1">
      <c r="A143" s="2802"/>
      <c r="D143" s="2803"/>
      <c r="K143" s="1188"/>
      <c r="L143" s="1188"/>
    </row>
    <row r="144" spans="1:12" s="1191" customFormat="1">
      <c r="A144" s="2802"/>
      <c r="D144" s="2803"/>
      <c r="K144" s="1188"/>
      <c r="L144" s="1188"/>
    </row>
    <row r="145" spans="1:12" s="1191" customFormat="1">
      <c r="A145" s="2802"/>
      <c r="D145" s="2803"/>
      <c r="K145" s="1188"/>
      <c r="L145" s="1188"/>
    </row>
    <row r="146" spans="1:12" s="1191" customFormat="1">
      <c r="A146" s="2802"/>
      <c r="D146" s="2803"/>
      <c r="K146" s="1188"/>
      <c r="L146" s="1188"/>
    </row>
    <row r="147" spans="1:12" s="1191" customFormat="1">
      <c r="A147" s="2802"/>
      <c r="D147" s="2803"/>
      <c r="K147" s="1188"/>
      <c r="L147" s="1188"/>
    </row>
    <row r="148" spans="1:12" s="1191" customFormat="1">
      <c r="A148" s="2802"/>
      <c r="D148" s="2803"/>
      <c r="K148" s="1188"/>
      <c r="L148" s="1188"/>
    </row>
    <row r="149" spans="1:12" s="1191" customFormat="1">
      <c r="A149" s="2802"/>
      <c r="D149" s="2803"/>
      <c r="K149" s="1188"/>
      <c r="L149" s="1188"/>
    </row>
    <row r="150" spans="1:12" s="1191" customFormat="1">
      <c r="A150" s="2802"/>
      <c r="D150" s="2803"/>
      <c r="K150" s="1188"/>
      <c r="L150" s="1188"/>
    </row>
    <row r="151" spans="1:12" s="1191" customFormat="1">
      <c r="A151" s="2802"/>
      <c r="D151" s="2803"/>
      <c r="K151" s="1188"/>
      <c r="L151" s="1188"/>
    </row>
    <row r="152" spans="1:12" s="1191" customFormat="1">
      <c r="A152" s="2802"/>
      <c r="D152" s="2803"/>
      <c r="K152" s="1188"/>
      <c r="L152" s="1188"/>
    </row>
    <row r="153" spans="1:12" s="1191" customFormat="1">
      <c r="A153" s="2802"/>
      <c r="D153" s="2803"/>
      <c r="K153" s="1188"/>
      <c r="L153" s="1188"/>
    </row>
    <row r="154" spans="1:12" s="1191" customFormat="1">
      <c r="A154" s="2802"/>
      <c r="D154" s="2803"/>
      <c r="K154" s="1188"/>
      <c r="L154" s="1188"/>
    </row>
    <row r="155" spans="1:12" s="1191" customFormat="1">
      <c r="A155" s="2802"/>
      <c r="D155" s="2803"/>
      <c r="K155" s="1188"/>
      <c r="L155" s="1188"/>
    </row>
    <row r="156" spans="1:12" s="1191" customFormat="1">
      <c r="A156" s="2802"/>
      <c r="D156" s="2803"/>
      <c r="K156" s="1188"/>
      <c r="L156" s="1188"/>
    </row>
    <row r="157" spans="1:12" s="1191" customFormat="1">
      <c r="A157" s="2802"/>
      <c r="D157" s="2803"/>
      <c r="K157" s="1188"/>
      <c r="L157" s="1188"/>
    </row>
    <row r="158" spans="1:12" s="1191" customFormat="1">
      <c r="A158" s="2802"/>
      <c r="D158" s="2803"/>
      <c r="K158" s="1188"/>
      <c r="L158" s="1188"/>
    </row>
    <row r="159" spans="1:12" s="1191" customFormat="1">
      <c r="A159" s="2802"/>
      <c r="D159" s="2803"/>
      <c r="K159" s="1188"/>
      <c r="L159" s="1188"/>
    </row>
    <row r="160" spans="1:12" s="1191" customFormat="1">
      <c r="A160" s="2802"/>
      <c r="D160" s="2803"/>
      <c r="K160" s="1188"/>
      <c r="L160" s="1188"/>
    </row>
    <row r="161" spans="1:12" s="1191" customFormat="1">
      <c r="A161" s="2802"/>
      <c r="D161" s="2803"/>
      <c r="K161" s="1188"/>
      <c r="L161" s="1188"/>
    </row>
    <row r="162" spans="1:12" s="1191" customFormat="1">
      <c r="A162" s="2802"/>
      <c r="D162" s="2803"/>
      <c r="K162" s="1188"/>
      <c r="L162" s="1188"/>
    </row>
    <row r="163" spans="1:12" s="1191" customFormat="1">
      <c r="A163" s="2802"/>
      <c r="D163" s="2803"/>
      <c r="K163" s="1188"/>
      <c r="L163" s="1188"/>
    </row>
    <row r="164" spans="1:12" s="1191" customFormat="1">
      <c r="A164" s="2802"/>
      <c r="D164" s="2803"/>
      <c r="K164" s="1188"/>
      <c r="L164" s="1188"/>
    </row>
    <row r="165" spans="1:12" s="1191" customFormat="1">
      <c r="A165" s="2802"/>
      <c r="D165" s="2803"/>
      <c r="K165" s="1188"/>
      <c r="L165" s="1188"/>
    </row>
    <row r="166" spans="1:12" s="1191" customFormat="1">
      <c r="A166" s="2802"/>
      <c r="D166" s="2803"/>
      <c r="K166" s="1188"/>
      <c r="L166" s="1188"/>
    </row>
    <row r="167" spans="1:12" s="1191" customFormat="1">
      <c r="A167" s="2802"/>
      <c r="D167" s="2803"/>
      <c r="K167" s="1188"/>
      <c r="L167" s="1188"/>
    </row>
    <row r="168" spans="1:12" s="1191" customFormat="1">
      <c r="A168" s="2802"/>
      <c r="D168" s="2803"/>
      <c r="K168" s="1188"/>
      <c r="L168" s="1188"/>
    </row>
    <row r="169" spans="1:12" s="1191" customFormat="1">
      <c r="A169" s="2802"/>
      <c r="D169" s="2803"/>
      <c r="K169" s="1188"/>
      <c r="L169" s="1188"/>
    </row>
    <row r="170" spans="1:12" s="1191" customFormat="1">
      <c r="A170" s="2802"/>
      <c r="D170" s="2803"/>
      <c r="K170" s="1188"/>
      <c r="L170" s="1188"/>
    </row>
    <row r="171" spans="1:12" s="1191" customFormat="1">
      <c r="A171" s="2802"/>
      <c r="D171" s="2803"/>
      <c r="K171" s="1188"/>
      <c r="L171" s="1188"/>
    </row>
    <row r="172" spans="1:12" s="1191" customFormat="1">
      <c r="A172" s="2802"/>
      <c r="D172" s="2803"/>
      <c r="K172" s="1188"/>
      <c r="L172" s="1188"/>
    </row>
    <row r="173" spans="1:12" s="1191" customFormat="1">
      <c r="A173" s="2802"/>
      <c r="D173" s="2803"/>
      <c r="K173" s="1188"/>
      <c r="L173" s="1188"/>
    </row>
    <row r="174" spans="1:12" s="1191" customFormat="1">
      <c r="A174" s="2802"/>
      <c r="D174" s="2803"/>
      <c r="K174" s="1188"/>
      <c r="L174" s="1188"/>
    </row>
  </sheetData>
  <sheetProtection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0" sqref="I10"/>
    </sheetView>
  </sheetViews>
  <sheetFormatPr defaultColWidth="9" defaultRowHeight="14.25"/>
  <cols>
    <col min="1" max="1" width="9.5" style="2568" customWidth="1"/>
    <col min="2" max="3" width="24.5" style="1800" customWidth="1"/>
    <col min="4" max="4" width="2.625" style="1800" customWidth="1"/>
    <col min="5" max="5" width="5.875" style="1800" customWidth="1"/>
    <col min="6" max="7" width="27" style="1800" customWidth="1"/>
    <col min="8" max="8" width="11.875" style="2569" customWidth="1"/>
    <col min="9" max="9" width="16.75" style="2569" customWidth="1"/>
    <col min="10" max="10" width="2.625" style="2569" customWidth="1"/>
    <col min="11" max="11" width="11.875" style="2569" customWidth="1"/>
    <col min="12" max="12" width="16.75" style="2569" customWidth="1"/>
    <col min="13" max="13" width="2.625" style="2569" customWidth="1"/>
    <col min="14" max="14" width="11.875" style="2569" customWidth="1"/>
    <col min="15" max="15" width="16.75" style="2569" customWidth="1"/>
    <col min="16" max="16" width="2.625" style="2569" customWidth="1"/>
    <col min="17" max="17" width="11.875" style="2569" customWidth="1"/>
    <col min="18" max="18" width="16.75" style="2110" customWidth="1"/>
    <col min="19" max="29" width="9" style="2110"/>
    <col min="30" max="16384" width="9" style="2568"/>
  </cols>
  <sheetData>
    <row r="1" spans="1:29" s="2567" customFormat="1" ht="18">
      <c r="A1" s="3331" t="s">
        <v>771</v>
      </c>
      <c r="B1" s="3332"/>
      <c r="C1" s="3332"/>
      <c r="D1" s="3332"/>
      <c r="E1" s="3332"/>
      <c r="F1" s="3332"/>
      <c r="G1" s="3332"/>
      <c r="H1" s="2570"/>
      <c r="I1" s="2570"/>
      <c r="J1" s="2570"/>
      <c r="K1" s="2570"/>
      <c r="L1" s="2570"/>
      <c r="M1" s="2570"/>
      <c r="N1" s="2570"/>
      <c r="O1" s="2570"/>
      <c r="P1" s="2570"/>
      <c r="Q1" s="2621"/>
      <c r="R1" s="2622"/>
      <c r="S1" s="2622"/>
      <c r="T1" s="2622"/>
      <c r="U1" s="2622"/>
      <c r="V1" s="2622"/>
      <c r="W1" s="2622"/>
      <c r="X1" s="2622"/>
      <c r="Y1" s="2622"/>
      <c r="Z1" s="2622"/>
      <c r="AA1" s="2622"/>
      <c r="AB1" s="2622"/>
      <c r="AC1" s="2622"/>
    </row>
    <row r="2" spans="1:29">
      <c r="A2" s="2571"/>
      <c r="B2" s="2572"/>
      <c r="C2" s="2573" t="s">
        <v>772</v>
      </c>
      <c r="D2" s="2574"/>
      <c r="E2" s="2571"/>
      <c r="F2" s="2575"/>
      <c r="G2" s="2573" t="s">
        <v>773</v>
      </c>
      <c r="H2" s="2110"/>
      <c r="I2" s="2110"/>
      <c r="J2" s="2110"/>
      <c r="K2" s="2110"/>
      <c r="L2" s="2110"/>
      <c r="M2" s="2110"/>
      <c r="N2" s="2110"/>
      <c r="O2" s="2110"/>
      <c r="P2" s="2110"/>
      <c r="Q2" s="2110"/>
    </row>
    <row r="3" spans="1:29" ht="24">
      <c r="A3" s="2576" t="s">
        <v>774</v>
      </c>
      <c r="B3" s="2577" t="s">
        <v>775</v>
      </c>
      <c r="C3" s="2578"/>
      <c r="D3" s="2579"/>
      <c r="E3" s="2580" t="s">
        <v>774</v>
      </c>
      <c r="F3" s="2581" t="s">
        <v>776</v>
      </c>
      <c r="G3" s="2582"/>
      <c r="H3" s="2110"/>
      <c r="I3" s="2110"/>
      <c r="J3" s="2110"/>
      <c r="K3" s="2110"/>
      <c r="L3" s="2110"/>
      <c r="M3" s="2110"/>
      <c r="N3" s="2110"/>
      <c r="O3" s="2110"/>
      <c r="P3" s="2110"/>
      <c r="Q3" s="2110"/>
    </row>
    <row r="4" spans="1:29">
      <c r="A4" s="2580"/>
      <c r="B4" s="970" t="s">
        <v>777</v>
      </c>
      <c r="C4" s="2583"/>
      <c r="D4" s="2579"/>
      <c r="E4" s="2584"/>
      <c r="F4" s="1047" t="s">
        <v>778</v>
      </c>
      <c r="G4" s="2585"/>
      <c r="H4" s="2110"/>
      <c r="I4" s="2110"/>
      <c r="J4" s="2110"/>
      <c r="K4" s="2110"/>
      <c r="L4" s="2110"/>
      <c r="M4" s="2110"/>
      <c r="N4" s="2110"/>
      <c r="O4" s="2110"/>
      <c r="P4" s="2110"/>
      <c r="Q4" s="2110"/>
    </row>
    <row r="5" spans="1:29">
      <c r="A5" s="2580"/>
      <c r="B5" s="970" t="s">
        <v>779</v>
      </c>
      <c r="C5" s="2583"/>
      <c r="D5" s="2579"/>
      <c r="E5" s="2584"/>
      <c r="F5" s="970" t="s">
        <v>601</v>
      </c>
      <c r="G5" s="2585"/>
      <c r="H5" s="2110"/>
      <c r="I5" s="2110"/>
      <c r="J5" s="2110"/>
      <c r="K5" s="2110"/>
      <c r="L5" s="2110"/>
      <c r="M5" s="2110"/>
      <c r="N5" s="2110"/>
      <c r="O5" s="2110"/>
      <c r="P5" s="2110"/>
      <c r="Q5" s="2110"/>
    </row>
    <row r="6" spans="1:29">
      <c r="A6" s="2580"/>
      <c r="B6" s="970" t="s">
        <v>778</v>
      </c>
      <c r="C6" s="2585"/>
      <c r="D6" s="2579"/>
      <c r="E6" s="2584"/>
      <c r="F6" s="970" t="s">
        <v>780</v>
      </c>
      <c r="G6" s="2585"/>
      <c r="H6" s="2110"/>
      <c r="I6" s="2110"/>
      <c r="J6" s="2110"/>
      <c r="K6" s="2110"/>
      <c r="L6" s="2110"/>
      <c r="M6" s="2110"/>
      <c r="N6" s="2110"/>
      <c r="O6" s="2110"/>
      <c r="P6" s="2110"/>
      <c r="Q6" s="2110"/>
    </row>
    <row r="7" spans="1:29">
      <c r="A7" s="2580"/>
      <c r="B7" s="970" t="s">
        <v>601</v>
      </c>
      <c r="C7" s="2585"/>
      <c r="D7" s="2586"/>
      <c r="E7" s="2587"/>
      <c r="F7" s="2588" t="s">
        <v>781</v>
      </c>
      <c r="G7" s="2589"/>
      <c r="H7" s="2110"/>
      <c r="I7" s="2110"/>
      <c r="J7" s="2110"/>
      <c r="K7" s="2110"/>
      <c r="L7" s="2110"/>
      <c r="M7" s="2110"/>
      <c r="N7" s="2110"/>
      <c r="O7" s="2110"/>
      <c r="P7" s="2110"/>
      <c r="Q7" s="2110"/>
    </row>
    <row r="8" spans="1:29">
      <c r="A8" s="2580"/>
      <c r="B8" s="970" t="s">
        <v>780</v>
      </c>
      <c r="C8" s="2585"/>
      <c r="D8" s="2586"/>
      <c r="E8" s="2586"/>
      <c r="F8" s="1006"/>
      <c r="G8" s="1006"/>
      <c r="H8" s="2110"/>
      <c r="I8" s="2110"/>
      <c r="J8" s="2110"/>
      <c r="K8" s="2110"/>
      <c r="L8" s="2110"/>
      <c r="M8" s="2110"/>
      <c r="N8" s="2110"/>
      <c r="O8" s="2110"/>
      <c r="P8" s="2110"/>
      <c r="Q8" s="2110"/>
    </row>
    <row r="9" spans="1:29">
      <c r="A9" s="2580"/>
      <c r="B9" s="970" t="s">
        <v>782</v>
      </c>
      <c r="C9" s="2583"/>
      <c r="D9" s="2579"/>
      <c r="E9" s="2586"/>
      <c r="F9" s="1006"/>
      <c r="G9" s="1006"/>
      <c r="H9" s="2110"/>
      <c r="I9" s="2110"/>
      <c r="J9" s="2110"/>
      <c r="K9" s="2110"/>
      <c r="L9" s="2110"/>
      <c r="M9" s="2110"/>
      <c r="N9" s="2110"/>
      <c r="O9" s="2110"/>
      <c r="P9" s="2110"/>
      <c r="Q9" s="2110"/>
    </row>
    <row r="10" spans="1:29">
      <c r="A10" s="2590"/>
      <c r="B10" s="2591" t="s">
        <v>783</v>
      </c>
      <c r="C10" s="2592"/>
      <c r="D10" s="2579"/>
      <c r="E10" s="2579"/>
      <c r="F10" s="1006"/>
      <c r="G10" s="1006"/>
      <c r="J10" s="2618"/>
      <c r="M10" s="2618"/>
      <c r="P10" s="2618"/>
      <c r="R10" s="2569"/>
    </row>
    <row r="11" spans="1:29">
      <c r="A11" s="2593"/>
      <c r="B11" s="2586"/>
      <c r="C11" s="2579"/>
      <c r="D11" s="2579"/>
      <c r="E11" s="2579"/>
      <c r="F11" s="2586"/>
      <c r="G11" s="2586"/>
      <c r="J11" s="2618"/>
      <c r="M11" s="2618"/>
      <c r="P11" s="2618"/>
      <c r="R11" s="2569"/>
    </row>
    <row r="12" spans="1:29" s="2567" customFormat="1" ht="18">
      <c r="A12" s="2593"/>
      <c r="B12" s="2586"/>
      <c r="C12" s="2579"/>
      <c r="D12" s="2594"/>
      <c r="E12" s="2579"/>
      <c r="F12" s="2586"/>
      <c r="G12" s="2586"/>
      <c r="H12" s="2595"/>
      <c r="I12" s="2595"/>
      <c r="J12" s="2595"/>
      <c r="K12" s="2595"/>
      <c r="L12" s="2619"/>
      <c r="M12" s="2595"/>
      <c r="N12" s="2620"/>
      <c r="O12" s="2620"/>
      <c r="P12" s="2620"/>
      <c r="Q12" s="2620"/>
      <c r="R12" s="2622"/>
      <c r="S12" s="2622"/>
      <c r="T12" s="2622"/>
      <c r="U12" s="2622"/>
      <c r="V12" s="2622"/>
      <c r="W12" s="2622"/>
      <c r="X12" s="2622"/>
      <c r="Y12" s="2622"/>
      <c r="Z12" s="2622"/>
      <c r="AA12" s="2622"/>
      <c r="AB12" s="2622"/>
      <c r="AC12" s="2622"/>
    </row>
    <row r="13" spans="1:29" ht="15">
      <c r="A13" s="2596" t="s">
        <v>784</v>
      </c>
      <c r="B13" s="2594"/>
      <c r="C13" s="2594"/>
      <c r="D13" s="2593"/>
      <c r="E13" s="2594"/>
      <c r="F13" s="2594"/>
      <c r="G13" s="2594"/>
    </row>
    <row r="14" spans="1:29">
      <c r="A14" s="2597"/>
      <c r="B14" s="2597"/>
      <c r="C14" s="2598" t="s">
        <v>772</v>
      </c>
      <c r="D14" s="2579"/>
      <c r="E14" s="2599"/>
      <c r="F14" s="2599"/>
      <c r="G14" s="2573" t="s">
        <v>773</v>
      </c>
    </row>
    <row r="15" spans="1:29" ht="24">
      <c r="A15" s="2600" t="s">
        <v>774</v>
      </c>
      <c r="B15" s="2601" t="s">
        <v>775</v>
      </c>
      <c r="C15" s="2602">
        <f>C3</f>
        <v>0</v>
      </c>
      <c r="D15" s="2579"/>
      <c r="E15" s="2603" t="s">
        <v>774</v>
      </c>
      <c r="F15" s="2601" t="s">
        <v>776</v>
      </c>
      <c r="G15" s="2604">
        <f>G3</f>
        <v>0</v>
      </c>
    </row>
    <row r="16" spans="1:29">
      <c r="A16" s="2605"/>
      <c r="B16" s="2606" t="s">
        <v>777</v>
      </c>
      <c r="C16" s="2607">
        <f>C4</f>
        <v>0</v>
      </c>
      <c r="D16" s="2579"/>
      <c r="E16" s="2608"/>
      <c r="F16" s="2609" t="s">
        <v>778</v>
      </c>
      <c r="G16" s="2610">
        <f>G4</f>
        <v>0</v>
      </c>
    </row>
    <row r="17" spans="1:17">
      <c r="A17" s="2605"/>
      <c r="B17" s="2606" t="s">
        <v>779</v>
      </c>
      <c r="C17" s="2607">
        <f>C5</f>
        <v>0</v>
      </c>
      <c r="D17" s="2586"/>
      <c r="E17" s="2608"/>
      <c r="F17" s="2609" t="s">
        <v>785</v>
      </c>
      <c r="G17" s="2611"/>
    </row>
    <row r="18" spans="1:17">
      <c r="A18" s="2605"/>
      <c r="B18" s="2609" t="s">
        <v>778</v>
      </c>
      <c r="C18" s="2610">
        <f>C6</f>
        <v>0</v>
      </c>
      <c r="D18" s="2586"/>
      <c r="E18" s="2608"/>
      <c r="F18" s="2609" t="s">
        <v>781</v>
      </c>
      <c r="G18" s="2610">
        <f>G7</f>
        <v>0</v>
      </c>
    </row>
    <row r="19" spans="1:17">
      <c r="A19" s="2605"/>
      <c r="B19" s="2609" t="s">
        <v>785</v>
      </c>
      <c r="C19" s="2611"/>
      <c r="D19" s="2579"/>
      <c r="E19" s="2608"/>
      <c r="F19" s="970" t="s">
        <v>601</v>
      </c>
      <c r="G19" s="2610">
        <f>G5</f>
        <v>0</v>
      </c>
    </row>
    <row r="20" spans="1:17">
      <c r="A20" s="2605"/>
      <c r="B20" s="2609" t="s">
        <v>786</v>
      </c>
      <c r="C20" s="2607">
        <f>C9</f>
        <v>0</v>
      </c>
      <c r="D20" s="2586"/>
      <c r="E20" s="2608"/>
      <c r="F20" s="970" t="s">
        <v>780</v>
      </c>
      <c r="G20" s="2610">
        <f>G6</f>
        <v>0</v>
      </c>
    </row>
    <row r="21" spans="1:17">
      <c r="A21" s="2605"/>
      <c r="B21" s="970" t="s">
        <v>601</v>
      </c>
      <c r="C21" s="2610">
        <f>C7</f>
        <v>0</v>
      </c>
      <c r="D21" s="2579"/>
      <c r="E21" s="2608"/>
      <c r="F21" s="2609" t="s">
        <v>787</v>
      </c>
      <c r="G21" s="2612"/>
    </row>
    <row r="22" spans="1:17" ht="13.5" customHeight="1">
      <c r="A22" s="2605"/>
      <c r="B22" s="970" t="s">
        <v>780</v>
      </c>
      <c r="C22" s="2610">
        <f>C8</f>
        <v>0</v>
      </c>
      <c r="D22" s="2579"/>
      <c r="E22" s="2608"/>
      <c r="F22" s="2609" t="s">
        <v>783</v>
      </c>
      <c r="G22" s="2611"/>
    </row>
    <row r="23" spans="1:17" s="2110" customFormat="1">
      <c r="A23" s="2605"/>
      <c r="B23" s="2609" t="s">
        <v>787</v>
      </c>
      <c r="C23" s="2612"/>
      <c r="D23" s="2549"/>
      <c r="E23" s="2613"/>
      <c r="F23" s="2614" t="s">
        <v>550</v>
      </c>
      <c r="G23" s="2615"/>
      <c r="H23" s="2569"/>
      <c r="I23" s="2569"/>
      <c r="J23" s="2569"/>
      <c r="K23" s="2569"/>
      <c r="L23" s="2569"/>
      <c r="M23" s="2569"/>
      <c r="N23" s="2569"/>
      <c r="O23" s="2569"/>
      <c r="P23" s="2569"/>
      <c r="Q23" s="2569"/>
    </row>
    <row r="24" spans="1:17" s="2110" customFormat="1">
      <c r="A24" s="2616"/>
      <c r="B24" s="2614" t="s">
        <v>783</v>
      </c>
      <c r="C24" s="2617">
        <f>C10</f>
        <v>0</v>
      </c>
      <c r="D24" s="2549"/>
      <c r="E24" s="2586"/>
      <c r="F24" s="2586"/>
      <c r="G24" s="2586"/>
      <c r="H24" s="2569"/>
      <c r="I24" s="2569"/>
      <c r="J24" s="2569"/>
      <c r="K24" s="2569"/>
      <c r="L24" s="2569"/>
      <c r="M24" s="2569"/>
      <c r="N24" s="2569"/>
      <c r="O24" s="2569"/>
      <c r="P24" s="2569"/>
      <c r="Q24" s="2569"/>
    </row>
    <row r="25" spans="1:17" s="2110" customFormat="1">
      <c r="B25" s="2569"/>
      <c r="C25" s="2569"/>
      <c r="D25" s="2569"/>
      <c r="H25" s="2569"/>
      <c r="I25" s="2569"/>
      <c r="J25" s="2569"/>
      <c r="K25" s="2569"/>
      <c r="L25" s="2569"/>
      <c r="M25" s="2569"/>
      <c r="N25" s="2569"/>
      <c r="O25" s="2569"/>
      <c r="P25" s="2569"/>
      <c r="Q25" s="2569"/>
    </row>
    <row r="26" spans="1:17" s="2110" customFormat="1">
      <c r="B26" s="2569"/>
      <c r="C26" s="2569"/>
      <c r="D26" s="2569"/>
      <c r="H26" s="2569"/>
      <c r="I26" s="2569"/>
      <c r="J26" s="2569"/>
      <c r="K26" s="2569"/>
      <c r="L26" s="2569"/>
      <c r="M26" s="2569"/>
      <c r="N26" s="2569"/>
      <c r="O26" s="2569"/>
      <c r="P26" s="2569"/>
      <c r="Q26" s="2569"/>
    </row>
    <row r="27" spans="1:17" s="2110" customFormat="1">
      <c r="B27" s="2569"/>
      <c r="C27" s="2569"/>
      <c r="D27" s="2569"/>
      <c r="H27" s="2569"/>
      <c r="I27" s="2569"/>
      <c r="J27" s="2569"/>
      <c r="K27" s="2569"/>
      <c r="L27" s="2569"/>
      <c r="M27" s="2569"/>
      <c r="N27" s="2569"/>
      <c r="O27" s="2569"/>
      <c r="P27" s="2569"/>
      <c r="Q27" s="2569"/>
    </row>
    <row r="28" spans="1:17" s="2110" customFormat="1">
      <c r="B28" s="2569"/>
      <c r="C28" s="2569"/>
      <c r="D28" s="2569"/>
      <c r="H28" s="2569"/>
      <c r="I28" s="2569"/>
      <c r="J28" s="2569"/>
      <c r="K28" s="2569"/>
      <c r="L28" s="2569"/>
      <c r="M28" s="2569"/>
      <c r="N28" s="2569"/>
      <c r="O28" s="2569"/>
      <c r="P28" s="2569"/>
      <c r="Q28" s="2569"/>
    </row>
    <row r="29" spans="1:17" s="2110" customFormat="1">
      <c r="B29" s="2569"/>
      <c r="C29" s="2569"/>
      <c r="D29" s="2569"/>
      <c r="H29" s="2569"/>
      <c r="I29" s="2569"/>
      <c r="J29" s="2569"/>
      <c r="K29" s="2569"/>
      <c r="L29" s="2569"/>
      <c r="M29" s="2569"/>
      <c r="N29" s="2569"/>
      <c r="O29" s="2569"/>
      <c r="P29" s="2569"/>
      <c r="Q29" s="2569"/>
    </row>
    <row r="30" spans="1:17" s="2110" customFormat="1">
      <c r="B30" s="2569"/>
      <c r="C30" s="2569"/>
      <c r="D30" s="2569"/>
      <c r="H30" s="2569"/>
      <c r="I30" s="2569"/>
      <c r="J30" s="2569"/>
      <c r="K30" s="2569"/>
      <c r="L30" s="2569"/>
      <c r="M30" s="2569"/>
      <c r="N30" s="2569"/>
      <c r="O30" s="2569"/>
      <c r="P30" s="2569"/>
      <c r="Q30" s="2569"/>
    </row>
    <row r="31" spans="1:17" s="2110" customFormat="1">
      <c r="B31" s="2569"/>
      <c r="C31" s="2569"/>
      <c r="D31" s="2569"/>
      <c r="H31" s="2569"/>
      <c r="I31" s="2569"/>
      <c r="J31" s="2569"/>
      <c r="K31" s="2569"/>
      <c r="L31" s="2569"/>
      <c r="M31" s="2569"/>
      <c r="N31" s="2569"/>
      <c r="O31" s="2569"/>
      <c r="P31" s="2569"/>
      <c r="Q31" s="2569"/>
    </row>
    <row r="32" spans="1:17" s="2110" customFormat="1">
      <c r="B32" s="2569"/>
      <c r="C32" s="2569"/>
      <c r="D32" s="2569"/>
      <c r="H32" s="2569"/>
      <c r="I32" s="2569"/>
      <c r="J32" s="2569"/>
      <c r="K32" s="2569"/>
      <c r="L32" s="2569"/>
      <c r="M32" s="2569"/>
      <c r="N32" s="2569"/>
      <c r="O32" s="2569"/>
      <c r="P32" s="2569"/>
      <c r="Q32" s="2569"/>
    </row>
    <row r="33" spans="2:17" s="2110" customFormat="1">
      <c r="B33" s="2569"/>
      <c r="C33" s="2569"/>
      <c r="D33" s="2569"/>
      <c r="H33" s="2569"/>
      <c r="I33" s="2569"/>
      <c r="J33" s="2569"/>
      <c r="K33" s="2569"/>
      <c r="L33" s="2569"/>
      <c r="M33" s="2569"/>
      <c r="N33" s="2569"/>
      <c r="O33" s="2569"/>
      <c r="P33" s="2569"/>
      <c r="Q33" s="2569"/>
    </row>
    <row r="34" spans="2:17" s="2110" customFormat="1">
      <c r="B34" s="2569"/>
      <c r="C34" s="2569"/>
      <c r="D34" s="2569"/>
      <c r="H34" s="2569"/>
      <c r="I34" s="2569"/>
      <c r="J34" s="2569"/>
      <c r="K34" s="2569"/>
      <c r="L34" s="2569"/>
      <c r="M34" s="2569"/>
      <c r="N34" s="2569"/>
      <c r="O34" s="2569"/>
      <c r="P34" s="2569"/>
      <c r="Q34" s="2569"/>
    </row>
    <row r="35" spans="2:17" s="2110" customFormat="1">
      <c r="B35" s="2569"/>
      <c r="C35" s="2569"/>
      <c r="D35" s="2569"/>
      <c r="H35" s="2569"/>
      <c r="I35" s="2569"/>
      <c r="J35" s="2569"/>
      <c r="K35" s="2569"/>
      <c r="L35" s="2569"/>
      <c r="M35" s="2569"/>
      <c r="N35" s="2569"/>
      <c r="O35" s="2569"/>
      <c r="P35" s="2569"/>
      <c r="Q35" s="2569"/>
    </row>
    <row r="36" spans="2:17" s="2110" customFormat="1">
      <c r="B36" s="2569"/>
      <c r="C36" s="2569"/>
      <c r="D36" s="2569"/>
      <c r="H36" s="2569"/>
      <c r="I36" s="2569"/>
      <c r="J36" s="2569"/>
      <c r="K36" s="2569"/>
      <c r="L36" s="2569"/>
      <c r="M36" s="2569"/>
      <c r="N36" s="2569"/>
      <c r="O36" s="2569"/>
      <c r="P36" s="2569"/>
      <c r="Q36" s="2569"/>
    </row>
    <row r="37" spans="2:17" s="2110" customFormat="1">
      <c r="B37" s="2569"/>
      <c r="C37" s="2569"/>
      <c r="D37" s="2569"/>
      <c r="H37" s="2569"/>
      <c r="I37" s="2569"/>
      <c r="J37" s="2569"/>
      <c r="K37" s="2569"/>
      <c r="L37" s="2569"/>
      <c r="M37" s="2569"/>
      <c r="N37" s="2569"/>
      <c r="O37" s="2569"/>
      <c r="P37" s="2569"/>
      <c r="Q37" s="2569"/>
    </row>
    <row r="38" spans="2:17" s="2110" customFormat="1">
      <c r="B38" s="2569"/>
      <c r="C38" s="2569"/>
      <c r="D38" s="2569"/>
      <c r="E38" s="2569"/>
      <c r="F38" s="2569"/>
      <c r="G38" s="2569"/>
      <c r="H38" s="2569"/>
      <c r="I38" s="2569"/>
      <c r="J38" s="2569"/>
      <c r="K38" s="2569"/>
      <c r="L38" s="2569"/>
      <c r="M38" s="2569"/>
      <c r="N38" s="2569"/>
      <c r="O38" s="2569"/>
      <c r="P38" s="2569"/>
      <c r="Q38" s="2569"/>
    </row>
    <row r="39" spans="2:17" s="2110" customFormat="1">
      <c r="B39" s="2569"/>
      <c r="C39" s="2569"/>
      <c r="D39" s="2569"/>
      <c r="E39" s="2569"/>
      <c r="F39" s="2569"/>
      <c r="G39" s="2569"/>
      <c r="H39" s="2569"/>
      <c r="I39" s="2569"/>
      <c r="J39" s="2569"/>
      <c r="K39" s="2569"/>
      <c r="L39" s="2569"/>
      <c r="M39" s="2569"/>
      <c r="N39" s="2569"/>
      <c r="O39" s="2569"/>
      <c r="P39" s="2569"/>
      <c r="Q39" s="2569"/>
    </row>
    <row r="40" spans="2:17" s="2110" customFormat="1">
      <c r="B40" s="2569"/>
      <c r="C40" s="2569"/>
      <c r="D40" s="2569"/>
      <c r="E40" s="2569"/>
      <c r="F40" s="2569"/>
      <c r="G40" s="2569"/>
      <c r="H40" s="2569"/>
      <c r="I40" s="2569"/>
      <c r="J40" s="2569"/>
      <c r="K40" s="2569"/>
      <c r="L40" s="2569"/>
      <c r="M40" s="2569"/>
      <c r="N40" s="2569"/>
      <c r="O40" s="2569"/>
      <c r="P40" s="2569"/>
      <c r="Q40" s="2569"/>
    </row>
    <row r="41" spans="2:17" s="2110" customFormat="1">
      <c r="B41" s="2569"/>
      <c r="C41" s="2569"/>
      <c r="D41" s="2569"/>
      <c r="E41" s="2569"/>
      <c r="F41" s="2569"/>
      <c r="G41" s="2569"/>
      <c r="H41" s="2569"/>
      <c r="I41" s="2569"/>
      <c r="J41" s="2569"/>
      <c r="K41" s="2569"/>
      <c r="L41" s="2569"/>
      <c r="M41" s="2569"/>
      <c r="N41" s="2569"/>
      <c r="O41" s="2569"/>
      <c r="P41" s="2569"/>
      <c r="Q41" s="2569"/>
    </row>
    <row r="42" spans="2:17" s="2110" customFormat="1">
      <c r="B42" s="2569"/>
      <c r="C42" s="2569"/>
      <c r="D42" s="2569"/>
      <c r="E42" s="2569"/>
      <c r="F42" s="2569"/>
      <c r="G42" s="2569"/>
      <c r="H42" s="2569"/>
      <c r="I42" s="2569"/>
      <c r="J42" s="2569"/>
      <c r="K42" s="2569"/>
      <c r="L42" s="2569"/>
      <c r="M42" s="2569"/>
      <c r="N42" s="2569"/>
      <c r="O42" s="2569"/>
      <c r="P42" s="2569"/>
      <c r="Q42" s="2569"/>
    </row>
    <row r="43" spans="2:17" s="2110" customFormat="1">
      <c r="B43" s="2569"/>
      <c r="C43" s="2569"/>
      <c r="D43" s="2569"/>
      <c r="E43" s="2569"/>
      <c r="F43" s="2569"/>
      <c r="G43" s="2569"/>
      <c r="H43" s="2569"/>
      <c r="I43" s="2569"/>
      <c r="J43" s="2569"/>
      <c r="K43" s="2569"/>
      <c r="L43" s="2569"/>
      <c r="M43" s="2569"/>
      <c r="N43" s="2569"/>
      <c r="O43" s="2569"/>
      <c r="P43" s="2569"/>
      <c r="Q43" s="2569"/>
    </row>
    <row r="44" spans="2:17" s="2110" customFormat="1">
      <c r="B44" s="2569"/>
      <c r="C44" s="2569"/>
      <c r="D44" s="2569"/>
      <c r="E44" s="2569"/>
      <c r="F44" s="2569"/>
      <c r="G44" s="2569"/>
      <c r="H44" s="2569"/>
      <c r="I44" s="2569"/>
      <c r="J44" s="2569"/>
      <c r="K44" s="2569"/>
      <c r="L44" s="2569"/>
      <c r="M44" s="2569"/>
      <c r="N44" s="2569"/>
      <c r="O44" s="2569"/>
      <c r="P44" s="2569"/>
      <c r="Q44" s="2569"/>
    </row>
    <row r="45" spans="2:17" s="2110" customFormat="1">
      <c r="B45" s="2569"/>
      <c r="C45" s="2569"/>
      <c r="D45" s="2569"/>
      <c r="E45" s="2569"/>
      <c r="F45" s="2569"/>
      <c r="G45" s="2569"/>
      <c r="H45" s="2569"/>
      <c r="I45" s="2569"/>
      <c r="J45" s="2569"/>
      <c r="K45" s="2569"/>
      <c r="L45" s="2569"/>
      <c r="M45" s="2569"/>
      <c r="N45" s="2569"/>
      <c r="O45" s="2569"/>
      <c r="P45" s="2569"/>
      <c r="Q45" s="2569"/>
    </row>
    <row r="46" spans="2:17" s="2110" customFormat="1">
      <c r="B46" s="2569"/>
      <c r="C46" s="2569"/>
      <c r="D46" s="2569"/>
      <c r="E46" s="2569"/>
      <c r="F46" s="2569"/>
      <c r="G46" s="2569"/>
      <c r="H46" s="2569"/>
      <c r="I46" s="2569"/>
      <c r="J46" s="2569"/>
      <c r="K46" s="2569"/>
      <c r="L46" s="2569"/>
      <c r="M46" s="2569"/>
      <c r="N46" s="2569"/>
      <c r="O46" s="2569"/>
      <c r="P46" s="2569"/>
      <c r="Q46" s="2569"/>
    </row>
    <row r="47" spans="2:17" s="2110" customFormat="1">
      <c r="B47" s="2569"/>
      <c r="C47" s="2569"/>
      <c r="D47" s="2569"/>
      <c r="E47" s="2569"/>
      <c r="F47" s="2569"/>
      <c r="G47" s="2569"/>
      <c r="H47" s="2569"/>
      <c r="I47" s="2569"/>
      <c r="J47" s="2569"/>
      <c r="K47" s="2569"/>
      <c r="L47" s="2569"/>
      <c r="M47" s="2569"/>
      <c r="N47" s="2569"/>
      <c r="O47" s="2569"/>
      <c r="P47" s="2569"/>
      <c r="Q47" s="2569"/>
    </row>
    <row r="48" spans="2:17" s="2110" customFormat="1">
      <c r="B48" s="2569"/>
      <c r="C48" s="2569"/>
      <c r="D48" s="2569"/>
      <c r="E48" s="2569"/>
      <c r="F48" s="2569"/>
      <c r="G48" s="2569"/>
      <c r="H48" s="2569"/>
      <c r="I48" s="2569"/>
      <c r="J48" s="2569"/>
      <c r="K48" s="2569"/>
      <c r="L48" s="2569"/>
      <c r="M48" s="2569"/>
      <c r="N48" s="2569"/>
      <c r="O48" s="2569"/>
      <c r="P48" s="2569"/>
      <c r="Q48" s="2569"/>
    </row>
    <row r="49" spans="2:17" s="2110" customFormat="1">
      <c r="B49" s="2569"/>
      <c r="C49" s="2569"/>
      <c r="D49" s="2569"/>
      <c r="E49" s="2569"/>
      <c r="F49" s="2569"/>
      <c r="G49" s="2569"/>
      <c r="H49" s="2569"/>
      <c r="I49" s="2569"/>
      <c r="J49" s="2569"/>
      <c r="K49" s="2569"/>
      <c r="L49" s="2569"/>
      <c r="M49" s="2569"/>
      <c r="N49" s="2569"/>
      <c r="O49" s="2569"/>
      <c r="P49" s="2569"/>
      <c r="Q49" s="2569"/>
    </row>
    <row r="50" spans="2:17" s="2110" customFormat="1">
      <c r="B50" s="2569"/>
      <c r="C50" s="2569"/>
      <c r="D50" s="2569"/>
      <c r="E50" s="2569"/>
      <c r="F50" s="2569"/>
      <c r="G50" s="2569"/>
      <c r="H50" s="2569"/>
      <c r="I50" s="2569"/>
      <c r="J50" s="2569"/>
      <c r="K50" s="2569"/>
      <c r="L50" s="2569"/>
      <c r="M50" s="2569"/>
      <c r="N50" s="2569"/>
      <c r="O50" s="2569"/>
      <c r="P50" s="2569"/>
      <c r="Q50" s="2569"/>
    </row>
    <row r="51" spans="2:17" s="2110" customFormat="1">
      <c r="B51" s="2569"/>
      <c r="C51" s="2569"/>
      <c r="D51" s="2569"/>
      <c r="E51" s="2569"/>
      <c r="F51" s="2569"/>
      <c r="G51" s="2569"/>
      <c r="H51" s="2569"/>
      <c r="I51" s="2569"/>
      <c r="J51" s="2569"/>
      <c r="K51" s="2569"/>
      <c r="L51" s="2569"/>
      <c r="M51" s="2569"/>
      <c r="N51" s="2569"/>
      <c r="O51" s="2569"/>
      <c r="P51" s="2569"/>
      <c r="Q51" s="2569"/>
    </row>
    <row r="52" spans="2:17" s="2110" customFormat="1">
      <c r="B52" s="2569"/>
      <c r="C52" s="2569"/>
      <c r="D52" s="2569"/>
      <c r="E52" s="2569"/>
      <c r="F52" s="2569"/>
      <c r="G52" s="2569"/>
      <c r="H52" s="2569"/>
      <c r="I52" s="2569"/>
      <c r="J52" s="2569"/>
      <c r="K52" s="2569"/>
      <c r="L52" s="2569"/>
      <c r="M52" s="2569"/>
      <c r="N52" s="2569"/>
      <c r="O52" s="2569"/>
      <c r="P52" s="2569"/>
      <c r="Q52" s="2569"/>
    </row>
    <row r="53" spans="2:17" s="2110" customFormat="1">
      <c r="B53" s="2569"/>
      <c r="C53" s="2569"/>
      <c r="D53" s="2569"/>
      <c r="E53" s="2569"/>
      <c r="F53" s="2569"/>
      <c r="G53" s="2569"/>
      <c r="H53" s="2569"/>
      <c r="I53" s="2569"/>
      <c r="J53" s="2569"/>
      <c r="K53" s="2569"/>
      <c r="L53" s="2569"/>
      <c r="M53" s="2569"/>
      <c r="N53" s="2569"/>
      <c r="O53" s="2569"/>
      <c r="P53" s="2569"/>
      <c r="Q53" s="2569"/>
    </row>
    <row r="54" spans="2:17" s="2110" customFormat="1">
      <c r="B54" s="2569"/>
      <c r="C54" s="2569"/>
      <c r="D54" s="2569"/>
      <c r="E54" s="2569"/>
      <c r="F54" s="2569"/>
      <c r="G54" s="2569"/>
      <c r="H54" s="2569"/>
      <c r="I54" s="2569"/>
      <c r="J54" s="2569"/>
      <c r="K54" s="2569"/>
      <c r="L54" s="2569"/>
      <c r="M54" s="2569"/>
      <c r="N54" s="2569"/>
      <c r="O54" s="2569"/>
      <c r="P54" s="2569"/>
      <c r="Q54" s="2569"/>
    </row>
    <row r="55" spans="2:17" s="2110" customFormat="1">
      <c r="B55" s="2569"/>
      <c r="C55" s="2569"/>
      <c r="D55" s="2569"/>
      <c r="E55" s="2569"/>
      <c r="F55" s="2569"/>
      <c r="G55" s="2569"/>
      <c r="H55" s="2569"/>
      <c r="I55" s="2569"/>
      <c r="J55" s="2569"/>
      <c r="K55" s="2569"/>
      <c r="L55" s="2569"/>
      <c r="M55" s="2569"/>
      <c r="N55" s="2569"/>
      <c r="O55" s="2569"/>
      <c r="P55" s="2569"/>
      <c r="Q55" s="2569"/>
    </row>
    <row r="56" spans="2:17" s="2110" customFormat="1">
      <c r="B56" s="2569"/>
      <c r="C56" s="2569"/>
      <c r="D56" s="2569"/>
      <c r="E56" s="2569"/>
      <c r="F56" s="2569"/>
      <c r="G56" s="2569"/>
      <c r="H56" s="2569"/>
      <c r="I56" s="2569"/>
      <c r="J56" s="2569"/>
      <c r="K56" s="2569"/>
      <c r="L56" s="2569"/>
      <c r="M56" s="2569"/>
      <c r="N56" s="2569"/>
      <c r="O56" s="2569"/>
      <c r="P56" s="2569"/>
      <c r="Q56" s="2569"/>
    </row>
    <row r="57" spans="2:17" s="2110" customFormat="1">
      <c r="B57" s="2569"/>
      <c r="C57" s="2569"/>
      <c r="D57" s="2569"/>
      <c r="E57" s="2569"/>
      <c r="F57" s="2569"/>
      <c r="G57" s="2569"/>
      <c r="H57" s="2569"/>
      <c r="I57" s="2569"/>
      <c r="J57" s="2569"/>
      <c r="K57" s="2569"/>
      <c r="L57" s="2569"/>
      <c r="M57" s="2569"/>
      <c r="N57" s="2569"/>
      <c r="O57" s="2569"/>
      <c r="P57" s="2569"/>
      <c r="Q57" s="2569"/>
    </row>
    <row r="58" spans="2:17" s="2110" customFormat="1">
      <c r="B58" s="2569"/>
      <c r="C58" s="2569"/>
      <c r="D58" s="2569"/>
      <c r="E58" s="2569"/>
      <c r="F58" s="2569"/>
      <c r="G58" s="2569"/>
      <c r="H58" s="2569"/>
      <c r="I58" s="2569"/>
      <c r="J58" s="2569"/>
      <c r="K58" s="2569"/>
      <c r="L58" s="2569"/>
      <c r="M58" s="2569"/>
      <c r="N58" s="2569"/>
      <c r="O58" s="2569"/>
      <c r="P58" s="2569"/>
      <c r="Q58" s="2569"/>
    </row>
    <row r="59" spans="2:17" s="2110" customFormat="1">
      <c r="B59" s="2569"/>
      <c r="C59" s="2569"/>
      <c r="D59" s="2569"/>
      <c r="E59" s="2569"/>
      <c r="F59" s="2569"/>
      <c r="G59" s="2569"/>
      <c r="H59" s="2569"/>
      <c r="I59" s="2569"/>
      <c r="J59" s="2569"/>
      <c r="K59" s="2569"/>
      <c r="L59" s="2569"/>
      <c r="M59" s="2569"/>
      <c r="N59" s="2569"/>
      <c r="O59" s="2569"/>
      <c r="P59" s="2569"/>
      <c r="Q59" s="2569"/>
    </row>
    <row r="60" spans="2:17" s="2110" customFormat="1">
      <c r="B60" s="2569"/>
      <c r="C60" s="2569"/>
      <c r="D60" s="2569"/>
      <c r="E60" s="2569"/>
      <c r="F60" s="2569"/>
      <c r="G60" s="2569"/>
      <c r="H60" s="2569"/>
      <c r="I60" s="2569"/>
      <c r="J60" s="2569"/>
      <c r="K60" s="2569"/>
      <c r="L60" s="2569"/>
      <c r="M60" s="2569"/>
      <c r="N60" s="2569"/>
      <c r="O60" s="2569"/>
      <c r="P60" s="2569"/>
      <c r="Q60" s="2569"/>
    </row>
    <row r="61" spans="2:17" s="2110" customFormat="1">
      <c r="B61" s="2569"/>
      <c r="C61" s="2569"/>
      <c r="D61" s="2569"/>
      <c r="E61" s="2569"/>
      <c r="F61" s="2569"/>
      <c r="G61" s="2569"/>
      <c r="H61" s="2569"/>
      <c r="I61" s="2569"/>
      <c r="J61" s="2569"/>
      <c r="K61" s="2569"/>
      <c r="L61" s="2569"/>
      <c r="M61" s="2569"/>
      <c r="N61" s="2569"/>
      <c r="O61" s="2569"/>
      <c r="P61" s="2569"/>
      <c r="Q61" s="2569"/>
    </row>
    <row r="62" spans="2:17" s="2110" customFormat="1">
      <c r="B62" s="2569"/>
      <c r="C62" s="2569"/>
      <c r="D62" s="2569"/>
      <c r="E62" s="2569"/>
      <c r="F62" s="2569"/>
      <c r="G62" s="2569"/>
      <c r="H62" s="2569"/>
      <c r="I62" s="2569"/>
      <c r="J62" s="2569"/>
      <c r="K62" s="2569"/>
      <c r="L62" s="2569"/>
      <c r="M62" s="2569"/>
      <c r="N62" s="2569"/>
      <c r="O62" s="2569"/>
      <c r="P62" s="2569"/>
      <c r="Q62" s="2569"/>
    </row>
    <row r="63" spans="2:17" s="2110" customFormat="1">
      <c r="B63" s="2569"/>
      <c r="C63" s="2569"/>
      <c r="D63" s="2569"/>
      <c r="E63" s="2569"/>
      <c r="F63" s="2569"/>
      <c r="G63" s="2569"/>
      <c r="H63" s="2569"/>
      <c r="I63" s="2569"/>
      <c r="J63" s="2569"/>
      <c r="K63" s="2569"/>
      <c r="L63" s="2569"/>
      <c r="M63" s="2569"/>
      <c r="N63" s="2569"/>
      <c r="O63" s="2569"/>
      <c r="P63" s="2569"/>
      <c r="Q63" s="2569"/>
    </row>
    <row r="64" spans="2:17" s="2110" customFormat="1">
      <c r="B64" s="2569"/>
      <c r="C64" s="2569"/>
      <c r="D64" s="2569"/>
      <c r="E64" s="2569"/>
      <c r="F64" s="2569"/>
      <c r="G64" s="2569"/>
      <c r="H64" s="2569"/>
      <c r="I64" s="2569"/>
      <c r="J64" s="2569"/>
      <c r="K64" s="2569"/>
      <c r="L64" s="2569"/>
      <c r="M64" s="2569"/>
      <c r="N64" s="2569"/>
      <c r="O64" s="2569"/>
      <c r="P64" s="2569"/>
      <c r="Q64" s="2569"/>
    </row>
    <row r="65" spans="2:17" s="2110" customFormat="1">
      <c r="B65" s="2569"/>
      <c r="C65" s="2569"/>
      <c r="D65" s="2569"/>
      <c r="E65" s="2569"/>
      <c r="F65" s="2569"/>
      <c r="G65" s="2569"/>
      <c r="H65" s="2569"/>
      <c r="I65" s="2569"/>
      <c r="J65" s="2569"/>
      <c r="K65" s="2569"/>
      <c r="L65" s="2569"/>
      <c r="M65" s="2569"/>
      <c r="N65" s="2569"/>
      <c r="O65" s="2569"/>
      <c r="P65" s="2569"/>
      <c r="Q65" s="2569"/>
    </row>
    <row r="66" spans="2:17" s="2110" customFormat="1">
      <c r="B66" s="2569"/>
      <c r="C66" s="2569"/>
      <c r="D66" s="2569"/>
      <c r="E66" s="2569"/>
      <c r="F66" s="2569"/>
      <c r="G66" s="2569"/>
      <c r="H66" s="2569"/>
      <c r="I66" s="2569"/>
      <c r="J66" s="2569"/>
      <c r="K66" s="2569"/>
      <c r="L66" s="2569"/>
      <c r="M66" s="2569"/>
      <c r="N66" s="2569"/>
      <c r="O66" s="2569"/>
      <c r="P66" s="2569"/>
      <c r="Q66" s="2569"/>
    </row>
    <row r="67" spans="2:17" s="2110" customFormat="1">
      <c r="B67" s="2569"/>
      <c r="C67" s="2569"/>
      <c r="D67" s="2569"/>
      <c r="E67" s="2569"/>
      <c r="F67" s="2569"/>
      <c r="G67" s="2569"/>
      <c r="H67" s="2569"/>
      <c r="I67" s="2569"/>
      <c r="J67" s="2569"/>
      <c r="K67" s="2569"/>
      <c r="L67" s="2569"/>
      <c r="M67" s="2569"/>
      <c r="N67" s="2569"/>
      <c r="O67" s="2569"/>
      <c r="P67" s="2569"/>
      <c r="Q67" s="2569"/>
    </row>
    <row r="68" spans="2:17" s="2110" customFormat="1">
      <c r="B68" s="2569"/>
      <c r="C68" s="2569"/>
      <c r="D68" s="2569"/>
      <c r="E68" s="2569"/>
      <c r="F68" s="2569"/>
      <c r="G68" s="2569"/>
      <c r="H68" s="2569"/>
      <c r="I68" s="2569"/>
      <c r="J68" s="2569"/>
      <c r="K68" s="2569"/>
      <c r="L68" s="2569"/>
      <c r="M68" s="2569"/>
      <c r="N68" s="2569"/>
      <c r="O68" s="2569"/>
      <c r="P68" s="2569"/>
      <c r="Q68" s="2569"/>
    </row>
    <row r="69" spans="2:17" s="2110" customFormat="1">
      <c r="B69" s="2569"/>
      <c r="C69" s="2569"/>
      <c r="D69" s="2569"/>
      <c r="E69" s="2569"/>
      <c r="F69" s="2569"/>
      <c r="G69" s="2569"/>
      <c r="H69" s="2569"/>
      <c r="I69" s="2569"/>
      <c r="J69" s="2569"/>
      <c r="K69" s="2569"/>
      <c r="L69" s="2569"/>
      <c r="M69" s="2569"/>
      <c r="N69" s="2569"/>
      <c r="O69" s="2569"/>
      <c r="P69" s="2569"/>
      <c r="Q69" s="2569"/>
    </row>
    <row r="70" spans="2:17" s="2110" customFormat="1">
      <c r="B70" s="2569"/>
      <c r="C70" s="2569"/>
      <c r="D70" s="2569"/>
      <c r="E70" s="2569"/>
      <c r="F70" s="2569"/>
      <c r="G70" s="2569"/>
      <c r="H70" s="2569"/>
      <c r="I70" s="2569"/>
      <c r="J70" s="2569"/>
      <c r="K70" s="2569"/>
      <c r="L70" s="2569"/>
      <c r="M70" s="2569"/>
      <c r="N70" s="2569"/>
      <c r="O70" s="2569"/>
      <c r="P70" s="2569"/>
      <c r="Q70" s="2569"/>
    </row>
    <row r="71" spans="2:17" s="2110" customFormat="1">
      <c r="B71" s="2569"/>
      <c r="C71" s="2569"/>
      <c r="D71" s="2569"/>
      <c r="E71" s="2569"/>
      <c r="F71" s="2569"/>
      <c r="G71" s="2569"/>
      <c r="H71" s="2569"/>
      <c r="I71" s="2569"/>
      <c r="J71" s="2569"/>
      <c r="K71" s="2569"/>
      <c r="L71" s="2569"/>
      <c r="M71" s="2569"/>
      <c r="N71" s="2569"/>
      <c r="O71" s="2569"/>
      <c r="P71" s="2569"/>
      <c r="Q71" s="2569"/>
    </row>
    <row r="72" spans="2:17" s="2110" customFormat="1">
      <c r="B72" s="2569"/>
      <c r="C72" s="2569"/>
      <c r="D72" s="2569"/>
      <c r="E72" s="2569"/>
      <c r="F72" s="2569"/>
      <c r="G72" s="2569"/>
      <c r="H72" s="2569"/>
      <c r="I72" s="2569"/>
      <c r="J72" s="2569"/>
      <c r="K72" s="2569"/>
      <c r="L72" s="2569"/>
      <c r="M72" s="2569"/>
      <c r="N72" s="2569"/>
      <c r="O72" s="2569"/>
      <c r="P72" s="2569"/>
      <c r="Q72" s="2569"/>
    </row>
    <row r="73" spans="2:17" s="2110" customFormat="1">
      <c r="B73" s="2569"/>
      <c r="C73" s="2569"/>
      <c r="D73" s="2569"/>
      <c r="E73" s="2569"/>
      <c r="F73" s="2569"/>
      <c r="G73" s="2569"/>
      <c r="H73" s="2569"/>
      <c r="I73" s="2569"/>
      <c r="J73" s="2569"/>
      <c r="K73" s="2569"/>
      <c r="L73" s="2569"/>
      <c r="M73" s="2569"/>
      <c r="N73" s="2569"/>
      <c r="O73" s="2569"/>
      <c r="P73" s="2569"/>
      <c r="Q73" s="2569"/>
    </row>
    <row r="74" spans="2:17" s="2110" customFormat="1">
      <c r="B74" s="2569"/>
      <c r="C74" s="2569"/>
      <c r="D74" s="2569"/>
      <c r="E74" s="2569"/>
      <c r="F74" s="2569"/>
      <c r="G74" s="2569"/>
      <c r="H74" s="2569"/>
      <c r="I74" s="2569"/>
      <c r="J74" s="2569"/>
      <c r="K74" s="2569"/>
      <c r="L74" s="2569"/>
      <c r="M74" s="2569"/>
      <c r="N74" s="2569"/>
      <c r="O74" s="2569"/>
      <c r="P74" s="2569"/>
      <c r="Q74" s="2569"/>
    </row>
    <row r="75" spans="2:17" s="2110" customFormat="1">
      <c r="B75" s="2569"/>
      <c r="C75" s="2569"/>
      <c r="D75" s="2569"/>
      <c r="E75" s="2569"/>
      <c r="F75" s="2569"/>
      <c r="G75" s="2569"/>
      <c r="H75" s="2569"/>
      <c r="I75" s="2569"/>
      <c r="J75" s="2569"/>
      <c r="K75" s="2569"/>
      <c r="L75" s="2569"/>
      <c r="M75" s="2569"/>
      <c r="N75" s="2569"/>
      <c r="O75" s="2569"/>
      <c r="P75" s="2569"/>
      <c r="Q75" s="2569"/>
    </row>
    <row r="76" spans="2:17" s="2110" customFormat="1">
      <c r="B76" s="2569"/>
      <c r="C76" s="2569"/>
      <c r="D76" s="2569"/>
      <c r="E76" s="2569"/>
      <c r="F76" s="2569"/>
      <c r="G76" s="2569"/>
      <c r="H76" s="2569"/>
      <c r="I76" s="2569"/>
      <c r="J76" s="2569"/>
      <c r="K76" s="2569"/>
      <c r="L76" s="2569"/>
      <c r="M76" s="2569"/>
      <c r="N76" s="2569"/>
      <c r="O76" s="2569"/>
      <c r="P76" s="2569"/>
      <c r="Q76" s="2569"/>
    </row>
    <row r="77" spans="2:17" s="2110" customFormat="1">
      <c r="B77" s="2569"/>
      <c r="C77" s="2569"/>
      <c r="D77" s="2569"/>
      <c r="E77" s="2569"/>
      <c r="F77" s="2569"/>
      <c r="G77" s="2569"/>
      <c r="H77" s="2569"/>
      <c r="I77" s="2569"/>
      <c r="J77" s="2569"/>
      <c r="K77" s="2569"/>
      <c r="L77" s="2569"/>
      <c r="M77" s="2569"/>
      <c r="N77" s="2569"/>
      <c r="O77" s="2569"/>
      <c r="P77" s="2569"/>
      <c r="Q77" s="2569"/>
    </row>
    <row r="78" spans="2:17" s="2110" customFormat="1">
      <c r="B78" s="2569"/>
      <c r="C78" s="2569"/>
      <c r="D78" s="2569"/>
      <c r="E78" s="2569"/>
      <c r="F78" s="2569"/>
      <c r="G78" s="2569"/>
      <c r="H78" s="2569"/>
      <c r="I78" s="2569"/>
      <c r="J78" s="2569"/>
      <c r="K78" s="2569"/>
      <c r="L78" s="2569"/>
      <c r="M78" s="2569"/>
      <c r="N78" s="2569"/>
      <c r="O78" s="2569"/>
      <c r="P78" s="2569"/>
      <c r="Q78" s="2569"/>
    </row>
    <row r="79" spans="2:17" s="2110" customFormat="1">
      <c r="B79" s="2569"/>
      <c r="C79" s="2569"/>
      <c r="D79" s="2569"/>
      <c r="E79" s="2569"/>
      <c r="F79" s="2569"/>
      <c r="G79" s="2569"/>
      <c r="H79" s="2569"/>
      <c r="I79" s="2569"/>
      <c r="J79" s="2569"/>
      <c r="K79" s="2569"/>
      <c r="L79" s="2569"/>
      <c r="M79" s="2569"/>
      <c r="N79" s="2569"/>
      <c r="O79" s="2569"/>
      <c r="P79" s="2569"/>
      <c r="Q79" s="2569"/>
    </row>
    <row r="80" spans="2:17" s="2110" customFormat="1">
      <c r="B80" s="2569"/>
      <c r="C80" s="2569"/>
      <c r="D80" s="2569"/>
      <c r="E80" s="2569"/>
      <c r="F80" s="2569"/>
      <c r="G80" s="2569"/>
      <c r="H80" s="2569"/>
      <c r="I80" s="2569"/>
      <c r="J80" s="2569"/>
      <c r="K80" s="2569"/>
      <c r="L80" s="2569"/>
      <c r="M80" s="2569"/>
      <c r="N80" s="2569"/>
      <c r="O80" s="2569"/>
      <c r="P80" s="2569"/>
      <c r="Q80" s="2569"/>
    </row>
    <row r="81" spans="2:17" s="2110" customFormat="1">
      <c r="B81" s="2569"/>
      <c r="C81" s="2569"/>
      <c r="D81" s="2569"/>
      <c r="E81" s="2569"/>
      <c r="F81" s="2569"/>
      <c r="G81" s="2569"/>
      <c r="H81" s="2569"/>
      <c r="I81" s="2569"/>
      <c r="J81" s="2569"/>
      <c r="K81" s="2569"/>
      <c r="L81" s="2569"/>
      <c r="M81" s="2569"/>
      <c r="N81" s="2569"/>
      <c r="O81" s="2569"/>
      <c r="P81" s="2569"/>
      <c r="Q81" s="2569"/>
    </row>
    <row r="82" spans="2:17" s="2110" customFormat="1">
      <c r="B82" s="2569"/>
      <c r="C82" s="2569"/>
      <c r="D82" s="2569"/>
      <c r="E82" s="2569"/>
      <c r="F82" s="2569"/>
      <c r="G82" s="2569"/>
      <c r="H82" s="2569"/>
      <c r="I82" s="2569"/>
      <c r="J82" s="2569"/>
      <c r="K82" s="2569"/>
      <c r="L82" s="2569"/>
      <c r="M82" s="2569"/>
      <c r="N82" s="2569"/>
      <c r="O82" s="2569"/>
      <c r="P82" s="2569"/>
      <c r="Q82" s="2569"/>
    </row>
    <row r="83" spans="2:17" s="2110" customFormat="1">
      <c r="B83" s="2569"/>
      <c r="C83" s="2569"/>
      <c r="D83" s="2569"/>
      <c r="E83" s="2569"/>
      <c r="F83" s="2569"/>
      <c r="G83" s="2569"/>
      <c r="H83" s="2569"/>
      <c r="I83" s="2569"/>
      <c r="J83" s="2569"/>
      <c r="K83" s="2569"/>
      <c r="L83" s="2569"/>
      <c r="M83" s="2569"/>
      <c r="N83" s="2569"/>
      <c r="O83" s="2569"/>
      <c r="P83" s="2569"/>
      <c r="Q83" s="2569"/>
    </row>
    <row r="84" spans="2:17" s="2110" customFormat="1">
      <c r="B84" s="2569"/>
      <c r="C84" s="2569"/>
      <c r="D84" s="2569"/>
      <c r="E84" s="2569"/>
      <c r="F84" s="2569"/>
      <c r="G84" s="2569"/>
      <c r="H84" s="2569"/>
      <c r="I84" s="2569"/>
      <c r="J84" s="2569"/>
      <c r="K84" s="2569"/>
      <c r="L84" s="2569"/>
      <c r="M84" s="2569"/>
      <c r="N84" s="2569"/>
      <c r="O84" s="2569"/>
      <c r="P84" s="2569"/>
      <c r="Q84" s="2569"/>
    </row>
    <row r="85" spans="2:17" s="2110" customFormat="1">
      <c r="B85" s="2569"/>
      <c r="C85" s="2569"/>
      <c r="D85" s="2569"/>
      <c r="E85" s="2569"/>
      <c r="F85" s="2569"/>
      <c r="G85" s="2569"/>
      <c r="H85" s="2569"/>
      <c r="I85" s="2569"/>
      <c r="J85" s="2569"/>
      <c r="K85" s="2569"/>
      <c r="L85" s="2569"/>
      <c r="M85" s="2569"/>
      <c r="N85" s="2569"/>
      <c r="O85" s="2569"/>
      <c r="P85" s="2569"/>
      <c r="Q85" s="2569"/>
    </row>
    <row r="86" spans="2:17" s="2110" customFormat="1">
      <c r="B86" s="2569"/>
      <c r="C86" s="2569"/>
      <c r="D86" s="2569"/>
      <c r="E86" s="2569"/>
      <c r="F86" s="2569"/>
      <c r="G86" s="2569"/>
      <c r="H86" s="2569"/>
      <c r="I86" s="2569"/>
      <c r="J86" s="2569"/>
      <c r="K86" s="2569"/>
      <c r="L86" s="2569"/>
      <c r="M86" s="2569"/>
      <c r="N86" s="2569"/>
      <c r="O86" s="2569"/>
      <c r="P86" s="2569"/>
      <c r="Q86" s="2569"/>
    </row>
    <row r="87" spans="2:17" s="2110" customFormat="1">
      <c r="B87" s="2569"/>
      <c r="C87" s="2569"/>
      <c r="D87" s="2569"/>
      <c r="E87" s="2569"/>
      <c r="F87" s="2569"/>
      <c r="G87" s="2569"/>
      <c r="H87" s="2569"/>
      <c r="I87" s="2569"/>
      <c r="J87" s="2569"/>
      <c r="K87" s="2569"/>
      <c r="L87" s="2569"/>
      <c r="M87" s="2569"/>
      <c r="N87" s="2569"/>
      <c r="O87" s="2569"/>
      <c r="P87" s="2569"/>
      <c r="Q87" s="2569"/>
    </row>
    <row r="88" spans="2:17" s="2110" customFormat="1">
      <c r="B88" s="2569"/>
      <c r="C88" s="2569"/>
      <c r="D88" s="2569"/>
      <c r="E88" s="2569"/>
      <c r="F88" s="2569"/>
      <c r="G88" s="2569"/>
      <c r="H88" s="2569"/>
      <c r="I88" s="2569"/>
      <c r="J88" s="2569"/>
      <c r="K88" s="2569"/>
      <c r="L88" s="2569"/>
      <c r="M88" s="2569"/>
      <c r="N88" s="2569"/>
      <c r="O88" s="2569"/>
      <c r="P88" s="2569"/>
      <c r="Q88" s="2569"/>
    </row>
    <row r="89" spans="2:17" s="2110" customFormat="1">
      <c r="B89" s="2569"/>
      <c r="C89" s="2569"/>
      <c r="D89" s="2569"/>
      <c r="E89" s="2569"/>
      <c r="F89" s="2569"/>
      <c r="G89" s="2569"/>
      <c r="H89" s="2569"/>
      <c r="I89" s="2569"/>
      <c r="J89" s="2569"/>
      <c r="K89" s="2569"/>
      <c r="L89" s="2569"/>
      <c r="M89" s="2569"/>
      <c r="N89" s="2569"/>
      <c r="O89" s="2569"/>
      <c r="P89" s="2569"/>
      <c r="Q89" s="2569"/>
    </row>
    <row r="90" spans="2:17" s="2110" customFormat="1">
      <c r="B90" s="2569"/>
      <c r="C90" s="2569"/>
      <c r="D90" s="2569"/>
      <c r="E90" s="2569"/>
      <c r="F90" s="2569"/>
      <c r="G90" s="2569"/>
      <c r="H90" s="2569"/>
      <c r="I90" s="2569"/>
      <c r="J90" s="2569"/>
      <c r="K90" s="2569"/>
      <c r="L90" s="2569"/>
      <c r="M90" s="2569"/>
      <c r="N90" s="2569"/>
      <c r="O90" s="2569"/>
      <c r="P90" s="2569"/>
      <c r="Q90" s="2569"/>
    </row>
    <row r="91" spans="2:17" s="2110" customFormat="1">
      <c r="B91" s="2569"/>
      <c r="C91" s="2569"/>
      <c r="D91" s="2569"/>
      <c r="E91" s="2569"/>
      <c r="F91" s="2569"/>
      <c r="G91" s="2569"/>
      <c r="H91" s="2569"/>
      <c r="I91" s="2569"/>
      <c r="J91" s="2569"/>
      <c r="K91" s="2569"/>
      <c r="L91" s="2569"/>
      <c r="M91" s="2569"/>
      <c r="N91" s="2569"/>
      <c r="O91" s="2569"/>
      <c r="P91" s="2569"/>
      <c r="Q91" s="2569"/>
    </row>
    <row r="92" spans="2:17" s="2110" customFormat="1">
      <c r="B92" s="2569"/>
      <c r="C92" s="2569"/>
      <c r="D92" s="2569"/>
      <c r="E92" s="2569"/>
      <c r="F92" s="2569"/>
      <c r="G92" s="2569"/>
      <c r="H92" s="2569"/>
      <c r="I92" s="2569"/>
      <c r="J92" s="2569"/>
      <c r="K92" s="2569"/>
      <c r="L92" s="2569"/>
      <c r="M92" s="2569"/>
      <c r="N92" s="2569"/>
      <c r="O92" s="2569"/>
      <c r="P92" s="2569"/>
      <c r="Q92" s="2569"/>
    </row>
    <row r="93" spans="2:17" s="2110" customFormat="1">
      <c r="B93" s="2569"/>
      <c r="C93" s="2569"/>
      <c r="D93" s="2569"/>
      <c r="E93" s="2569"/>
      <c r="F93" s="2569"/>
      <c r="G93" s="2569"/>
      <c r="H93" s="2569"/>
      <c r="I93" s="2569"/>
      <c r="J93" s="2569"/>
      <c r="K93" s="2569"/>
      <c r="L93" s="2569"/>
      <c r="M93" s="2569"/>
      <c r="N93" s="2569"/>
      <c r="O93" s="2569"/>
      <c r="P93" s="2569"/>
      <c r="Q93" s="2569"/>
    </row>
    <row r="94" spans="2:17" s="2110" customFormat="1">
      <c r="B94" s="2569"/>
      <c r="C94" s="2569"/>
      <c r="D94" s="2569"/>
      <c r="E94" s="2569"/>
      <c r="F94" s="2569"/>
      <c r="G94" s="2569"/>
      <c r="H94" s="2569"/>
      <c r="I94" s="2569"/>
      <c r="J94" s="2569"/>
      <c r="K94" s="2569"/>
      <c r="L94" s="2569"/>
      <c r="M94" s="2569"/>
      <c r="N94" s="2569"/>
      <c r="O94" s="2569"/>
      <c r="P94" s="2569"/>
      <c r="Q94" s="2569"/>
    </row>
    <row r="95" spans="2:17" s="2110" customFormat="1">
      <c r="B95" s="2569"/>
      <c r="C95" s="2569"/>
      <c r="D95" s="2569"/>
      <c r="E95" s="2569"/>
      <c r="F95" s="2569"/>
      <c r="G95" s="2569"/>
      <c r="H95" s="2569"/>
      <c r="I95" s="2569"/>
      <c r="J95" s="2569"/>
      <c r="K95" s="2569"/>
      <c r="L95" s="2569"/>
      <c r="M95" s="2569"/>
      <c r="N95" s="2569"/>
      <c r="O95" s="2569"/>
      <c r="P95" s="2569"/>
      <c r="Q95" s="2569"/>
    </row>
    <row r="96" spans="2:17" s="2110" customFormat="1">
      <c r="B96" s="2569"/>
      <c r="C96" s="2569"/>
      <c r="D96" s="2569"/>
      <c r="E96" s="2569"/>
      <c r="F96" s="2569"/>
      <c r="G96" s="2569"/>
      <c r="H96" s="2569"/>
      <c r="I96" s="2569"/>
      <c r="J96" s="2569"/>
      <c r="K96" s="2569"/>
      <c r="L96" s="2569"/>
      <c r="M96" s="2569"/>
      <c r="N96" s="2569"/>
      <c r="O96" s="2569"/>
      <c r="P96" s="2569"/>
      <c r="Q96" s="2569"/>
    </row>
    <row r="97" spans="2:17" s="2110" customFormat="1">
      <c r="B97" s="2569"/>
      <c r="C97" s="2569"/>
      <c r="D97" s="2569"/>
      <c r="E97" s="2569"/>
      <c r="F97" s="2569"/>
      <c r="G97" s="2569"/>
      <c r="H97" s="2569"/>
      <c r="I97" s="2569"/>
      <c r="J97" s="2569"/>
      <c r="K97" s="2569"/>
      <c r="L97" s="2569"/>
      <c r="M97" s="2569"/>
      <c r="N97" s="2569"/>
      <c r="O97" s="2569"/>
      <c r="P97" s="2569"/>
      <c r="Q97" s="2569"/>
    </row>
    <row r="98" spans="2:17" s="2110" customFormat="1">
      <c r="B98" s="2569"/>
      <c r="C98" s="2569"/>
      <c r="D98" s="2569"/>
      <c r="E98" s="2569"/>
      <c r="F98" s="2569"/>
      <c r="G98" s="2569"/>
      <c r="H98" s="2569"/>
      <c r="I98" s="2569"/>
      <c r="J98" s="2569"/>
      <c r="K98" s="2569"/>
      <c r="L98" s="2569"/>
      <c r="M98" s="2569"/>
      <c r="N98" s="2569"/>
      <c r="O98" s="2569"/>
      <c r="P98" s="2569"/>
      <c r="Q98" s="2569"/>
    </row>
    <row r="99" spans="2:17" s="2110" customFormat="1">
      <c r="B99" s="2569"/>
      <c r="C99" s="2569"/>
      <c r="D99" s="2569"/>
      <c r="E99" s="2569"/>
      <c r="F99" s="2569"/>
      <c r="G99" s="2569"/>
      <c r="H99" s="2569"/>
      <c r="I99" s="2569"/>
      <c r="J99" s="2569"/>
      <c r="K99" s="2569"/>
      <c r="L99" s="2569"/>
      <c r="M99" s="2569"/>
      <c r="N99" s="2569"/>
      <c r="O99" s="2569"/>
      <c r="P99" s="2569"/>
      <c r="Q99" s="2569"/>
    </row>
    <row r="100" spans="2:17" s="2110" customFormat="1">
      <c r="B100" s="2569"/>
      <c r="C100" s="2569"/>
      <c r="D100" s="2569"/>
      <c r="E100" s="2569"/>
      <c r="F100" s="2569"/>
      <c r="G100" s="2569"/>
      <c r="H100" s="2569"/>
      <c r="I100" s="2569"/>
      <c r="J100" s="2569"/>
      <c r="K100" s="2569"/>
      <c r="L100" s="2569"/>
      <c r="M100" s="2569"/>
      <c r="N100" s="2569"/>
      <c r="O100" s="2569"/>
      <c r="P100" s="2569"/>
      <c r="Q100" s="2569"/>
    </row>
    <row r="101" spans="2:17" s="2110" customFormat="1">
      <c r="B101" s="2569"/>
      <c r="C101" s="2569"/>
      <c r="D101" s="2569"/>
      <c r="E101" s="2569"/>
      <c r="F101" s="2569"/>
      <c r="G101" s="2569"/>
      <c r="H101" s="2569"/>
      <c r="I101" s="2569"/>
      <c r="J101" s="2569"/>
      <c r="K101" s="2569"/>
      <c r="L101" s="2569"/>
      <c r="M101" s="2569"/>
      <c r="N101" s="2569"/>
      <c r="O101" s="2569"/>
      <c r="P101" s="2569"/>
      <c r="Q101" s="2569"/>
    </row>
    <row r="102" spans="2:17" s="2110" customFormat="1">
      <c r="B102" s="2569"/>
      <c r="C102" s="2569"/>
      <c r="D102" s="2569"/>
      <c r="E102" s="2569"/>
      <c r="F102" s="2569"/>
      <c r="G102" s="2569"/>
      <c r="H102" s="2569"/>
      <c r="I102" s="2569"/>
      <c r="J102" s="2569"/>
      <c r="K102" s="2569"/>
      <c r="L102" s="2569"/>
      <c r="M102" s="2569"/>
      <c r="N102" s="2569"/>
      <c r="O102" s="2569"/>
      <c r="P102" s="2569"/>
      <c r="Q102" s="2569"/>
    </row>
    <row r="103" spans="2:17" s="2110" customFormat="1">
      <c r="B103" s="2569"/>
      <c r="C103" s="2569"/>
      <c r="D103" s="2569"/>
      <c r="E103" s="2569"/>
      <c r="F103" s="2569"/>
      <c r="G103" s="2569"/>
      <c r="H103" s="2569"/>
      <c r="I103" s="2569"/>
      <c r="J103" s="2569"/>
      <c r="K103" s="2569"/>
      <c r="L103" s="2569"/>
      <c r="M103" s="2569"/>
      <c r="N103" s="2569"/>
      <c r="O103" s="2569"/>
      <c r="P103" s="2569"/>
      <c r="Q103" s="2569"/>
    </row>
    <row r="104" spans="2:17" s="2110" customFormat="1">
      <c r="B104" s="2569"/>
      <c r="C104" s="2569"/>
      <c r="D104" s="2569"/>
      <c r="E104" s="2569"/>
      <c r="F104" s="2569"/>
      <c r="G104" s="2569"/>
      <c r="H104" s="2569"/>
      <c r="I104" s="2569"/>
      <c r="J104" s="2569"/>
      <c r="K104" s="2569"/>
      <c r="L104" s="2569"/>
      <c r="M104" s="2569"/>
      <c r="N104" s="2569"/>
      <c r="O104" s="2569"/>
      <c r="P104" s="2569"/>
      <c r="Q104" s="2569"/>
    </row>
    <row r="105" spans="2:17" s="2110" customFormat="1">
      <c r="B105" s="2569"/>
      <c r="C105" s="2569"/>
      <c r="D105" s="2569"/>
      <c r="E105" s="2569"/>
      <c r="F105" s="2569"/>
      <c r="G105" s="2569"/>
      <c r="H105" s="2569"/>
      <c r="I105" s="2569"/>
      <c r="J105" s="2569"/>
      <c r="K105" s="2569"/>
      <c r="L105" s="2569"/>
      <c r="M105" s="2569"/>
      <c r="N105" s="2569"/>
      <c r="O105" s="2569"/>
      <c r="P105" s="2569"/>
      <c r="Q105" s="2569"/>
    </row>
    <row r="106" spans="2:17" s="2110" customFormat="1">
      <c r="B106" s="2569"/>
      <c r="C106" s="2569"/>
      <c r="D106" s="2569"/>
      <c r="E106" s="2569"/>
      <c r="F106" s="2569"/>
      <c r="G106" s="2569"/>
      <c r="H106" s="2569"/>
      <c r="I106" s="2569"/>
      <c r="J106" s="2569"/>
      <c r="K106" s="2569"/>
      <c r="L106" s="2569"/>
      <c r="M106" s="2569"/>
      <c r="N106" s="2569"/>
      <c r="O106" s="2569"/>
      <c r="P106" s="2569"/>
      <c r="Q106" s="2569"/>
    </row>
    <row r="107" spans="2:17" s="2110" customFormat="1">
      <c r="B107" s="2569"/>
      <c r="C107" s="2569"/>
      <c r="D107" s="2569"/>
      <c r="E107" s="2569"/>
      <c r="F107" s="2569"/>
      <c r="G107" s="2569"/>
      <c r="H107" s="2569"/>
      <c r="I107" s="2569"/>
      <c r="J107" s="2569"/>
      <c r="K107" s="2569"/>
      <c r="L107" s="2569"/>
      <c r="M107" s="2569"/>
      <c r="N107" s="2569"/>
      <c r="O107" s="2569"/>
      <c r="P107" s="2569"/>
      <c r="Q107" s="2569"/>
    </row>
    <row r="108" spans="2:17" s="2110" customFormat="1">
      <c r="B108" s="2569"/>
      <c r="C108" s="2569"/>
      <c r="D108" s="2569"/>
      <c r="E108" s="2569"/>
      <c r="F108" s="2569"/>
      <c r="G108" s="2569"/>
      <c r="H108" s="2569"/>
      <c r="I108" s="2569"/>
      <c r="J108" s="2569"/>
      <c r="K108" s="2569"/>
      <c r="L108" s="2569"/>
      <c r="M108" s="2569"/>
      <c r="N108" s="2569"/>
      <c r="O108" s="2569"/>
      <c r="P108" s="2569"/>
      <c r="Q108" s="2569"/>
    </row>
    <row r="109" spans="2:17" s="2110" customFormat="1">
      <c r="B109" s="2569"/>
      <c r="C109" s="2569"/>
      <c r="D109" s="2569"/>
      <c r="E109" s="2569"/>
      <c r="F109" s="2569"/>
      <c r="G109" s="2569"/>
      <c r="H109" s="2569"/>
      <c r="I109" s="2569"/>
      <c r="J109" s="2569"/>
      <c r="K109" s="2569"/>
      <c r="L109" s="2569"/>
      <c r="M109" s="2569"/>
      <c r="N109" s="2569"/>
      <c r="O109" s="2569"/>
      <c r="P109" s="2569"/>
      <c r="Q109" s="2569"/>
    </row>
    <row r="110" spans="2:17" s="2110" customFormat="1">
      <c r="B110" s="2569"/>
      <c r="C110" s="2569"/>
      <c r="D110" s="2569"/>
      <c r="E110" s="2569"/>
      <c r="F110" s="2569"/>
      <c r="G110" s="2569"/>
      <c r="H110" s="2569"/>
      <c r="I110" s="2569"/>
      <c r="J110" s="2569"/>
      <c r="K110" s="2569"/>
      <c r="L110" s="2569"/>
      <c r="M110" s="2569"/>
      <c r="N110" s="2569"/>
      <c r="O110" s="2569"/>
      <c r="P110" s="2569"/>
      <c r="Q110" s="2569"/>
    </row>
    <row r="111" spans="2:17" s="2110" customFormat="1">
      <c r="B111" s="2569"/>
      <c r="C111" s="2569"/>
      <c r="D111" s="2569"/>
      <c r="E111" s="2569"/>
      <c r="F111" s="2569"/>
      <c r="G111" s="2569"/>
      <c r="H111" s="2569"/>
      <c r="I111" s="2569"/>
      <c r="J111" s="2569"/>
      <c r="K111" s="2569"/>
      <c r="L111" s="2569"/>
      <c r="M111" s="2569"/>
      <c r="N111" s="2569"/>
      <c r="O111" s="2569"/>
      <c r="P111" s="2569"/>
      <c r="Q111" s="2569"/>
    </row>
    <row r="112" spans="2:17" s="2110" customFormat="1">
      <c r="B112" s="2569"/>
      <c r="C112" s="2569"/>
      <c r="D112" s="2569"/>
      <c r="E112" s="2569"/>
      <c r="F112" s="2569"/>
      <c r="G112" s="2569"/>
      <c r="H112" s="2569"/>
      <c r="I112" s="2569"/>
      <c r="J112" s="2569"/>
      <c r="K112" s="2569"/>
      <c r="L112" s="2569"/>
      <c r="M112" s="2569"/>
      <c r="N112" s="2569"/>
      <c r="O112" s="2569"/>
      <c r="P112" s="2569"/>
      <c r="Q112" s="2569"/>
    </row>
    <row r="113" spans="2:17" s="2110" customFormat="1">
      <c r="B113" s="2569"/>
      <c r="C113" s="2569"/>
      <c r="D113" s="2569"/>
      <c r="E113" s="2569"/>
      <c r="F113" s="2569"/>
      <c r="G113" s="2569"/>
      <c r="H113" s="2569"/>
      <c r="I113" s="2569"/>
      <c r="J113" s="2569"/>
      <c r="K113" s="2569"/>
      <c r="L113" s="2569"/>
      <c r="M113" s="2569"/>
      <c r="N113" s="2569"/>
      <c r="O113" s="2569"/>
      <c r="P113" s="2569"/>
      <c r="Q113" s="2569"/>
    </row>
    <row r="114" spans="2:17" s="2110" customFormat="1">
      <c r="B114" s="2569"/>
      <c r="C114" s="2569"/>
      <c r="D114" s="2569"/>
      <c r="E114" s="2569"/>
      <c r="F114" s="2569"/>
      <c r="G114" s="2569"/>
      <c r="H114" s="2569"/>
      <c r="I114" s="2569"/>
      <c r="J114" s="2569"/>
      <c r="K114" s="2569"/>
      <c r="L114" s="2569"/>
      <c r="M114" s="2569"/>
      <c r="N114" s="2569"/>
      <c r="O114" s="2569"/>
      <c r="P114" s="2569"/>
      <c r="Q114" s="2569"/>
    </row>
    <row r="115" spans="2:17" s="2110" customFormat="1">
      <c r="B115" s="2569"/>
      <c r="C115" s="2569"/>
      <c r="D115" s="2569"/>
      <c r="E115" s="2569"/>
      <c r="F115" s="2569"/>
      <c r="G115" s="2569"/>
      <c r="H115" s="2569"/>
      <c r="I115" s="2569"/>
      <c r="J115" s="2569"/>
      <c r="K115" s="2569"/>
      <c r="L115" s="2569"/>
      <c r="M115" s="2569"/>
      <c r="N115" s="2569"/>
      <c r="O115" s="2569"/>
      <c r="P115" s="2569"/>
      <c r="Q115" s="2569"/>
    </row>
    <row r="116" spans="2:17" s="2110" customFormat="1">
      <c r="B116" s="2569"/>
      <c r="C116" s="2569"/>
      <c r="D116" s="2569"/>
      <c r="E116" s="2569"/>
      <c r="F116" s="2569"/>
      <c r="G116" s="2569"/>
      <c r="H116" s="2569"/>
      <c r="I116" s="2569"/>
      <c r="J116" s="2569"/>
      <c r="K116" s="2569"/>
      <c r="L116" s="2569"/>
      <c r="M116" s="2569"/>
      <c r="N116" s="2569"/>
      <c r="O116" s="2569"/>
      <c r="P116" s="2569"/>
      <c r="Q116" s="2569"/>
    </row>
    <row r="117" spans="2:17" s="2110" customFormat="1">
      <c r="B117" s="2569"/>
      <c r="C117" s="2569"/>
      <c r="D117" s="2569"/>
      <c r="E117" s="2569"/>
      <c r="F117" s="2569"/>
      <c r="G117" s="2569"/>
      <c r="H117" s="2569"/>
      <c r="I117" s="2569"/>
      <c r="J117" s="2569"/>
      <c r="K117" s="2569"/>
      <c r="L117" s="2569"/>
      <c r="M117" s="2569"/>
      <c r="N117" s="2569"/>
      <c r="O117" s="2569"/>
      <c r="P117" s="2569"/>
      <c r="Q117" s="2569"/>
    </row>
    <row r="118" spans="2:17" s="2110" customFormat="1">
      <c r="B118" s="2569"/>
      <c r="C118" s="2569"/>
      <c r="D118" s="2569"/>
      <c r="E118" s="2569"/>
      <c r="F118" s="2569"/>
      <c r="G118" s="2569"/>
      <c r="H118" s="2569"/>
      <c r="I118" s="2569"/>
      <c r="J118" s="2569"/>
      <c r="K118" s="2569"/>
      <c r="L118" s="2569"/>
      <c r="M118" s="2569"/>
      <c r="N118" s="2569"/>
      <c r="O118" s="2569"/>
      <c r="P118" s="2569"/>
      <c r="Q118" s="2569"/>
    </row>
    <row r="119" spans="2:17" s="2110" customFormat="1">
      <c r="B119" s="2569"/>
      <c r="C119" s="2569"/>
      <c r="D119" s="2569"/>
      <c r="E119" s="2569"/>
      <c r="F119" s="2569"/>
      <c r="G119" s="2569"/>
      <c r="H119" s="2569"/>
      <c r="I119" s="2569"/>
      <c r="J119" s="2569"/>
      <c r="K119" s="2569"/>
      <c r="L119" s="2569"/>
      <c r="M119" s="2569"/>
      <c r="N119" s="2569"/>
      <c r="O119" s="2569"/>
      <c r="P119" s="2569"/>
      <c r="Q119" s="2569"/>
    </row>
    <row r="120" spans="2:17" s="2110" customFormat="1">
      <c r="B120" s="2569"/>
      <c r="C120" s="2569"/>
      <c r="D120" s="2569"/>
      <c r="E120" s="2569"/>
      <c r="F120" s="2569"/>
      <c r="G120" s="2569"/>
      <c r="H120" s="2569"/>
      <c r="I120" s="2569"/>
      <c r="J120" s="2569"/>
      <c r="K120" s="2569"/>
      <c r="L120" s="2569"/>
      <c r="M120" s="2569"/>
      <c r="N120" s="2569"/>
      <c r="O120" s="2569"/>
      <c r="P120" s="2569"/>
      <c r="Q120" s="2569"/>
    </row>
    <row r="121" spans="2:17" s="2110" customFormat="1">
      <c r="B121" s="2569"/>
      <c r="C121" s="2569"/>
      <c r="D121" s="2569"/>
      <c r="E121" s="2569"/>
      <c r="F121" s="2569"/>
      <c r="G121" s="2569"/>
      <c r="H121" s="2569"/>
      <c r="I121" s="2569"/>
      <c r="J121" s="2569"/>
      <c r="K121" s="2569"/>
      <c r="L121" s="2569"/>
      <c r="M121" s="2569"/>
      <c r="N121" s="2569"/>
      <c r="O121" s="2569"/>
      <c r="P121" s="2569"/>
      <c r="Q121" s="2569"/>
    </row>
    <row r="122" spans="2:17" s="2110" customFormat="1">
      <c r="B122" s="2569"/>
      <c r="C122" s="2569"/>
      <c r="D122" s="2569"/>
      <c r="E122" s="2569"/>
      <c r="F122" s="2569"/>
      <c r="G122" s="2569"/>
      <c r="H122" s="2569"/>
      <c r="I122" s="2569"/>
      <c r="J122" s="2569"/>
      <c r="K122" s="2569"/>
      <c r="L122" s="2569"/>
      <c r="M122" s="2569"/>
      <c r="N122" s="2569"/>
      <c r="O122" s="2569"/>
      <c r="P122" s="2569"/>
      <c r="Q122" s="2569"/>
    </row>
    <row r="123" spans="2:17" s="2110" customFormat="1">
      <c r="B123" s="2569"/>
      <c r="C123" s="2569"/>
      <c r="D123" s="2569"/>
      <c r="E123" s="2569"/>
      <c r="F123" s="2569"/>
      <c r="G123" s="2569"/>
      <c r="H123" s="2569"/>
      <c r="I123" s="2569"/>
      <c r="J123" s="2569"/>
      <c r="K123" s="2569"/>
      <c r="L123" s="2569"/>
      <c r="M123" s="2569"/>
      <c r="N123" s="2569"/>
      <c r="O123" s="2569"/>
      <c r="P123" s="2569"/>
      <c r="Q123" s="2569"/>
    </row>
    <row r="124" spans="2:17" s="2110" customFormat="1">
      <c r="B124" s="2569"/>
      <c r="C124" s="2569"/>
      <c r="D124" s="2569"/>
      <c r="E124" s="2569"/>
      <c r="F124" s="2569"/>
      <c r="G124" s="2569"/>
      <c r="H124" s="2569"/>
      <c r="I124" s="2569"/>
      <c r="J124" s="2569"/>
      <c r="K124" s="2569"/>
      <c r="L124" s="2569"/>
      <c r="M124" s="2569"/>
      <c r="N124" s="2569"/>
      <c r="O124" s="2569"/>
      <c r="P124" s="2569"/>
      <c r="Q124" s="2569"/>
    </row>
    <row r="125" spans="2:17" s="2110" customFormat="1">
      <c r="B125" s="2569"/>
      <c r="C125" s="2569"/>
      <c r="D125" s="2569"/>
      <c r="E125" s="2569"/>
      <c r="F125" s="2569"/>
      <c r="G125" s="2569"/>
      <c r="H125" s="2569"/>
      <c r="I125" s="2569"/>
      <c r="J125" s="2569"/>
      <c r="K125" s="2569"/>
      <c r="L125" s="2569"/>
      <c r="M125" s="2569"/>
      <c r="N125" s="2569"/>
      <c r="O125" s="2569"/>
      <c r="P125" s="2569"/>
      <c r="Q125" s="2569"/>
    </row>
    <row r="126" spans="2:17" s="2110" customFormat="1">
      <c r="B126" s="2569"/>
      <c r="C126" s="2569"/>
      <c r="D126" s="2569"/>
      <c r="E126" s="2569"/>
      <c r="F126" s="2569"/>
      <c r="G126" s="2569"/>
      <c r="H126" s="2569"/>
      <c r="I126" s="2569"/>
      <c r="J126" s="2569"/>
      <c r="K126" s="2569"/>
      <c r="L126" s="2569"/>
      <c r="M126" s="2569"/>
      <c r="N126" s="2569"/>
      <c r="O126" s="2569"/>
      <c r="P126" s="2569"/>
      <c r="Q126" s="2569"/>
    </row>
    <row r="127" spans="2:17" s="2110" customFormat="1">
      <c r="B127" s="2569"/>
      <c r="C127" s="2569"/>
      <c r="D127" s="2569"/>
      <c r="E127" s="2569"/>
      <c r="F127" s="2569"/>
      <c r="G127" s="2569"/>
      <c r="H127" s="2569"/>
      <c r="I127" s="2569"/>
      <c r="J127" s="2569"/>
      <c r="K127" s="2569"/>
      <c r="L127" s="2569"/>
      <c r="M127" s="2569"/>
      <c r="N127" s="2569"/>
      <c r="O127" s="2569"/>
      <c r="P127" s="2569"/>
      <c r="Q127" s="2569"/>
    </row>
    <row r="128" spans="2:17" s="2110" customFormat="1">
      <c r="B128" s="2569"/>
      <c r="C128" s="2569"/>
      <c r="D128" s="2569"/>
      <c r="E128" s="2569"/>
      <c r="F128" s="2569"/>
      <c r="G128" s="2569"/>
      <c r="H128" s="2569"/>
      <c r="I128" s="2569"/>
      <c r="J128" s="2569"/>
      <c r="K128" s="2569"/>
      <c r="L128" s="2569"/>
      <c r="M128" s="2569"/>
      <c r="N128" s="2569"/>
      <c r="O128" s="2569"/>
      <c r="P128" s="2569"/>
      <c r="Q128" s="2569"/>
    </row>
    <row r="129" spans="2:17" s="2110" customFormat="1">
      <c r="B129" s="2569"/>
      <c r="C129" s="2569"/>
      <c r="D129" s="2569"/>
      <c r="E129" s="2569"/>
      <c r="F129" s="2569"/>
      <c r="G129" s="2569"/>
      <c r="H129" s="2569"/>
      <c r="I129" s="2569"/>
      <c r="J129" s="2569"/>
      <c r="K129" s="2569"/>
      <c r="L129" s="2569"/>
      <c r="M129" s="2569"/>
      <c r="N129" s="2569"/>
      <c r="O129" s="2569"/>
      <c r="P129" s="2569"/>
      <c r="Q129" s="2569"/>
    </row>
    <row r="130" spans="2:17" s="2110" customFormat="1">
      <c r="B130" s="2569"/>
      <c r="C130" s="2569"/>
      <c r="D130" s="2569"/>
      <c r="E130" s="2569"/>
      <c r="F130" s="2569"/>
      <c r="G130" s="2569"/>
      <c r="H130" s="2569"/>
      <c r="I130" s="2569"/>
      <c r="J130" s="2569"/>
      <c r="K130" s="2569"/>
      <c r="L130" s="2569"/>
      <c r="M130" s="2569"/>
      <c r="N130" s="2569"/>
      <c r="O130" s="2569"/>
      <c r="P130" s="2569"/>
      <c r="Q130" s="2569"/>
    </row>
    <row r="131" spans="2:17" s="2110" customFormat="1">
      <c r="B131" s="2569"/>
      <c r="C131" s="2569"/>
      <c r="D131" s="2569"/>
      <c r="E131" s="2569"/>
      <c r="F131" s="2569"/>
      <c r="G131" s="2569"/>
      <c r="H131" s="2569"/>
      <c r="I131" s="2569"/>
      <c r="J131" s="2569"/>
      <c r="K131" s="2569"/>
      <c r="L131" s="2569"/>
      <c r="M131" s="2569"/>
      <c r="N131" s="2569"/>
      <c r="O131" s="2569"/>
      <c r="P131" s="2569"/>
      <c r="Q131" s="2569"/>
    </row>
    <row r="132" spans="2:17" s="2110" customFormat="1">
      <c r="B132" s="2569"/>
      <c r="C132" s="2569"/>
      <c r="D132" s="2569"/>
      <c r="E132" s="2569"/>
      <c r="F132" s="2569"/>
      <c r="G132" s="2569"/>
      <c r="H132" s="2569"/>
      <c r="I132" s="2569"/>
      <c r="J132" s="2569"/>
      <c r="K132" s="2569"/>
      <c r="L132" s="2569"/>
      <c r="M132" s="2569"/>
      <c r="N132" s="2569"/>
      <c r="O132" s="2569"/>
      <c r="P132" s="2569"/>
      <c r="Q132" s="2569"/>
    </row>
    <row r="133" spans="2:17" s="2110" customFormat="1">
      <c r="B133" s="2569"/>
      <c r="C133" s="2569"/>
      <c r="D133" s="2569"/>
      <c r="E133" s="2569"/>
      <c r="F133" s="2569"/>
      <c r="G133" s="2569"/>
      <c r="H133" s="2569"/>
      <c r="I133" s="2569"/>
      <c r="J133" s="2569"/>
      <c r="K133" s="2569"/>
      <c r="L133" s="2569"/>
      <c r="M133" s="2569"/>
      <c r="N133" s="2569"/>
      <c r="O133" s="2569"/>
      <c r="P133" s="2569"/>
      <c r="Q133" s="2569"/>
    </row>
    <row r="134" spans="2:17" s="2110" customFormat="1">
      <c r="B134" s="2569"/>
      <c r="C134" s="2569"/>
      <c r="D134" s="2569"/>
      <c r="E134" s="2569"/>
      <c r="F134" s="2569"/>
      <c r="G134" s="2569"/>
      <c r="H134" s="2569"/>
      <c r="I134" s="2569"/>
      <c r="J134" s="2569"/>
      <c r="K134" s="2569"/>
      <c r="L134" s="2569"/>
      <c r="M134" s="2569"/>
      <c r="N134" s="2569"/>
      <c r="O134" s="2569"/>
      <c r="P134" s="2569"/>
      <c r="Q134" s="2569"/>
    </row>
    <row r="135" spans="2:17" s="2110" customFormat="1">
      <c r="B135" s="2569"/>
      <c r="C135" s="2569"/>
      <c r="D135" s="2569"/>
      <c r="E135" s="2569"/>
      <c r="F135" s="2569"/>
      <c r="G135" s="2569"/>
      <c r="H135" s="2569"/>
      <c r="I135" s="2569"/>
      <c r="J135" s="2569"/>
      <c r="K135" s="2569"/>
      <c r="L135" s="2569"/>
      <c r="M135" s="2569"/>
      <c r="N135" s="2569"/>
      <c r="O135" s="2569"/>
      <c r="P135" s="2569"/>
      <c r="Q135" s="2569"/>
    </row>
    <row r="136" spans="2:17" s="2110" customFormat="1">
      <c r="B136" s="2569"/>
      <c r="C136" s="2569"/>
      <c r="D136" s="2569"/>
      <c r="E136" s="2569"/>
      <c r="F136" s="2569"/>
      <c r="G136" s="2569"/>
      <c r="H136" s="2569"/>
      <c r="I136" s="2569"/>
      <c r="J136" s="2569"/>
      <c r="K136" s="2569"/>
      <c r="L136" s="2569"/>
      <c r="M136" s="2569"/>
      <c r="N136" s="2569"/>
      <c r="O136" s="2569"/>
      <c r="P136" s="2569"/>
      <c r="Q136" s="2569"/>
    </row>
    <row r="137" spans="2:17" s="2110" customFormat="1">
      <c r="B137" s="2569"/>
      <c r="C137" s="2569"/>
      <c r="D137" s="2569"/>
      <c r="E137" s="2569"/>
      <c r="F137" s="2569"/>
      <c r="G137" s="2569"/>
      <c r="H137" s="2569"/>
      <c r="I137" s="2569"/>
      <c r="J137" s="2569"/>
      <c r="K137" s="2569"/>
      <c r="L137" s="2569"/>
      <c r="M137" s="2569"/>
      <c r="N137" s="2569"/>
      <c r="O137" s="2569"/>
      <c r="P137" s="2569"/>
      <c r="Q137" s="2569"/>
    </row>
    <row r="138" spans="2:17" s="2110" customFormat="1">
      <c r="B138" s="2569"/>
      <c r="C138" s="2569"/>
      <c r="D138" s="2569"/>
      <c r="E138" s="2569"/>
      <c r="F138" s="2569"/>
      <c r="G138" s="2569"/>
      <c r="H138" s="2569"/>
      <c r="I138" s="2569"/>
      <c r="J138" s="2569"/>
      <c r="K138" s="2569"/>
      <c r="L138" s="2569"/>
      <c r="M138" s="2569"/>
      <c r="N138" s="2569"/>
      <c r="O138" s="2569"/>
      <c r="P138" s="2569"/>
      <c r="Q138" s="2569"/>
    </row>
    <row r="139" spans="2:17" s="2110" customFormat="1">
      <c r="B139" s="2569"/>
      <c r="C139" s="2569"/>
      <c r="D139" s="2569"/>
      <c r="E139" s="2569"/>
      <c r="F139" s="2569"/>
      <c r="G139" s="2569"/>
      <c r="H139" s="2569"/>
      <c r="I139" s="2569"/>
      <c r="J139" s="2569"/>
      <c r="K139" s="2569"/>
      <c r="L139" s="2569"/>
      <c r="M139" s="2569"/>
      <c r="N139" s="2569"/>
      <c r="O139" s="2569"/>
      <c r="P139" s="2569"/>
      <c r="Q139" s="2569"/>
    </row>
    <row r="140" spans="2:17" s="2110" customFormat="1">
      <c r="B140" s="2569"/>
      <c r="C140" s="2569"/>
      <c r="D140" s="2569"/>
      <c r="E140" s="2569"/>
      <c r="F140" s="2569"/>
      <c r="G140" s="2569"/>
      <c r="H140" s="2569"/>
      <c r="I140" s="2569"/>
      <c r="J140" s="2569"/>
      <c r="K140" s="2569"/>
      <c r="L140" s="2569"/>
      <c r="M140" s="2569"/>
      <c r="N140" s="2569"/>
      <c r="O140" s="2569"/>
      <c r="P140" s="2569"/>
      <c r="Q140" s="2569"/>
    </row>
    <row r="141" spans="2:17" s="2110" customFormat="1">
      <c r="B141" s="2569"/>
      <c r="C141" s="2569"/>
      <c r="D141" s="2569"/>
      <c r="E141" s="2569"/>
      <c r="F141" s="2569"/>
      <c r="G141" s="2569"/>
      <c r="H141" s="2569"/>
      <c r="I141" s="2569"/>
      <c r="J141" s="2569"/>
      <c r="K141" s="2569"/>
      <c r="L141" s="2569"/>
      <c r="M141" s="2569"/>
      <c r="N141" s="2569"/>
      <c r="O141" s="2569"/>
      <c r="P141" s="2569"/>
      <c r="Q141" s="2569"/>
    </row>
    <row r="142" spans="2:17" s="2110" customFormat="1">
      <c r="B142" s="2569"/>
      <c r="C142" s="2569"/>
      <c r="D142" s="2569"/>
      <c r="E142" s="2569"/>
      <c r="F142" s="2569"/>
      <c r="G142" s="2569"/>
      <c r="H142" s="2569"/>
      <c r="I142" s="2569"/>
      <c r="J142" s="2569"/>
      <c r="K142" s="2569"/>
      <c r="L142" s="2569"/>
      <c r="M142" s="2569"/>
      <c r="N142" s="2569"/>
      <c r="O142" s="2569"/>
      <c r="P142" s="2569"/>
      <c r="Q142" s="2569"/>
    </row>
    <row r="143" spans="2:17" s="2110" customFormat="1">
      <c r="B143" s="2569"/>
      <c r="C143" s="2569"/>
      <c r="D143" s="2569"/>
      <c r="E143" s="2569"/>
      <c r="F143" s="2569"/>
      <c r="G143" s="2569"/>
      <c r="H143" s="2569"/>
      <c r="I143" s="2569"/>
      <c r="J143" s="2569"/>
      <c r="K143" s="2569"/>
      <c r="L143" s="2569"/>
      <c r="M143" s="2569"/>
      <c r="N143" s="2569"/>
      <c r="O143" s="2569"/>
      <c r="P143" s="2569"/>
      <c r="Q143" s="2569"/>
    </row>
    <row r="144" spans="2:17" s="2110" customFormat="1">
      <c r="B144" s="2569"/>
      <c r="C144" s="2569"/>
      <c r="D144" s="2569"/>
      <c r="E144" s="2569"/>
      <c r="F144" s="2569"/>
      <c r="G144" s="2569"/>
      <c r="H144" s="2569"/>
      <c r="I144" s="2569"/>
      <c r="J144" s="2569"/>
      <c r="K144" s="2569"/>
      <c r="L144" s="2569"/>
      <c r="M144" s="2569"/>
      <c r="N144" s="2569"/>
      <c r="O144" s="2569"/>
      <c r="P144" s="2569"/>
      <c r="Q144" s="2569"/>
    </row>
    <row r="145" spans="2:17" s="2110" customFormat="1">
      <c r="B145" s="2569"/>
      <c r="C145" s="2569"/>
      <c r="D145" s="2569"/>
      <c r="E145" s="2569"/>
      <c r="F145" s="2569"/>
      <c r="G145" s="2569"/>
      <c r="H145" s="2569"/>
      <c r="I145" s="2569"/>
      <c r="J145" s="2569"/>
      <c r="K145" s="2569"/>
      <c r="L145" s="2569"/>
      <c r="M145" s="2569"/>
      <c r="N145" s="2569"/>
      <c r="O145" s="2569"/>
      <c r="P145" s="2569"/>
      <c r="Q145" s="2569"/>
    </row>
    <row r="146" spans="2:17" s="2110" customFormat="1">
      <c r="B146" s="2569"/>
      <c r="C146" s="2569"/>
      <c r="D146" s="2569"/>
      <c r="E146" s="2569"/>
      <c r="F146" s="2569"/>
      <c r="G146" s="2569"/>
      <c r="H146" s="2569"/>
      <c r="I146" s="2569"/>
      <c r="J146" s="2569"/>
      <c r="K146" s="2569"/>
      <c r="L146" s="2569"/>
      <c r="M146" s="2569"/>
      <c r="N146" s="2569"/>
      <c r="O146" s="2569"/>
      <c r="P146" s="2569"/>
      <c r="Q146" s="2569"/>
    </row>
    <row r="147" spans="2:17" s="2110" customFormat="1">
      <c r="B147" s="2569"/>
      <c r="C147" s="2569"/>
      <c r="D147" s="2569"/>
      <c r="E147" s="2569"/>
      <c r="F147" s="2569"/>
      <c r="G147" s="2569"/>
      <c r="H147" s="2569"/>
      <c r="I147" s="2569"/>
      <c r="J147" s="2569"/>
      <c r="K147" s="2569"/>
      <c r="L147" s="2569"/>
      <c r="M147" s="2569"/>
      <c r="N147" s="2569"/>
      <c r="O147" s="2569"/>
      <c r="P147" s="2569"/>
      <c r="Q147" s="2569"/>
    </row>
    <row r="148" spans="2:17" s="2110" customFormat="1">
      <c r="B148" s="2569"/>
      <c r="C148" s="2569"/>
      <c r="D148" s="2569"/>
      <c r="E148" s="2569"/>
      <c r="F148" s="2569"/>
      <c r="G148" s="2569"/>
      <c r="H148" s="2569"/>
      <c r="I148" s="2569"/>
      <c r="J148" s="2569"/>
      <c r="K148" s="2569"/>
      <c r="L148" s="2569"/>
      <c r="M148" s="2569"/>
      <c r="N148" s="2569"/>
      <c r="O148" s="2569"/>
      <c r="P148" s="2569"/>
      <c r="Q148" s="2569"/>
    </row>
    <row r="149" spans="2:17" s="2110" customFormat="1">
      <c r="B149" s="2569"/>
      <c r="C149" s="2569"/>
      <c r="D149" s="2569"/>
      <c r="E149" s="2569"/>
      <c r="F149" s="2569"/>
      <c r="G149" s="2569"/>
      <c r="H149" s="2569"/>
      <c r="I149" s="2569"/>
      <c r="J149" s="2569"/>
      <c r="K149" s="2569"/>
      <c r="L149" s="2569"/>
      <c r="M149" s="2569"/>
      <c r="N149" s="2569"/>
      <c r="O149" s="2569"/>
      <c r="P149" s="2569"/>
      <c r="Q149" s="2569"/>
    </row>
    <row r="150" spans="2:17" s="2110" customFormat="1">
      <c r="B150" s="2569"/>
      <c r="C150" s="2569"/>
      <c r="D150" s="2569"/>
      <c r="E150" s="2569"/>
      <c r="F150" s="2569"/>
      <c r="G150" s="2569"/>
      <c r="H150" s="2569"/>
      <c r="I150" s="2569"/>
      <c r="J150" s="2569"/>
      <c r="K150" s="2569"/>
      <c r="L150" s="2569"/>
      <c r="M150" s="2569"/>
      <c r="N150" s="2569"/>
      <c r="O150" s="2569"/>
      <c r="P150" s="2569"/>
      <c r="Q150" s="2569"/>
    </row>
    <row r="151" spans="2:17" s="2110" customFormat="1">
      <c r="B151" s="2569"/>
      <c r="C151" s="2569"/>
      <c r="D151" s="2569"/>
      <c r="E151" s="2569"/>
      <c r="F151" s="2569"/>
      <c r="G151" s="2569"/>
      <c r="H151" s="2569"/>
      <c r="I151" s="2569"/>
      <c r="J151" s="2569"/>
      <c r="K151" s="2569"/>
      <c r="L151" s="2569"/>
      <c r="M151" s="2569"/>
      <c r="N151" s="2569"/>
      <c r="O151" s="2569"/>
      <c r="P151" s="2569"/>
      <c r="Q151" s="2569"/>
    </row>
    <row r="152" spans="2:17" s="2110" customFormat="1">
      <c r="B152" s="2569"/>
      <c r="C152" s="2569"/>
      <c r="D152" s="2569"/>
      <c r="E152" s="2569"/>
      <c r="F152" s="2569"/>
      <c r="G152" s="2569"/>
      <c r="H152" s="2569"/>
      <c r="I152" s="2569"/>
      <c r="J152" s="2569"/>
      <c r="K152" s="2569"/>
      <c r="L152" s="2569"/>
      <c r="M152" s="2569"/>
      <c r="N152" s="2569"/>
      <c r="O152" s="2569"/>
      <c r="P152" s="2569"/>
      <c r="Q152" s="2569"/>
    </row>
    <row r="153" spans="2:17" s="2110" customFormat="1">
      <c r="B153" s="2569"/>
      <c r="C153" s="2569"/>
      <c r="D153" s="2569"/>
      <c r="E153" s="2569"/>
      <c r="F153" s="2569"/>
      <c r="G153" s="2569"/>
      <c r="H153" s="2569"/>
      <c r="I153" s="2569"/>
      <c r="J153" s="2569"/>
      <c r="K153" s="2569"/>
      <c r="L153" s="2569"/>
      <c r="M153" s="2569"/>
      <c r="N153" s="2569"/>
      <c r="O153" s="2569"/>
      <c r="P153" s="2569"/>
      <c r="Q153" s="2569"/>
    </row>
    <row r="154" spans="2:17" s="2110" customFormat="1">
      <c r="B154" s="2569"/>
      <c r="C154" s="2569"/>
      <c r="D154" s="2569"/>
      <c r="E154" s="2569"/>
      <c r="F154" s="2569"/>
      <c r="G154" s="2569"/>
      <c r="H154" s="2569"/>
      <c r="I154" s="2569"/>
      <c r="J154" s="2569"/>
      <c r="K154" s="2569"/>
      <c r="L154" s="2569"/>
      <c r="M154" s="2569"/>
      <c r="N154" s="2569"/>
      <c r="O154" s="2569"/>
      <c r="P154" s="2569"/>
      <c r="Q154" s="2569"/>
    </row>
    <row r="155" spans="2:17" s="2110" customFormat="1">
      <c r="B155" s="2569"/>
      <c r="C155" s="2569"/>
      <c r="D155" s="2569"/>
      <c r="E155" s="2569"/>
      <c r="F155" s="2569"/>
      <c r="G155" s="2569"/>
      <c r="H155" s="2569"/>
      <c r="I155" s="2569"/>
      <c r="J155" s="2569"/>
      <c r="K155" s="2569"/>
      <c r="L155" s="2569"/>
      <c r="M155" s="2569"/>
      <c r="N155" s="2569"/>
      <c r="O155" s="2569"/>
      <c r="P155" s="2569"/>
      <c r="Q155" s="2569"/>
    </row>
    <row r="156" spans="2:17" s="2110" customFormat="1">
      <c r="B156" s="2569"/>
      <c r="C156" s="2569"/>
      <c r="D156" s="2569"/>
      <c r="E156" s="2569"/>
      <c r="F156" s="2569"/>
      <c r="G156" s="2569"/>
      <c r="H156" s="2569"/>
      <c r="I156" s="2569"/>
      <c r="J156" s="2569"/>
      <c r="K156" s="2569"/>
      <c r="L156" s="2569"/>
      <c r="M156" s="2569"/>
      <c r="N156" s="2569"/>
      <c r="O156" s="2569"/>
      <c r="P156" s="2569"/>
      <c r="Q156" s="2569"/>
    </row>
    <row r="157" spans="2:17" s="2110" customFormat="1">
      <c r="B157" s="2569"/>
      <c r="C157" s="2569"/>
      <c r="D157" s="2569"/>
      <c r="E157" s="2569"/>
      <c r="F157" s="2569"/>
      <c r="G157" s="2569"/>
      <c r="H157" s="2569"/>
      <c r="I157" s="2569"/>
      <c r="J157" s="2569"/>
      <c r="K157" s="2569"/>
      <c r="L157" s="2569"/>
      <c r="M157" s="2569"/>
      <c r="N157" s="2569"/>
      <c r="O157" s="2569"/>
      <c r="P157" s="2569"/>
      <c r="Q157" s="2569"/>
    </row>
    <row r="158" spans="2:17" s="2110" customFormat="1">
      <c r="B158" s="2569"/>
      <c r="C158" s="2569"/>
      <c r="D158" s="2569"/>
      <c r="E158" s="2569"/>
      <c r="F158" s="2569"/>
      <c r="G158" s="2569"/>
      <c r="H158" s="2569"/>
      <c r="I158" s="2569"/>
      <c r="J158" s="2569"/>
      <c r="K158" s="2569"/>
      <c r="L158" s="2569"/>
      <c r="M158" s="2569"/>
      <c r="N158" s="2569"/>
      <c r="O158" s="2569"/>
      <c r="P158" s="2569"/>
      <c r="Q158" s="2569"/>
    </row>
    <row r="159" spans="2:17" s="2110" customFormat="1">
      <c r="B159" s="2569"/>
      <c r="C159" s="2569"/>
      <c r="D159" s="2569"/>
      <c r="E159" s="2569"/>
      <c r="F159" s="2569"/>
      <c r="G159" s="2569"/>
      <c r="H159" s="2569"/>
      <c r="I159" s="2569"/>
      <c r="J159" s="2569"/>
      <c r="K159" s="2569"/>
      <c r="L159" s="2569"/>
      <c r="M159" s="2569"/>
      <c r="N159" s="2569"/>
      <c r="O159" s="2569"/>
      <c r="P159" s="2569"/>
      <c r="Q159" s="2569"/>
    </row>
    <row r="160" spans="2:17" s="2110" customFormat="1">
      <c r="B160" s="2569"/>
      <c r="C160" s="2569"/>
      <c r="D160" s="2569"/>
      <c r="E160" s="2569"/>
      <c r="F160" s="2569"/>
      <c r="G160" s="2569"/>
      <c r="H160" s="2569"/>
      <c r="I160" s="2569"/>
      <c r="J160" s="2569"/>
      <c r="K160" s="2569"/>
      <c r="L160" s="2569"/>
      <c r="M160" s="2569"/>
      <c r="N160" s="2569"/>
      <c r="O160" s="2569"/>
      <c r="P160" s="2569"/>
      <c r="Q160" s="2569"/>
    </row>
    <row r="161" spans="2:17" s="2110" customFormat="1">
      <c r="B161" s="2569"/>
      <c r="C161" s="2569"/>
      <c r="D161" s="2569"/>
      <c r="E161" s="2569"/>
      <c r="F161" s="2569"/>
      <c r="G161" s="2569"/>
      <c r="H161" s="2569"/>
      <c r="I161" s="2569"/>
      <c r="J161" s="2569"/>
      <c r="K161" s="2569"/>
      <c r="L161" s="2569"/>
      <c r="M161" s="2569"/>
      <c r="N161" s="2569"/>
      <c r="O161" s="2569"/>
      <c r="P161" s="2569"/>
      <c r="Q161" s="2569"/>
    </row>
    <row r="162" spans="2:17" s="2110" customFormat="1">
      <c r="B162" s="2569"/>
      <c r="C162" s="2569"/>
      <c r="D162" s="2569"/>
      <c r="E162" s="2569"/>
      <c r="F162" s="2569"/>
      <c r="G162" s="2569"/>
      <c r="H162" s="2569"/>
      <c r="I162" s="2569"/>
      <c r="J162" s="2569"/>
      <c r="K162" s="2569"/>
      <c r="L162" s="2569"/>
      <c r="M162" s="2569"/>
      <c r="N162" s="2569"/>
      <c r="O162" s="2569"/>
      <c r="P162" s="2569"/>
      <c r="Q162" s="2569"/>
    </row>
    <row r="163" spans="2:17" s="2110" customFormat="1">
      <c r="B163" s="2569"/>
      <c r="C163" s="2569"/>
      <c r="D163" s="2569"/>
      <c r="E163" s="2569"/>
      <c r="F163" s="2569"/>
      <c r="G163" s="2569"/>
      <c r="H163" s="2569"/>
      <c r="I163" s="2569"/>
      <c r="J163" s="2569"/>
      <c r="K163" s="2569"/>
      <c r="L163" s="2569"/>
      <c r="M163" s="2569"/>
      <c r="N163" s="2569"/>
      <c r="O163" s="2569"/>
      <c r="P163" s="2569"/>
      <c r="Q163" s="2569"/>
    </row>
    <row r="164" spans="2:17" s="2110" customFormat="1">
      <c r="B164" s="2569"/>
      <c r="C164" s="2569"/>
      <c r="D164" s="2569"/>
      <c r="E164" s="2569"/>
      <c r="F164" s="2569"/>
      <c r="G164" s="2569"/>
      <c r="H164" s="2569"/>
      <c r="I164" s="2569"/>
      <c r="J164" s="2569"/>
      <c r="K164" s="2569"/>
      <c r="L164" s="2569"/>
      <c r="M164" s="2569"/>
      <c r="N164" s="2569"/>
      <c r="O164" s="2569"/>
      <c r="P164" s="2569"/>
      <c r="Q164" s="2569"/>
    </row>
    <row r="165" spans="2:17" s="2110" customFormat="1">
      <c r="B165" s="2569"/>
      <c r="C165" s="2569"/>
      <c r="D165" s="2569"/>
      <c r="E165" s="2569"/>
      <c r="F165" s="2569"/>
      <c r="G165" s="2569"/>
      <c r="H165" s="2569"/>
      <c r="I165" s="2569"/>
      <c r="J165" s="2569"/>
      <c r="K165" s="2569"/>
      <c r="L165" s="2569"/>
      <c r="M165" s="2569"/>
      <c r="N165" s="2569"/>
      <c r="O165" s="2569"/>
      <c r="P165" s="2569"/>
      <c r="Q165" s="2569"/>
    </row>
    <row r="166" spans="2:17" s="2110" customFormat="1">
      <c r="B166" s="2569"/>
      <c r="C166" s="2569"/>
      <c r="D166" s="2569"/>
      <c r="E166" s="2569"/>
      <c r="F166" s="2569"/>
      <c r="G166" s="2569"/>
      <c r="H166" s="2569"/>
      <c r="I166" s="2569"/>
      <c r="J166" s="2569"/>
      <c r="K166" s="2569"/>
      <c r="L166" s="2569"/>
      <c r="M166" s="2569"/>
      <c r="N166" s="2569"/>
      <c r="O166" s="2569"/>
      <c r="P166" s="2569"/>
      <c r="Q166" s="2569"/>
    </row>
    <row r="167" spans="2:17" s="2110" customFormat="1">
      <c r="B167" s="2569"/>
      <c r="C167" s="2569"/>
      <c r="D167" s="2569"/>
      <c r="E167" s="2569"/>
      <c r="F167" s="2569"/>
      <c r="G167" s="2569"/>
      <c r="H167" s="2569"/>
      <c r="I167" s="2569"/>
      <c r="J167" s="2569"/>
      <c r="K167" s="2569"/>
      <c r="L167" s="2569"/>
      <c r="M167" s="2569"/>
      <c r="N167" s="2569"/>
      <c r="O167" s="2569"/>
      <c r="P167" s="2569"/>
      <c r="Q167" s="2569"/>
    </row>
    <row r="168" spans="2:17" s="2110" customFormat="1">
      <c r="B168" s="2569"/>
      <c r="C168" s="2569"/>
      <c r="D168" s="2569"/>
      <c r="E168" s="2569"/>
      <c r="F168" s="2569"/>
      <c r="G168" s="2569"/>
      <c r="H168" s="2569"/>
      <c r="I168" s="2569"/>
      <c r="J168" s="2569"/>
      <c r="K168" s="2569"/>
      <c r="L168" s="2569"/>
      <c r="M168" s="2569"/>
      <c r="N168" s="2569"/>
      <c r="O168" s="2569"/>
      <c r="P168" s="2569"/>
      <c r="Q168" s="2569"/>
    </row>
    <row r="169" spans="2:17" s="2110" customFormat="1">
      <c r="B169" s="2569"/>
      <c r="C169" s="2569"/>
      <c r="D169" s="2569"/>
      <c r="E169" s="2569"/>
      <c r="F169" s="2569"/>
      <c r="G169" s="2569"/>
      <c r="H169" s="2569"/>
      <c r="I169" s="2569"/>
      <c r="J169" s="2569"/>
      <c r="K169" s="2569"/>
      <c r="L169" s="2569"/>
      <c r="M169" s="2569"/>
      <c r="N169" s="2569"/>
      <c r="O169" s="2569"/>
      <c r="P169" s="2569"/>
      <c r="Q169" s="2569"/>
    </row>
    <row r="170" spans="2:17" s="2110" customFormat="1">
      <c r="B170" s="2569"/>
      <c r="C170" s="2569"/>
      <c r="D170" s="2569"/>
      <c r="E170" s="2569"/>
      <c r="F170" s="2569"/>
      <c r="G170" s="2569"/>
      <c r="H170" s="2569"/>
      <c r="I170" s="2569"/>
      <c r="J170" s="2569"/>
      <c r="K170" s="2569"/>
      <c r="L170" s="2569"/>
      <c r="M170" s="2569"/>
      <c r="N170" s="2569"/>
      <c r="O170" s="2569"/>
      <c r="P170" s="2569"/>
      <c r="Q170" s="2569"/>
    </row>
    <row r="171" spans="2:17" s="2110" customFormat="1">
      <c r="B171" s="2569"/>
      <c r="C171" s="2569"/>
      <c r="D171" s="2569"/>
      <c r="E171" s="2569"/>
      <c r="F171" s="2569"/>
      <c r="G171" s="2569"/>
      <c r="H171" s="2569"/>
      <c r="I171" s="2569"/>
      <c r="J171" s="2569"/>
      <c r="K171" s="2569"/>
      <c r="L171" s="2569"/>
      <c r="M171" s="2569"/>
      <c r="N171" s="2569"/>
      <c r="O171" s="2569"/>
      <c r="P171" s="2569"/>
      <c r="Q171" s="2569"/>
    </row>
    <row r="172" spans="2:17" s="2110" customFormat="1">
      <c r="B172" s="2569"/>
      <c r="C172" s="2569"/>
      <c r="D172" s="2569"/>
      <c r="E172" s="2569"/>
      <c r="F172" s="2569"/>
      <c r="G172" s="2569"/>
      <c r="H172" s="2569"/>
      <c r="I172" s="2569"/>
      <c r="J172" s="2569"/>
      <c r="K172" s="2569"/>
      <c r="L172" s="2569"/>
      <c r="M172" s="2569"/>
      <c r="N172" s="2569"/>
      <c r="O172" s="2569"/>
      <c r="P172" s="2569"/>
      <c r="Q172" s="2569"/>
    </row>
    <row r="173" spans="2:17" s="2110" customFormat="1">
      <c r="B173" s="2569"/>
      <c r="C173" s="2569"/>
      <c r="D173" s="2569"/>
      <c r="E173" s="2569"/>
      <c r="F173" s="2569"/>
      <c r="G173" s="2569"/>
      <c r="H173" s="2569"/>
      <c r="I173" s="2569"/>
      <c r="J173" s="2569"/>
      <c r="K173" s="2569"/>
      <c r="L173" s="2569"/>
      <c r="M173" s="2569"/>
      <c r="N173" s="2569"/>
      <c r="O173" s="2569"/>
      <c r="P173" s="2569"/>
      <c r="Q173" s="2569"/>
    </row>
    <row r="174" spans="2:17" s="2110" customFormat="1">
      <c r="B174" s="2569"/>
      <c r="C174" s="2569"/>
      <c r="D174" s="2569"/>
      <c r="E174" s="2569"/>
      <c r="F174" s="2569"/>
      <c r="G174" s="2569"/>
      <c r="H174" s="2569"/>
      <c r="I174" s="2569"/>
      <c r="J174" s="2569"/>
      <c r="K174" s="2569"/>
      <c r="L174" s="2569"/>
      <c r="M174" s="2569"/>
      <c r="N174" s="2569"/>
      <c r="O174" s="2569"/>
      <c r="P174" s="2569"/>
      <c r="Q174" s="2569"/>
    </row>
    <row r="175" spans="2:17" s="2110" customFormat="1">
      <c r="B175" s="2569"/>
      <c r="C175" s="2569"/>
      <c r="D175" s="2569"/>
      <c r="E175" s="2569"/>
      <c r="F175" s="2569"/>
      <c r="G175" s="2569"/>
      <c r="H175" s="2569"/>
      <c r="I175" s="2569"/>
      <c r="J175" s="2569"/>
      <c r="K175" s="2569"/>
      <c r="L175" s="2569"/>
      <c r="M175" s="2569"/>
      <c r="N175" s="2569"/>
      <c r="O175" s="2569"/>
      <c r="P175" s="2569"/>
      <c r="Q175" s="2569"/>
    </row>
    <row r="176" spans="2:17" s="2110" customFormat="1">
      <c r="B176" s="2569"/>
      <c r="C176" s="2569"/>
      <c r="D176" s="2569"/>
      <c r="E176" s="2569"/>
      <c r="F176" s="2569"/>
      <c r="G176" s="2569"/>
      <c r="H176" s="2569"/>
      <c r="I176" s="2569"/>
      <c r="J176" s="2569"/>
      <c r="K176" s="2569"/>
      <c r="L176" s="2569"/>
      <c r="M176" s="2569"/>
      <c r="N176" s="2569"/>
      <c r="O176" s="2569"/>
      <c r="P176" s="2569"/>
      <c r="Q176" s="2569"/>
    </row>
    <row r="177" spans="1:17" s="2110" customFormat="1">
      <c r="B177" s="2569"/>
      <c r="C177" s="2569"/>
      <c r="D177" s="2569"/>
      <c r="E177" s="2569"/>
      <c r="F177" s="2569"/>
      <c r="G177" s="2569"/>
      <c r="H177" s="2569"/>
      <c r="I177" s="2569"/>
      <c r="J177" s="2569"/>
      <c r="K177" s="2569"/>
      <c r="L177" s="2569"/>
      <c r="M177" s="2569"/>
      <c r="N177" s="2569"/>
      <c r="O177" s="2569"/>
      <c r="P177" s="2569"/>
      <c r="Q177" s="2569"/>
    </row>
    <row r="178" spans="1:17" s="2110" customFormat="1">
      <c r="B178" s="2569"/>
      <c r="C178" s="2569"/>
      <c r="D178" s="2569"/>
      <c r="E178" s="2569"/>
      <c r="F178" s="2569"/>
      <c r="G178" s="2569"/>
      <c r="H178" s="2569"/>
      <c r="I178" s="2569"/>
      <c r="J178" s="2569"/>
      <c r="K178" s="2569"/>
      <c r="L178" s="2569"/>
      <c r="M178" s="2569"/>
      <c r="N178" s="2569"/>
      <c r="O178" s="2569"/>
      <c r="P178" s="2569"/>
      <c r="Q178" s="2569"/>
    </row>
    <row r="179" spans="1:17" s="2110" customFormat="1">
      <c r="B179" s="2569"/>
      <c r="C179" s="2569"/>
      <c r="D179" s="2569"/>
      <c r="E179" s="2569"/>
      <c r="F179" s="2569"/>
      <c r="G179" s="2569"/>
      <c r="H179" s="2569"/>
      <c r="I179" s="2569"/>
      <c r="J179" s="2569"/>
      <c r="K179" s="2569"/>
      <c r="L179" s="2569"/>
      <c r="M179" s="2569"/>
      <c r="N179" s="2569"/>
      <c r="O179" s="2569"/>
      <c r="P179" s="2569"/>
      <c r="Q179" s="2569"/>
    </row>
    <row r="180" spans="1:17" s="2110" customFormat="1">
      <c r="B180" s="2569"/>
      <c r="C180" s="2569"/>
      <c r="D180" s="2569"/>
      <c r="E180" s="2569"/>
      <c r="F180" s="2569"/>
      <c r="G180" s="2569"/>
      <c r="H180" s="2569"/>
      <c r="I180" s="2569"/>
      <c r="J180" s="2569"/>
      <c r="K180" s="2569"/>
      <c r="L180" s="2569"/>
      <c r="M180" s="2569"/>
      <c r="N180" s="2569"/>
      <c r="O180" s="2569"/>
      <c r="P180" s="2569"/>
      <c r="Q180" s="2569"/>
    </row>
    <row r="181" spans="1:17" s="2110" customFormat="1">
      <c r="B181" s="2569"/>
      <c r="C181" s="2569"/>
      <c r="D181" s="2569"/>
      <c r="E181" s="2569"/>
      <c r="F181" s="2569"/>
      <c r="G181" s="2569"/>
      <c r="H181" s="2569"/>
      <c r="I181" s="2569"/>
      <c r="J181" s="2569"/>
      <c r="K181" s="2569"/>
      <c r="L181" s="2569"/>
      <c r="M181" s="2569"/>
      <c r="N181" s="2569"/>
      <c r="O181" s="2569"/>
      <c r="P181" s="2569"/>
      <c r="Q181" s="2569"/>
    </row>
    <row r="182" spans="1:17" s="2110" customFormat="1">
      <c r="B182" s="2569"/>
      <c r="C182" s="2569"/>
      <c r="D182" s="2569"/>
      <c r="E182" s="2569"/>
      <c r="F182" s="2569"/>
      <c r="G182" s="2569"/>
      <c r="H182" s="2569"/>
      <c r="I182" s="2569"/>
      <c r="J182" s="2569"/>
      <c r="K182" s="2569"/>
      <c r="L182" s="2569"/>
      <c r="M182" s="2569"/>
      <c r="N182" s="2569"/>
      <c r="O182" s="2569"/>
      <c r="P182" s="2569"/>
      <c r="Q182" s="2569"/>
    </row>
    <row r="183" spans="1:17" s="2110" customFormat="1">
      <c r="B183" s="2569"/>
      <c r="C183" s="2569"/>
      <c r="D183" s="2569"/>
      <c r="E183" s="2569"/>
      <c r="F183" s="2569"/>
      <c r="G183" s="2569"/>
      <c r="H183" s="2569"/>
      <c r="I183" s="2569"/>
      <c r="J183" s="2569"/>
      <c r="K183" s="2569"/>
      <c r="L183" s="2569"/>
      <c r="M183" s="2569"/>
      <c r="N183" s="2569"/>
      <c r="O183" s="2569"/>
      <c r="P183" s="2569"/>
      <c r="Q183" s="2569"/>
    </row>
    <row r="184" spans="1:17" s="2110" customFormat="1">
      <c r="B184" s="2569"/>
      <c r="C184" s="2569"/>
      <c r="D184" s="2569"/>
      <c r="E184" s="2569"/>
      <c r="F184" s="2569"/>
      <c r="G184" s="2569"/>
      <c r="H184" s="2569"/>
      <c r="I184" s="2569"/>
      <c r="J184" s="2569"/>
      <c r="K184" s="2569"/>
      <c r="L184" s="2569"/>
      <c r="M184" s="2569"/>
      <c r="N184" s="2569"/>
      <c r="O184" s="2569"/>
      <c r="P184" s="2569"/>
      <c r="Q184" s="2569"/>
    </row>
    <row r="185" spans="1:17" s="2110" customFormat="1">
      <c r="B185" s="2569"/>
      <c r="C185" s="2569"/>
      <c r="D185" s="2569"/>
      <c r="E185" s="2569"/>
      <c r="F185" s="2569"/>
      <c r="G185" s="2569"/>
      <c r="H185" s="2569"/>
      <c r="I185" s="2569"/>
      <c r="J185" s="2569"/>
      <c r="K185" s="2569"/>
      <c r="L185" s="2569"/>
      <c r="M185" s="2569"/>
      <c r="N185" s="2569"/>
      <c r="O185" s="2569"/>
      <c r="P185" s="2569"/>
      <c r="Q185" s="2569"/>
    </row>
    <row r="186" spans="1:17">
      <c r="A186" s="2110"/>
      <c r="B186" s="2569"/>
      <c r="C186" s="2569"/>
      <c r="E186" s="2569"/>
      <c r="F186" s="2569"/>
      <c r="G186" s="2569"/>
    </row>
    <row r="187" spans="1:17">
      <c r="A187" s="2110"/>
      <c r="B187" s="2569"/>
      <c r="C187" s="2569"/>
      <c r="E187" s="2569"/>
      <c r="F187" s="2569"/>
      <c r="G187" s="2569"/>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K26"/>
  <sheetViews>
    <sheetView view="pageBreakPreview" zoomScale="80" zoomScaleNormal="80" workbookViewId="0">
      <selection activeCell="G40" sqref="G40"/>
    </sheetView>
  </sheetViews>
  <sheetFormatPr defaultColWidth="9" defaultRowHeight="13.5"/>
  <cols>
    <col min="1" max="1" width="25" style="2554" customWidth="1"/>
    <col min="2" max="9" width="15.75" style="2554" customWidth="1"/>
    <col min="10" max="16384" width="9" style="2554"/>
  </cols>
  <sheetData>
    <row r="1" spans="1:11" ht="16.5">
      <c r="A1" s="2555" t="s">
        <v>788</v>
      </c>
      <c r="B1" s="2555">
        <f>SUM(B14:B23)</f>
        <v>65221.919999999998</v>
      </c>
      <c r="C1" s="2556"/>
      <c r="D1" s="2556"/>
      <c r="E1" s="2556"/>
      <c r="F1" s="2556"/>
      <c r="G1" s="2557"/>
      <c r="H1" s="2557"/>
      <c r="I1" s="2557"/>
      <c r="J1" s="2557"/>
      <c r="K1" s="2557"/>
    </row>
    <row r="2" spans="1:11" ht="16.5">
      <c r="A2" s="2555" t="s">
        <v>789</v>
      </c>
      <c r="B2" s="2555">
        <f>SUM(C14:C23)</f>
        <v>12590.6</v>
      </c>
      <c r="C2" s="2556"/>
      <c r="D2" s="2556"/>
      <c r="E2" s="2556"/>
      <c r="F2" s="2556"/>
      <c r="G2" s="2557"/>
      <c r="H2" s="2557"/>
      <c r="I2" s="2557"/>
      <c r="J2" s="2557"/>
      <c r="K2" s="2557"/>
    </row>
    <row r="3" spans="1:11" ht="16.5">
      <c r="A3" s="2555" t="s">
        <v>790</v>
      </c>
      <c r="B3" s="2558">
        <f>项目基本情况!D3</f>
        <v>45882</v>
      </c>
      <c r="C3" s="2556"/>
      <c r="D3" s="2556"/>
      <c r="E3" s="2556"/>
      <c r="F3" s="2556"/>
      <c r="G3" s="2557"/>
      <c r="H3" s="2557"/>
      <c r="I3" s="2557"/>
      <c r="J3" s="2557"/>
      <c r="K3" s="2557"/>
    </row>
    <row r="4" spans="1:11" ht="33">
      <c r="A4" s="2555" t="s">
        <v>791</v>
      </c>
      <c r="B4" s="2555" t="s">
        <v>792</v>
      </c>
      <c r="C4" s="2555" t="s">
        <v>793</v>
      </c>
      <c r="D4" s="2555" t="s">
        <v>794</v>
      </c>
      <c r="E4" s="2556"/>
      <c r="F4" s="2557"/>
      <c r="G4" s="2557"/>
      <c r="H4" s="2557"/>
      <c r="I4" s="2557"/>
      <c r="J4" s="2557"/>
      <c r="K4" s="2557"/>
    </row>
    <row r="5" spans="1:11" ht="16.5">
      <c r="A5" s="2555" t="s">
        <v>795</v>
      </c>
      <c r="B5" s="2555">
        <f ca="1">SUM(D14:D23)</f>
        <v>251979</v>
      </c>
      <c r="C5" s="2555" t="e">
        <f ca="1">IF(B5=D14,结果表!H102,ROUND(B5*10000/$B$1,0))</f>
        <v>#DIV/0!</v>
      </c>
      <c r="D5" s="2555">
        <f ca="1">ROUND(B5*10000/$B$2,0)</f>
        <v>200133</v>
      </c>
      <c r="E5" s="2556"/>
      <c r="F5" s="2557"/>
      <c r="G5" s="2557"/>
      <c r="H5" s="2557"/>
      <c r="I5" s="2557"/>
      <c r="J5" s="2557"/>
      <c r="K5" s="2557"/>
    </row>
    <row r="6" spans="1:11" ht="16.5">
      <c r="A6" s="2555" t="s">
        <v>796</v>
      </c>
      <c r="B6" s="2555">
        <f ca="1">SUM(G14:G23)</f>
        <v>251979</v>
      </c>
      <c r="C6" s="2555" t="e">
        <f ca="1">IF(B6=G14,结果表!H108,ROUND(B6*10000/$B$1,0))</f>
        <v>#DIV/0!</v>
      </c>
      <c r="D6" s="2555">
        <f ca="1">ROUND(B6*10000/$B$2,0)</f>
        <v>200133</v>
      </c>
      <c r="E6" s="2556"/>
      <c r="F6" s="2557"/>
      <c r="G6" s="2557"/>
      <c r="H6" s="2557"/>
      <c r="I6" s="2557"/>
      <c r="J6" s="2557"/>
      <c r="K6" s="2557"/>
    </row>
    <row r="7" spans="1:11" ht="16.5">
      <c r="A7" s="2555" t="s">
        <v>797</v>
      </c>
      <c r="B7" s="2555">
        <f>SUM(H14:H23)</f>
        <v>0</v>
      </c>
      <c r="C7" s="2555" t="str">
        <f>IF(B7=H14,结果表!H110,ROUND(B7*10000/$B$1,0))</f>
        <v>——</v>
      </c>
      <c r="D7" s="2555">
        <f>ROUND(B7*10000/$B$2,0)</f>
        <v>0</v>
      </c>
      <c r="E7" s="2556"/>
      <c r="F7" s="2557"/>
      <c r="G7" s="2557"/>
      <c r="H7" s="2557"/>
      <c r="I7" s="2557"/>
      <c r="J7" s="2557"/>
      <c r="K7" s="2557"/>
    </row>
    <row r="8" spans="1:11" ht="16.5">
      <c r="A8" s="2555" t="s">
        <v>377</v>
      </c>
      <c r="B8" s="2555">
        <f>SUM(I14:I23)</f>
        <v>0</v>
      </c>
      <c r="C8" s="2555" t="str">
        <f>IF(B8=I14,结果表!H112,ROUND(B8*10000/$B$1,0))</f>
        <v>——</v>
      </c>
      <c r="D8" s="2555">
        <f>ROUND(B8*10000/$B$2,0)</f>
        <v>0</v>
      </c>
      <c r="E8" s="2556"/>
      <c r="F8" s="2557"/>
      <c r="G8" s="2557"/>
      <c r="H8" s="2557"/>
      <c r="I8" s="2557"/>
      <c r="J8" s="2557"/>
      <c r="K8" s="2557"/>
    </row>
    <row r="9" spans="1:11" ht="16.5">
      <c r="A9" s="2555" t="s">
        <v>798</v>
      </c>
      <c r="B9" s="2559"/>
      <c r="C9" s="2556"/>
      <c r="D9" s="2556"/>
      <c r="E9" s="2556"/>
      <c r="F9" s="2557"/>
      <c r="G9" s="2557"/>
      <c r="H9" s="2557"/>
      <c r="I9" s="2557"/>
      <c r="J9" s="2557"/>
      <c r="K9" s="2557"/>
    </row>
    <row r="10" spans="1:11" ht="16.5">
      <c r="A10" s="2555" t="s">
        <v>799</v>
      </c>
      <c r="B10" s="2555">
        <f>IF(E10="",0,ROUND(B1*(E10*365/G10)/10000,0))</f>
        <v>0</v>
      </c>
      <c r="C10" s="2555" t="s">
        <v>800</v>
      </c>
      <c r="D10" s="2555" t="s">
        <v>799</v>
      </c>
      <c r="E10" s="2560"/>
      <c r="F10" s="2561" t="s">
        <v>801</v>
      </c>
      <c r="G10" s="2562"/>
      <c r="H10" s="2557"/>
      <c r="I10" s="2557"/>
      <c r="J10" s="2557"/>
      <c r="K10" s="2557"/>
    </row>
    <row r="11" spans="1:11" ht="16.5">
      <c r="A11" s="2555" t="s">
        <v>802</v>
      </c>
      <c r="B11" s="2559"/>
      <c r="C11" s="2556"/>
      <c r="D11" s="2556"/>
      <c r="E11" s="2556"/>
      <c r="F11" s="2557"/>
      <c r="G11" s="2557"/>
      <c r="H11" s="2557"/>
      <c r="I11" s="2557"/>
      <c r="J11" s="2557"/>
      <c r="K11" s="2557"/>
    </row>
    <row r="12" spans="1:11" ht="16.5">
      <c r="A12" s="2556"/>
      <c r="B12" s="2556"/>
      <c r="C12" s="2556"/>
      <c r="D12" s="2556"/>
      <c r="E12" s="2556"/>
      <c r="F12" s="2557"/>
      <c r="G12" s="2557"/>
      <c r="H12" s="2557"/>
      <c r="I12" s="2557"/>
      <c r="J12" s="2557"/>
      <c r="K12" s="2557"/>
    </row>
    <row r="13" spans="1:11" ht="33">
      <c r="A13" s="2563" t="s">
        <v>803</v>
      </c>
      <c r="B13" s="2564" t="s">
        <v>788</v>
      </c>
      <c r="C13" s="2564" t="s">
        <v>789</v>
      </c>
      <c r="D13" s="2564" t="s">
        <v>804</v>
      </c>
      <c r="E13" s="2555" t="s">
        <v>793</v>
      </c>
      <c r="F13" s="2555" t="s">
        <v>794</v>
      </c>
      <c r="G13" s="2564" t="s">
        <v>805</v>
      </c>
      <c r="H13" s="2564" t="s">
        <v>806</v>
      </c>
      <c r="I13" s="2564" t="s">
        <v>807</v>
      </c>
      <c r="J13" s="2557"/>
      <c r="K13" s="2557"/>
    </row>
    <row r="14" spans="1:11" ht="16.5">
      <c r="A14" s="2565" t="s">
        <v>808</v>
      </c>
      <c r="B14" s="2566">
        <f>'数据-汇总表'!E3</f>
        <v>65221.919999999998</v>
      </c>
      <c r="C14" s="2566">
        <f>'数据-汇总表'!D3</f>
        <v>12590.6</v>
      </c>
      <c r="D14" s="2566">
        <f ca="1">结果表!G19</f>
        <v>251979</v>
      </c>
      <c r="E14" s="2566">
        <f ca="1">ROUND(D14*10000/B14,0)</f>
        <v>38634</v>
      </c>
      <c r="F14" s="2566">
        <f ca="1">ROUND(D14*10000/C14,0)</f>
        <v>200133</v>
      </c>
      <c r="G14" s="2566">
        <f ca="1">D14</f>
        <v>251979</v>
      </c>
      <c r="H14" s="2566"/>
      <c r="I14" s="2566"/>
      <c r="J14" s="2557"/>
      <c r="K14" s="2557"/>
    </row>
    <row r="15" spans="1:11" ht="16.5">
      <c r="A15" s="2565" t="s">
        <v>809</v>
      </c>
      <c r="B15" s="2565"/>
      <c r="C15" s="2565"/>
      <c r="D15" s="2565"/>
      <c r="E15" s="2566" t="e">
        <f t="shared" ref="E15:E23" si="0">ROUND(D15*10000/B15,0)</f>
        <v>#DIV/0!</v>
      </c>
      <c r="F15" s="2566" t="e">
        <f t="shared" ref="F15:F23" si="1">ROUND(D15*10000/C15,0)</f>
        <v>#DIV/0!</v>
      </c>
      <c r="G15" s="2559"/>
      <c r="H15" s="2559"/>
      <c r="I15" s="2565"/>
      <c r="J15" s="2557"/>
      <c r="K15" s="2557"/>
    </row>
    <row r="16" spans="1:11" ht="16.5">
      <c r="A16" s="2565" t="s">
        <v>810</v>
      </c>
      <c r="B16" s="2565"/>
      <c r="C16" s="2565"/>
      <c r="D16" s="2565"/>
      <c r="E16" s="2566" t="e">
        <f t="shared" si="0"/>
        <v>#DIV/0!</v>
      </c>
      <c r="F16" s="2566" t="e">
        <f t="shared" si="1"/>
        <v>#DIV/0!</v>
      </c>
      <c r="G16" s="2559"/>
      <c r="H16" s="2559"/>
      <c r="I16" s="2565"/>
      <c r="J16" s="2557"/>
      <c r="K16" s="2557"/>
    </row>
    <row r="17" spans="1:11" ht="16.5">
      <c r="A17" s="2565" t="s">
        <v>811</v>
      </c>
      <c r="B17" s="2565"/>
      <c r="C17" s="2565"/>
      <c r="D17" s="2565"/>
      <c r="E17" s="2566" t="e">
        <f t="shared" si="0"/>
        <v>#DIV/0!</v>
      </c>
      <c r="F17" s="2566" t="e">
        <f t="shared" si="1"/>
        <v>#DIV/0!</v>
      </c>
      <c r="G17" s="2559"/>
      <c r="H17" s="2559"/>
      <c r="I17" s="2565"/>
      <c r="J17" s="2557"/>
      <c r="K17" s="2557"/>
    </row>
    <row r="18" spans="1:11" ht="16.5">
      <c r="A18" s="2565" t="s">
        <v>812</v>
      </c>
      <c r="B18" s="2565"/>
      <c r="C18" s="2565"/>
      <c r="D18" s="2565"/>
      <c r="E18" s="2566" t="e">
        <f t="shared" si="0"/>
        <v>#DIV/0!</v>
      </c>
      <c r="F18" s="2566" t="e">
        <f t="shared" si="1"/>
        <v>#DIV/0!</v>
      </c>
      <c r="G18" s="2565"/>
      <c r="H18" s="2565"/>
      <c r="I18" s="2565"/>
      <c r="J18" s="2557"/>
      <c r="K18" s="2557"/>
    </row>
    <row r="19" spans="1:11" ht="16.5">
      <c r="A19" s="2565" t="s">
        <v>813</v>
      </c>
      <c r="B19" s="2565"/>
      <c r="C19" s="2565"/>
      <c r="D19" s="2565"/>
      <c r="E19" s="2566" t="e">
        <f t="shared" si="0"/>
        <v>#DIV/0!</v>
      </c>
      <c r="F19" s="2566" t="e">
        <f t="shared" si="1"/>
        <v>#DIV/0!</v>
      </c>
      <c r="G19" s="2565"/>
      <c r="H19" s="2565"/>
      <c r="I19" s="2565"/>
      <c r="J19" s="2557"/>
      <c r="K19" s="2557"/>
    </row>
    <row r="20" spans="1:11" ht="16.5">
      <c r="A20" s="2565" t="s">
        <v>814</v>
      </c>
      <c r="B20" s="2565"/>
      <c r="C20" s="2565"/>
      <c r="D20" s="2565"/>
      <c r="E20" s="2566" t="e">
        <f t="shared" si="0"/>
        <v>#DIV/0!</v>
      </c>
      <c r="F20" s="2566" t="e">
        <f t="shared" si="1"/>
        <v>#DIV/0!</v>
      </c>
      <c r="G20" s="2565"/>
      <c r="H20" s="2565"/>
      <c r="I20" s="2565"/>
      <c r="J20" s="2557"/>
      <c r="K20" s="2557"/>
    </row>
    <row r="21" spans="1:11" ht="16.5">
      <c r="A21" s="2565" t="s">
        <v>815</v>
      </c>
      <c r="B21" s="2565"/>
      <c r="C21" s="2565"/>
      <c r="D21" s="2565"/>
      <c r="E21" s="2566" t="e">
        <f t="shared" si="0"/>
        <v>#DIV/0!</v>
      </c>
      <c r="F21" s="2566" t="e">
        <f t="shared" si="1"/>
        <v>#DIV/0!</v>
      </c>
      <c r="G21" s="2565"/>
      <c r="H21" s="2565"/>
      <c r="I21" s="2565"/>
      <c r="J21" s="2557"/>
      <c r="K21" s="2557"/>
    </row>
    <row r="22" spans="1:11" ht="16.5">
      <c r="A22" s="2565" t="s">
        <v>816</v>
      </c>
      <c r="B22" s="2565"/>
      <c r="C22" s="2565"/>
      <c r="D22" s="2565"/>
      <c r="E22" s="2566" t="e">
        <f t="shared" si="0"/>
        <v>#DIV/0!</v>
      </c>
      <c r="F22" s="2566" t="e">
        <f t="shared" si="1"/>
        <v>#DIV/0!</v>
      </c>
      <c r="G22" s="2565"/>
      <c r="H22" s="2565"/>
      <c r="I22" s="2565"/>
      <c r="J22" s="2557"/>
      <c r="K22" s="2557"/>
    </row>
    <row r="23" spans="1:11" ht="16.5">
      <c r="A23" s="2565" t="s">
        <v>817</v>
      </c>
      <c r="B23" s="2565"/>
      <c r="C23" s="2565"/>
      <c r="D23" s="2565"/>
      <c r="E23" s="2559" t="e">
        <f t="shared" si="0"/>
        <v>#DIV/0!</v>
      </c>
      <c r="F23" s="2559" t="e">
        <f t="shared" si="1"/>
        <v>#DIV/0!</v>
      </c>
      <c r="G23" s="2565"/>
      <c r="H23" s="2565"/>
      <c r="I23" s="2565"/>
      <c r="J23" s="2557"/>
      <c r="K23" s="2557"/>
    </row>
    <row r="24" spans="1:11">
      <c r="A24" s="2557"/>
      <c r="B24" s="2557"/>
      <c r="C24" s="2557"/>
      <c r="D24" s="2557"/>
      <c r="E24" s="2557"/>
      <c r="F24" s="2557"/>
      <c r="G24" s="2557"/>
      <c r="H24" s="2557"/>
      <c r="I24" s="2557"/>
      <c r="J24" s="2557"/>
      <c r="K24" s="2557"/>
    </row>
    <row r="25" spans="1:11">
      <c r="A25" s="2557"/>
      <c r="B25" s="2557"/>
      <c r="C25" s="2557"/>
      <c r="D25" s="2557"/>
      <c r="E25" s="2557"/>
      <c r="F25" s="2557"/>
      <c r="G25" s="2557"/>
      <c r="H25" s="2557"/>
      <c r="I25" s="2557"/>
      <c r="J25" s="2557"/>
      <c r="K25" s="2557"/>
    </row>
    <row r="26" spans="1:11">
      <c r="A26" s="2557"/>
      <c r="B26" s="2557"/>
      <c r="C26" s="2557"/>
      <c r="D26" s="2557"/>
      <c r="E26" s="2557"/>
      <c r="F26" s="2557"/>
      <c r="G26" s="2557"/>
      <c r="H26" s="2557"/>
      <c r="I26" s="2557"/>
      <c r="J26" s="2557"/>
      <c r="K26" s="2557"/>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AJ512"/>
  <sheetViews>
    <sheetView tabSelected="1" view="pageBreakPreview" topLeftCell="A13" zoomScaleNormal="100" workbookViewId="0">
      <selection activeCell="D17" sqref="D17"/>
    </sheetView>
  </sheetViews>
  <sheetFormatPr defaultColWidth="12.625" defaultRowHeight="21.75" customHeight="1"/>
  <cols>
    <col min="1" max="2" width="12.625" style="2288"/>
    <col min="3" max="4" width="12.625" style="2288" customWidth="1"/>
    <col min="5" max="9" width="12.625" style="2288"/>
    <col min="10" max="11" width="12.625" style="1192" customWidth="1"/>
    <col min="12" max="12" width="12.625" style="1192"/>
    <col min="13" max="13" width="14.125" style="1192" customWidth="1"/>
    <col min="14" max="26" width="12.625" style="1192"/>
    <col min="27" max="35" width="12.625" style="2287"/>
    <col min="36" max="16384" width="12.625" style="2288"/>
  </cols>
  <sheetData>
    <row r="1" spans="1:12" ht="21.75" customHeight="1">
      <c r="A1" s="2289" t="s">
        <v>818</v>
      </c>
      <c r="B1" s="1075"/>
      <c r="C1" s="2290"/>
      <c r="D1" s="1075"/>
      <c r="E1" s="1075"/>
      <c r="F1" s="2291" t="s">
        <v>819</v>
      </c>
      <c r="G1" s="2292"/>
      <c r="H1" s="2291" t="str">
        <f>IF(G1="现房","——","估价对象范围")</f>
        <v>估价对象范围</v>
      </c>
      <c r="I1" s="2419"/>
    </row>
    <row r="2" spans="1:12" ht="21.75" customHeight="1">
      <c r="A2" s="3407" t="str">
        <f>项目基本情况!S2</f>
        <v>北京市房地产</v>
      </c>
      <c r="B2" s="3408"/>
      <c r="C2" s="3408"/>
      <c r="D2" s="3408"/>
      <c r="E2" s="3408"/>
      <c r="F2" s="3408"/>
      <c r="G2" s="3408"/>
      <c r="H2" s="3408"/>
      <c r="I2" s="3409"/>
    </row>
    <row r="3" spans="1:12" ht="12.75">
      <c r="A3" s="3410" t="s">
        <v>820</v>
      </c>
      <c r="B3" s="3411"/>
      <c r="C3" s="3411"/>
      <c r="D3" s="3411"/>
      <c r="E3" s="3411"/>
      <c r="F3" s="3411"/>
      <c r="G3" s="3411"/>
      <c r="H3" s="3411"/>
      <c r="I3" s="3411"/>
    </row>
    <row r="4" spans="1:12" ht="14.25">
      <c r="A4" s="2293" t="s">
        <v>821</v>
      </c>
      <c r="B4" s="2294" t="s">
        <v>822</v>
      </c>
      <c r="C4" s="2295" t="s">
        <v>823</v>
      </c>
      <c r="D4" s="2295" t="s">
        <v>294</v>
      </c>
      <c r="E4" s="3412" t="s">
        <v>824</v>
      </c>
      <c r="F4" s="3413"/>
      <c r="G4" s="3413"/>
      <c r="H4" s="3413"/>
      <c r="I4" s="3414"/>
      <c r="K4" s="972" t="str">
        <f>IF(ISNUMBER(FIND("比较法",结果表!C4)),"比较法",IF(ISNUMBER(FIND("成本法",结果表!C4)),"成本法",IF(ISNUMBER(FIND("假设开发法",结果表!C4)),"假设开发法",IF(ISNUMBER(FIND("收益法",结果表!C4)),"收益法","基准地价系数修正法"))))</f>
        <v>比较法</v>
      </c>
      <c r="L4" s="972" t="str">
        <f>IF(ISNUMBER(FIND("比较法",结果表!D4)),"比较法",IF(ISNUMBER(FIND("成本法",结果表!D4)),"成本法",IF(ISNUMBER(FIND("假设开发法",结果表!D4)),"假设开发法",IF(ISNUMBER(FIND("收益法",结果表!D4)),"收益法","基准地价系数修正法"))))</f>
        <v>收益法</v>
      </c>
    </row>
    <row r="5" spans="1:12" ht="12.75">
      <c r="A5" s="3334" t="s">
        <v>825</v>
      </c>
      <c r="B5" s="3342">
        <v>25</v>
      </c>
      <c r="C5" s="3424"/>
      <c r="D5" s="3345"/>
      <c r="E5" s="968" t="s">
        <v>826</v>
      </c>
      <c r="F5" s="2299"/>
      <c r="G5" s="2299"/>
      <c r="H5" s="2299"/>
      <c r="I5" s="1047"/>
    </row>
    <row r="6" spans="1:12" ht="12.75">
      <c r="A6" s="3334"/>
      <c r="B6" s="3342"/>
      <c r="C6" s="3425"/>
      <c r="D6" s="3345"/>
      <c r="E6" s="968" t="s">
        <v>827</v>
      </c>
      <c r="F6" s="2299"/>
      <c r="G6" s="2299"/>
      <c r="H6" s="2299"/>
      <c r="I6" s="1047"/>
    </row>
    <row r="7" spans="1:12" ht="12.75">
      <c r="A7" s="3334"/>
      <c r="B7" s="3342"/>
      <c r="C7" s="3426"/>
      <c r="D7" s="3345"/>
      <c r="E7" s="968" t="s">
        <v>828</v>
      </c>
      <c r="F7" s="2299"/>
      <c r="G7" s="2299"/>
      <c r="H7" s="2299"/>
      <c r="I7" s="1047"/>
    </row>
    <row r="8" spans="1:12" ht="12.75">
      <c r="A8" s="3334" t="s">
        <v>829</v>
      </c>
      <c r="B8" s="3342">
        <v>15</v>
      </c>
      <c r="C8" s="3424"/>
      <c r="D8" s="3345"/>
      <c r="E8" s="968" t="s">
        <v>830</v>
      </c>
      <c r="F8" s="2299"/>
      <c r="G8" s="2299"/>
      <c r="H8" s="2299"/>
      <c r="I8" s="1047"/>
    </row>
    <row r="9" spans="1:12" ht="12.75">
      <c r="A9" s="3334"/>
      <c r="B9" s="3342"/>
      <c r="C9" s="3426"/>
      <c r="D9" s="3345"/>
      <c r="E9" s="968" t="s">
        <v>831</v>
      </c>
      <c r="F9" s="2299"/>
      <c r="G9" s="2299"/>
      <c r="H9" s="2299"/>
      <c r="I9" s="1047"/>
    </row>
    <row r="10" spans="1:12" ht="12.75">
      <c r="A10" s="3334" t="s">
        <v>832</v>
      </c>
      <c r="B10" s="3342">
        <v>15</v>
      </c>
      <c r="C10" s="3424"/>
      <c r="D10" s="3345"/>
      <c r="E10" s="968" t="s">
        <v>833</v>
      </c>
      <c r="F10" s="2299"/>
      <c r="G10" s="2299"/>
      <c r="H10" s="2299"/>
      <c r="I10" s="1047"/>
    </row>
    <row r="11" spans="1:12" ht="12.75">
      <c r="A11" s="3334"/>
      <c r="B11" s="3342"/>
      <c r="C11" s="3426"/>
      <c r="D11" s="3345"/>
      <c r="E11" s="968" t="s">
        <v>834</v>
      </c>
      <c r="F11" s="2299"/>
      <c r="G11" s="2299"/>
      <c r="H11" s="2299"/>
      <c r="I11" s="1047"/>
    </row>
    <row r="12" spans="1:12" ht="12.75">
      <c r="A12" s="3334" t="s">
        <v>835</v>
      </c>
      <c r="B12" s="3342">
        <v>15</v>
      </c>
      <c r="C12" s="3424"/>
      <c r="D12" s="3345"/>
      <c r="E12" s="968" t="s">
        <v>836</v>
      </c>
      <c r="F12" s="2299"/>
      <c r="G12" s="2299"/>
      <c r="H12" s="2299"/>
      <c r="I12" s="1047"/>
    </row>
    <row r="13" spans="1:12" ht="12.75">
      <c r="A13" s="3334"/>
      <c r="B13" s="3342"/>
      <c r="C13" s="3426"/>
      <c r="D13" s="3345"/>
      <c r="E13" s="968" t="s">
        <v>837</v>
      </c>
      <c r="F13" s="2299"/>
      <c r="G13" s="2299"/>
      <c r="H13" s="2299"/>
      <c r="I13" s="1047"/>
    </row>
    <row r="14" spans="1:12" ht="12.75">
      <c r="A14" s="3334" t="s">
        <v>838</v>
      </c>
      <c r="B14" s="3342">
        <v>30</v>
      </c>
      <c r="C14" s="3424">
        <v>6</v>
      </c>
      <c r="D14" s="3345">
        <v>4</v>
      </c>
      <c r="E14" s="968" t="s">
        <v>839</v>
      </c>
      <c r="F14" s="2299"/>
      <c r="G14" s="2299"/>
      <c r="H14" s="2299"/>
      <c r="I14" s="1047"/>
    </row>
    <row r="15" spans="1:12" ht="12.75">
      <c r="A15" s="3334"/>
      <c r="B15" s="3342"/>
      <c r="C15" s="3425"/>
      <c r="D15" s="3345"/>
      <c r="E15" s="968" t="s">
        <v>840</v>
      </c>
      <c r="F15" s="2299"/>
      <c r="G15" s="2299"/>
      <c r="H15" s="2299"/>
      <c r="I15" s="1047"/>
    </row>
    <row r="16" spans="1:12" ht="12.75">
      <c r="A16" s="3334"/>
      <c r="B16" s="3342"/>
      <c r="C16" s="3426"/>
      <c r="D16" s="3345"/>
      <c r="E16" s="968" t="s">
        <v>841</v>
      </c>
      <c r="F16" s="2299"/>
      <c r="G16" s="2299"/>
      <c r="H16" s="2299"/>
      <c r="I16" s="1047"/>
    </row>
    <row r="17" spans="1:36" ht="15">
      <c r="A17" s="2300" t="s">
        <v>842</v>
      </c>
      <c r="B17" s="2301"/>
      <c r="C17" s="2302">
        <f>SUM(C5:C16)</f>
        <v>6</v>
      </c>
      <c r="D17" s="2302">
        <f>SUM(D5:D16)</f>
        <v>4</v>
      </c>
      <c r="E17" s="1006"/>
      <c r="F17" s="1006"/>
      <c r="G17" s="1006"/>
      <c r="H17" s="1006"/>
      <c r="I17" s="1006"/>
      <c r="K17" s="925"/>
      <c r="L17" s="925" t="s">
        <v>843</v>
      </c>
      <c r="M17" s="925" t="s">
        <v>844</v>
      </c>
    </row>
    <row r="18" spans="1:36" ht="31.9" customHeight="1">
      <c r="A18" s="2303" t="s">
        <v>845</v>
      </c>
      <c r="B18" s="2304"/>
      <c r="C18" s="2305">
        <f>ROUND(C17/SUM(C17:D17),2)</f>
        <v>0.6</v>
      </c>
      <c r="D18" s="2305">
        <f>1-C18</f>
        <v>0.4</v>
      </c>
      <c r="E18" s="3415" t="s">
        <v>846</v>
      </c>
      <c r="F18" s="3416"/>
      <c r="G18" s="3416"/>
      <c r="H18" s="3416"/>
      <c r="I18" s="3416"/>
      <c r="K18" s="925" t="s">
        <v>508</v>
      </c>
      <c r="L18" s="925">
        <f>IF(C1="",'数据-汇总表'!E3,SUMIF(项目类型,C1,'数据-汇总表'!E17:E26)+SUMIF(项目类型,C1,'数据-汇总表'!I17:I26))</f>
        <v>65221.919999999998</v>
      </c>
      <c r="M18" s="925">
        <f>IF(C1="",'数据-汇总表'!E3,SUMIF(项目类型,C1,'数据-汇总表'!E17:E26))</f>
        <v>65221.919999999998</v>
      </c>
    </row>
    <row r="19" spans="1:36" ht="15">
      <c r="A19" s="1521" t="s">
        <v>847</v>
      </c>
      <c r="B19" s="2306" t="s">
        <v>848</v>
      </c>
      <c r="C19" s="2307">
        <f ca="1">SUMIF(INDIRECT("'"&amp;C4&amp;"'"&amp;"!A:A"),结果表!B19,INDIRECT("'"&amp;C4&amp;"'"&amp;"!B:B"))</f>
        <v>278550</v>
      </c>
      <c r="D19" s="1637">
        <f ca="1">SUMIF(INDIRECT("'"&amp;D4&amp;"'"&amp;"!A:A"),结果表!B19,INDIRECT("'"&amp;D4&amp;"'"&amp;"!B:B"))</f>
        <v>212122</v>
      </c>
      <c r="E19" s="1521" t="s">
        <v>849</v>
      </c>
      <c r="F19" s="2306" t="s">
        <v>848</v>
      </c>
      <c r="G19" s="2308">
        <f ca="1">ROUND(C19*$C$18+D19*$D$18,0)</f>
        <v>251979</v>
      </c>
      <c r="H19" s="2309" t="s">
        <v>850</v>
      </c>
      <c r="I19" s="1006"/>
      <c r="K19" s="925" t="s">
        <v>512</v>
      </c>
      <c r="L19" s="925">
        <f>IF(C1="",'数据-汇总表'!D3,SUMIF(项目类型,C1,'数据-汇总表'!D17:D26)+SUMIF(项目类型,C1,'数据-汇总表'!H17:H27))</f>
        <v>12590.6</v>
      </c>
      <c r="M19" s="925">
        <f>IF(C1="",'数据-汇总表'!D3,SUMIF(项目类型,C1,'数据-汇总表'!D17:D26))</f>
        <v>12590.6</v>
      </c>
    </row>
    <row r="20" spans="1:36" ht="15">
      <c r="A20" s="2310"/>
      <c r="B20" s="2311" t="s">
        <v>851</v>
      </c>
      <c r="C20" s="1877">
        <f ca="1">SUMIF(INDIRECT("'"&amp;C4&amp;"'"&amp;"!A:A"),结果表!B20,INDIRECT("'"&amp;C4&amp;"'"&amp;"!B:B"))</f>
        <v>42708</v>
      </c>
      <c r="D20" s="1880">
        <f ca="1">SUMIF(INDIRECT("'"&amp;D4&amp;"'"&amp;"!A:A"),结果表!B20,INDIRECT("'"&amp;D4&amp;"'"&amp;"!B:B"))</f>
        <v>32523</v>
      </c>
      <c r="E20" s="2310"/>
      <c r="F20" s="2311" t="s">
        <v>851</v>
      </c>
      <c r="G20" s="2312">
        <f ca="1">ROUND(C20*$C$18+D20*$D$18,0)</f>
        <v>38634</v>
      </c>
      <c r="H20" s="1084" t="s">
        <v>852</v>
      </c>
      <c r="I20" s="1006"/>
    </row>
    <row r="21" spans="1:36" ht="15" customHeight="1">
      <c r="A21" s="1527"/>
      <c r="B21" s="2313" t="s">
        <v>853</v>
      </c>
      <c r="C21" s="2314">
        <f ca="1">ROUND(C19*10000/L19,0)</f>
        <v>221236</v>
      </c>
      <c r="D21" s="2315">
        <f ca="1">ROUND(D19*10000/L19,0)</f>
        <v>168476</v>
      </c>
      <c r="E21" s="1527"/>
      <c r="F21" s="2313" t="s">
        <v>853</v>
      </c>
      <c r="G21" s="2316">
        <f ca="1">ROUND(G19*10000/L19,0)</f>
        <v>200133</v>
      </c>
      <c r="H21" s="2317" t="s">
        <v>852</v>
      </c>
      <c r="I21" s="1006"/>
    </row>
    <row r="22" spans="1:36" ht="14.25">
      <c r="A22" s="2318" t="s">
        <v>854</v>
      </c>
      <c r="B22" s="2319"/>
      <c r="C22" s="2320"/>
      <c r="D22" s="2321">
        <f ca="1">IF(C19&lt;D19,D19/C19-1,C19/D19-1)</f>
        <v>0.31315940826505506</v>
      </c>
      <c r="E22" s="1006"/>
      <c r="F22" s="1006"/>
      <c r="G22" s="1006"/>
      <c r="H22" s="1006"/>
      <c r="I22" s="1006"/>
    </row>
    <row r="23" spans="1:36" ht="12.75">
      <c r="A23" s="1075"/>
      <c r="B23" s="1075"/>
      <c r="C23" s="1075"/>
      <c r="D23" s="1075"/>
      <c r="E23" s="1006"/>
      <c r="F23" s="1006"/>
      <c r="G23" s="1006"/>
      <c r="H23" s="1006"/>
      <c r="I23" s="1006"/>
    </row>
    <row r="24" spans="1:36" ht="14.25">
      <c r="A24" s="3335" t="s">
        <v>855</v>
      </c>
      <c r="B24" s="2306" t="s">
        <v>848</v>
      </c>
      <c r="C24" s="2308">
        <f>IF(B30=0,0,D30)</f>
        <v>0</v>
      </c>
      <c r="D24" s="2322"/>
      <c r="E24" s="1006"/>
      <c r="F24" s="1006"/>
      <c r="G24" s="1006"/>
      <c r="H24" s="1006"/>
      <c r="I24" s="1006"/>
    </row>
    <row r="25" spans="1:36" ht="14.25">
      <c r="A25" s="3336"/>
      <c r="B25" s="2311" t="s">
        <v>851</v>
      </c>
      <c r="C25" s="2323">
        <f>IF(B30=0,0,C30)</f>
        <v>0</v>
      </c>
      <c r="D25" s="2324"/>
      <c r="E25" s="1006"/>
      <c r="F25" s="1006"/>
      <c r="G25" s="1006"/>
      <c r="H25" s="1006"/>
      <c r="I25" s="1006"/>
    </row>
    <row r="26" spans="1:36" ht="13.5" customHeight="1">
      <c r="A26" s="2325" t="s">
        <v>856</v>
      </c>
      <c r="B26" s="2326" t="s">
        <v>857</v>
      </c>
      <c r="C26" s="2326" t="s">
        <v>858</v>
      </c>
      <c r="D26" s="2327" t="s">
        <v>859</v>
      </c>
      <c r="E26" s="1006"/>
      <c r="F26" s="1006"/>
      <c r="G26" s="1006"/>
      <c r="H26" s="1006"/>
      <c r="I26" s="1006"/>
    </row>
    <row r="27" spans="1:36" ht="14.25">
      <c r="A27" s="2325"/>
      <c r="B27" s="2326">
        <v>0</v>
      </c>
      <c r="C27" s="2326">
        <v>0</v>
      </c>
      <c r="D27" s="2327">
        <f>ROUND(C27*B27/10000,0)</f>
        <v>0</v>
      </c>
      <c r="E27" s="1006"/>
      <c r="F27" s="1006"/>
      <c r="G27" s="1006"/>
      <c r="H27" s="1006"/>
      <c r="I27" s="1006"/>
    </row>
    <row r="28" spans="1:36" ht="14.25">
      <c r="A28" s="2325"/>
      <c r="B28" s="2326"/>
      <c r="C28" s="2326"/>
      <c r="D28" s="2327"/>
      <c r="E28" s="1006"/>
      <c r="F28" s="1006"/>
      <c r="G28" s="1006"/>
      <c r="H28" s="1006"/>
      <c r="I28" s="1006"/>
    </row>
    <row r="29" spans="1:36" ht="14.25">
      <c r="A29" s="2325"/>
      <c r="B29" s="2326"/>
      <c r="C29" s="2326"/>
      <c r="D29" s="2327"/>
      <c r="E29" s="1006"/>
      <c r="F29" s="1006"/>
      <c r="G29" s="1006"/>
      <c r="H29" s="1006"/>
      <c r="I29" s="1006"/>
    </row>
    <row r="30" spans="1:36" ht="14.25">
      <c r="A30" s="2326" t="s">
        <v>860</v>
      </c>
      <c r="B30" s="2326"/>
      <c r="C30" s="2326"/>
      <c r="D30" s="2326"/>
      <c r="E30" s="2328" t="s">
        <v>861</v>
      </c>
      <c r="F30" s="1006"/>
      <c r="G30" s="1006"/>
      <c r="H30" s="1006"/>
      <c r="I30" s="1006"/>
    </row>
    <row r="31" spans="1:36" s="2286" customFormat="1" ht="26.45" customHeight="1">
      <c r="A31" s="2329"/>
      <c r="B31" s="2330"/>
      <c r="C31" s="2330"/>
      <c r="D31" s="2330"/>
      <c r="E31" s="2330"/>
      <c r="F31" s="2330"/>
      <c r="G31" s="2330"/>
      <c r="H31" s="2330"/>
      <c r="I31" s="2421" t="s">
        <v>862</v>
      </c>
      <c r="J31" s="2422"/>
      <c r="K31" s="2423"/>
      <c r="L31" s="2423"/>
      <c r="M31" s="2423"/>
      <c r="N31" s="2423"/>
      <c r="O31" s="2423"/>
      <c r="P31" s="2423"/>
      <c r="Q31" s="2423"/>
      <c r="R31" s="2423"/>
      <c r="S31" s="2423"/>
      <c r="T31" s="2423"/>
      <c r="U31" s="2423"/>
      <c r="V31" s="2423"/>
      <c r="W31" s="2423"/>
      <c r="X31" s="2423"/>
      <c r="Y31" s="2423"/>
      <c r="Z31" s="2423"/>
      <c r="AA31" s="2423"/>
      <c r="AB31" s="2451"/>
      <c r="AC31" s="2451"/>
      <c r="AD31" s="2451"/>
      <c r="AE31" s="2451"/>
      <c r="AF31" s="2451"/>
      <c r="AG31" s="2451"/>
      <c r="AH31" s="2451"/>
      <c r="AI31" s="2451"/>
      <c r="AJ31" s="2451"/>
    </row>
    <row r="32" spans="1:36" ht="15">
      <c r="A32" s="2331" t="s">
        <v>863</v>
      </c>
      <c r="B32" s="2332"/>
      <c r="C32" s="2333">
        <f ca="1">IF(D32="总价",G19-C24,G20-C25)</f>
        <v>38634</v>
      </c>
      <c r="D32" s="2334"/>
      <c r="E32" s="1006"/>
      <c r="F32" s="1006"/>
      <c r="G32" s="1006"/>
      <c r="H32" s="1006"/>
      <c r="I32" s="1006"/>
    </row>
    <row r="33" spans="1:15" ht="15">
      <c r="A33" s="2126" t="s">
        <v>864</v>
      </c>
      <c r="B33" s="968"/>
      <c r="C33" s="2335"/>
      <c r="D33" s="2336"/>
      <c r="E33" s="2337" t="s">
        <v>865</v>
      </c>
      <c r="F33" s="2338" t="str">
        <f>IF(D32="楼面单价","取值（单价）","取值（总价）")</f>
        <v>取值（总价）</v>
      </c>
      <c r="G33" s="1006"/>
      <c r="H33" s="1006"/>
      <c r="I33" s="1006"/>
    </row>
    <row r="34" spans="1:15" ht="15">
      <c r="A34" s="2339"/>
      <c r="B34" s="2340" t="s">
        <v>866</v>
      </c>
      <c r="C34" s="2341" t="e">
        <f ca="1">IF(C33="自定义",F34,C32-C35)</f>
        <v>#REF!</v>
      </c>
      <c r="D34" s="2342" t="e">
        <f ca="1">IF(C33="自定义",ROUND(C34/C32,3),IF(C33="收益比率",SUMIF(INDIRECT("'"&amp;D33&amp;"'"&amp;"!b:b"),"土地收益比率",INDIRECT("'"&amp;D33&amp;"'"&amp;"!c:c")),SUMIF(INDIRECT("'"&amp;D33&amp;"'"&amp;"!b:b"),"土地成本比率",INDIRECT("'"&amp;D33&amp;"'"&amp;"!c:c"))))</f>
        <v>#REF!</v>
      </c>
      <c r="E34" s="2343" t="s">
        <v>867</v>
      </c>
      <c r="F34" s="2344"/>
      <c r="G34" s="1006"/>
      <c r="H34" s="1006"/>
      <c r="I34" s="1006"/>
    </row>
    <row r="35" spans="1:15" ht="15">
      <c r="A35" s="2345"/>
      <c r="B35" s="2346" t="s">
        <v>868</v>
      </c>
      <c r="C35" s="2347" t="e">
        <f ca="1">IF(C33="自定义",F35,ROUND(C32*D35,0))</f>
        <v>#REF!</v>
      </c>
      <c r="D35" s="2348" t="e">
        <f ca="1">IF(C33="自定义",ROUND(C35/C32,3),IF(C33="收益比率",SUMIF(INDIRECT("'"&amp;D33&amp;"'"&amp;"!b:b"),"建筑物收益比率",INDIRECT("'"&amp;D33&amp;"'"&amp;"!c:c")),SUMIF(INDIRECT("'"&amp;D33&amp;"'"&amp;"!b:b"),"建筑物成本比率",INDIRECT("'"&amp;D33&amp;"'"&amp;"!c:c"))))</f>
        <v>#REF!</v>
      </c>
      <c r="E35" s="2349" t="s">
        <v>869</v>
      </c>
      <c r="F35" s="2350"/>
      <c r="G35" s="1006"/>
      <c r="H35" s="1006"/>
      <c r="I35" s="1006"/>
    </row>
    <row r="36" spans="1:15" ht="15">
      <c r="A36" s="3337" t="s">
        <v>870</v>
      </c>
      <c r="B36" s="2351" t="s">
        <v>871</v>
      </c>
      <c r="C36" s="2352"/>
      <c r="D36" s="2353"/>
      <c r="E36" s="2354"/>
      <c r="F36" s="2355"/>
      <c r="G36" s="1006"/>
      <c r="H36" s="1006"/>
      <c r="I36" s="1006"/>
    </row>
    <row r="37" spans="1:15" ht="15">
      <c r="A37" s="3338"/>
      <c r="B37" s="2356" t="s">
        <v>872</v>
      </c>
      <c r="C37" s="2357"/>
      <c r="D37" s="2358"/>
      <c r="E37" s="2358"/>
      <c r="F37" s="2355"/>
      <c r="G37" s="1006"/>
      <c r="H37" s="1006"/>
      <c r="I37" s="1006"/>
    </row>
    <row r="38" spans="1:15" ht="15">
      <c r="A38" s="3339"/>
      <c r="B38" s="2359" t="s">
        <v>873</v>
      </c>
      <c r="C38" s="2360"/>
      <c r="D38" s="2361" t="s">
        <v>874</v>
      </c>
      <c r="E38" s="2358"/>
      <c r="F38" s="2355"/>
      <c r="G38" s="1006"/>
      <c r="H38" s="1006"/>
      <c r="I38" s="1006"/>
    </row>
    <row r="39" spans="1:15" ht="15">
      <c r="A39" s="2310" t="s">
        <v>875</v>
      </c>
      <c r="B39" s="2362" t="s">
        <v>857</v>
      </c>
      <c r="C39" s="2363" t="s">
        <v>858</v>
      </c>
      <c r="D39" s="2363" t="s">
        <v>876</v>
      </c>
      <c r="E39" s="2364" t="s">
        <v>859</v>
      </c>
      <c r="F39" s="2355"/>
      <c r="G39" s="1006"/>
      <c r="H39" s="1006"/>
      <c r="I39" s="1006"/>
    </row>
    <row r="40" spans="1:15" ht="14.25">
      <c r="A40" s="2365" t="s">
        <v>877</v>
      </c>
      <c r="B40" s="2366"/>
      <c r="C40" s="1243"/>
      <c r="D40" s="1243"/>
      <c r="E40" s="2367"/>
      <c r="F40" s="2355"/>
      <c r="G40" s="1006"/>
      <c r="H40" s="1006"/>
      <c r="I40" s="1006"/>
    </row>
    <row r="41" spans="1:15" ht="14.25">
      <c r="A41" s="2365" t="s">
        <v>878</v>
      </c>
      <c r="B41" s="2366"/>
      <c r="C41" s="1243"/>
      <c r="D41" s="1243"/>
      <c r="E41" s="2367"/>
      <c r="F41" s="2355"/>
      <c r="G41" s="1006"/>
      <c r="H41" s="1006"/>
      <c r="I41" s="1006"/>
    </row>
    <row r="42" spans="1:15" ht="14.25">
      <c r="A42" s="2368"/>
      <c r="B42" s="2369"/>
      <c r="C42" s="2370"/>
      <c r="D42" s="2370"/>
      <c r="E42" s="2350"/>
      <c r="F42" s="2355"/>
      <c r="G42" s="1006"/>
      <c r="H42" s="1006"/>
      <c r="I42" s="1006"/>
    </row>
    <row r="43" spans="1:15" ht="12.75">
      <c r="A43" s="2371"/>
      <c r="B43" s="2371"/>
      <c r="C43" s="2371"/>
      <c r="D43" s="2371"/>
      <c r="E43" s="2371"/>
      <c r="F43" s="2372"/>
      <c r="G43" s="2372"/>
      <c r="H43" s="2372"/>
      <c r="I43" s="2424"/>
    </row>
    <row r="44" spans="1:15" ht="18.75">
      <c r="A44" s="2373" t="s">
        <v>879</v>
      </c>
      <c r="B44" s="2374"/>
      <c r="C44" s="2374"/>
      <c r="D44" s="2375"/>
      <c r="E44" s="2375"/>
      <c r="F44" s="2376"/>
      <c r="G44" s="2376"/>
      <c r="H44" s="2376"/>
      <c r="I44" s="2376"/>
      <c r="J44" s="851" t="s">
        <v>880</v>
      </c>
      <c r="K44" s="681"/>
      <c r="L44" s="681"/>
      <c r="M44" s="681"/>
      <c r="N44" s="681"/>
      <c r="O44" s="681"/>
    </row>
    <row r="45" spans="1:15" ht="14.25" customHeight="1">
      <c r="A45" s="3417" t="s">
        <v>881</v>
      </c>
      <c r="B45" s="3418"/>
      <c r="C45" s="3419"/>
      <c r="D45" s="924" t="e">
        <f ca="1">ROUND(H101*F45,0)</f>
        <v>#REF!</v>
      </c>
      <c r="E45" s="2377" t="s">
        <v>882</v>
      </c>
      <c r="F45" s="2378">
        <v>1</v>
      </c>
      <c r="G45" s="936" t="s">
        <v>883</v>
      </c>
      <c r="H45" s="1006"/>
      <c r="I45" s="1006"/>
      <c r="J45" s="3406" t="s">
        <v>884</v>
      </c>
      <c r="K45" s="3406"/>
      <c r="L45" s="3406"/>
      <c r="M45" s="3406"/>
      <c r="N45" s="3406"/>
      <c r="O45" s="3406"/>
    </row>
    <row r="46" spans="1:15" ht="14.25" customHeight="1">
      <c r="A46" s="3420" t="s">
        <v>885</v>
      </c>
      <c r="B46" s="3421"/>
      <c r="C46" s="3421"/>
      <c r="D46" s="3421"/>
      <c r="E46" s="3421"/>
      <c r="F46" s="3421"/>
      <c r="G46" s="3422"/>
      <c r="H46" s="2379"/>
      <c r="I46" s="1231"/>
      <c r="J46" s="580">
        <v>1</v>
      </c>
      <c r="K46" s="3399" t="s">
        <v>886</v>
      </c>
      <c r="L46" s="3399"/>
      <c r="M46" s="3423"/>
      <c r="N46" s="3423"/>
      <c r="O46" s="3423"/>
    </row>
    <row r="47" spans="1:15" ht="12" customHeight="1">
      <c r="A47" s="2380" t="s">
        <v>887</v>
      </c>
      <c r="B47" s="2381"/>
      <c r="C47" s="2382"/>
      <c r="D47" s="979" t="s">
        <v>888</v>
      </c>
      <c r="E47" s="925" t="s">
        <v>889</v>
      </c>
      <c r="F47" s="2383" t="s">
        <v>890</v>
      </c>
      <c r="G47" s="2384" t="s">
        <v>891</v>
      </c>
      <c r="H47" s="2385"/>
      <c r="I47" s="1231"/>
      <c r="J47" s="580">
        <v>2</v>
      </c>
      <c r="K47" s="3399" t="s">
        <v>892</v>
      </c>
      <c r="L47" s="3399"/>
      <c r="M47" s="3403">
        <f>'数据-取费表'!B2</f>
        <v>45882</v>
      </c>
      <c r="N47" s="3403"/>
      <c r="O47" s="3403"/>
    </row>
    <row r="48" spans="1:15" ht="25.5">
      <c r="A48" s="3404" t="s">
        <v>893</v>
      </c>
      <c r="B48" s="3387"/>
      <c r="C48" s="3387"/>
      <c r="D48" s="1082" t="b">
        <f>IF(H48="情况1",0,IF(H48="情况2",D52,IF(H48="情况3",D53,IF(H48="情况4",D54))))</f>
        <v>0</v>
      </c>
      <c r="E48" s="983" t="str">
        <f>IF(H48="情况4","(销售额-原购置价)×税（费）率","销售额×税（费）率")</f>
        <v>销售额×税（费）率</v>
      </c>
      <c r="F48" s="2387">
        <f>IF(H48="情况1","免征",'数据-取费表'!B41)</f>
        <v>5.6000000000000001E-2</v>
      </c>
      <c r="G48" s="2388" t="s">
        <v>894</v>
      </c>
      <c r="H48" s="2389"/>
      <c r="I48" s="2379"/>
      <c r="J48" s="580">
        <v>3</v>
      </c>
      <c r="K48" s="3399" t="s">
        <v>895</v>
      </c>
      <c r="L48" s="3399"/>
      <c r="M48" s="3405" t="e">
        <f ca="1">H101</f>
        <v>#REF!</v>
      </c>
      <c r="N48" s="3405"/>
      <c r="O48" s="3405"/>
    </row>
    <row r="49" spans="1:35" ht="25.5" customHeight="1">
      <c r="A49" s="2386" t="s">
        <v>896</v>
      </c>
      <c r="B49" s="3372" t="s">
        <v>897</v>
      </c>
      <c r="C49" s="3372"/>
      <c r="D49" s="2390">
        <v>0</v>
      </c>
      <c r="E49" s="989" t="s">
        <v>898</v>
      </c>
      <c r="F49" s="2391" t="s">
        <v>124</v>
      </c>
      <c r="G49" s="3400"/>
      <c r="H49" s="2392" t="s">
        <v>899</v>
      </c>
      <c r="I49" s="2426"/>
      <c r="J49" s="580">
        <v>4</v>
      </c>
      <c r="K49" s="3399" t="str">
        <f>IF(项目基本情况!E8="房地产抵押价值","房地产抵押价值","抵押担保权已注销时的房地产抵押价值")</f>
        <v>房地产抵押价值</v>
      </c>
      <c r="L49" s="3399"/>
      <c r="M49" s="3405" t="str">
        <f ca="1">IF(项目基本情况!E8="房地产抵押价值",H107,H109)</f>
        <v>——</v>
      </c>
      <c r="N49" s="3405"/>
      <c r="O49" s="3405"/>
    </row>
    <row r="50" spans="1:35" ht="25.5" customHeight="1">
      <c r="A50" s="2393"/>
      <c r="B50" s="3372" t="s">
        <v>900</v>
      </c>
      <c r="C50" s="3372"/>
      <c r="D50" s="2394"/>
      <c r="E50" s="1004"/>
      <c r="F50" s="2391"/>
      <c r="G50" s="3401"/>
      <c r="H50" s="2395" t="s">
        <v>901</v>
      </c>
      <c r="I50" s="2426"/>
      <c r="J50" s="3406" t="s">
        <v>902</v>
      </c>
      <c r="K50" s="3406"/>
      <c r="L50" s="3406"/>
      <c r="M50" s="3406"/>
      <c r="N50" s="3406"/>
      <c r="O50" s="3406"/>
    </row>
    <row r="51" spans="1:35" ht="20.45" customHeight="1">
      <c r="A51" s="2396"/>
      <c r="B51" s="3372" t="s">
        <v>903</v>
      </c>
      <c r="C51" s="3372"/>
      <c r="D51" s="979"/>
      <c r="E51" s="993"/>
      <c r="F51" s="2391"/>
      <c r="G51" s="3402"/>
      <c r="H51" s="2395" t="s">
        <v>904</v>
      </c>
      <c r="I51" s="2426"/>
      <c r="J51" s="2425" t="s">
        <v>905</v>
      </c>
      <c r="K51" s="3399" t="s">
        <v>906</v>
      </c>
      <c r="L51" s="3399"/>
      <c r="M51" s="2425" t="s">
        <v>907</v>
      </c>
      <c r="N51" s="2425" t="s">
        <v>908</v>
      </c>
      <c r="O51" s="2425" t="s">
        <v>909</v>
      </c>
    </row>
    <row r="52" spans="1:35" ht="24" customHeight="1">
      <c r="A52" s="2397" t="s">
        <v>910</v>
      </c>
      <c r="B52" s="3372" t="s">
        <v>911</v>
      </c>
      <c r="C52" s="3372"/>
      <c r="D52" s="979" t="e">
        <f ca="1">ROUND(D45*'数据-取费表'!B41/(1+'数据-取费表'!C42),0)</f>
        <v>#REF!</v>
      </c>
      <c r="E52" s="983" t="s">
        <v>912</v>
      </c>
      <c r="F52" s="2398">
        <f>'数据-取费表'!B41</f>
        <v>5.6000000000000001E-2</v>
      </c>
      <c r="G52" s="2399"/>
      <c r="H52" s="1096"/>
      <c r="I52" s="2427"/>
      <c r="J52" s="580">
        <v>1</v>
      </c>
      <c r="K52" s="3395" t="s">
        <v>913</v>
      </c>
      <c r="L52" s="3395"/>
      <c r="M52" s="2428" t="b">
        <f>D48</f>
        <v>0</v>
      </c>
      <c r="N52" s="580" t="str">
        <f>E48</f>
        <v>销售额×税（费）率</v>
      </c>
      <c r="O52" s="2429">
        <f>F48</f>
        <v>5.6000000000000001E-2</v>
      </c>
    </row>
    <row r="53" spans="1:35" ht="12" customHeight="1">
      <c r="A53" s="2397" t="s">
        <v>914</v>
      </c>
      <c r="B53" s="3371" t="s">
        <v>915</v>
      </c>
      <c r="C53" s="3391"/>
      <c r="D53" s="979" t="e">
        <f ca="1">ROUND(D45*'数据-取费表'!B41/(1+'数据-取费表'!C42),0)</f>
        <v>#REF!</v>
      </c>
      <c r="E53" s="983" t="s">
        <v>912</v>
      </c>
      <c r="F53" s="2398">
        <f>'数据-取费表'!B41</f>
        <v>5.6000000000000001E-2</v>
      </c>
      <c r="G53" s="2399"/>
      <c r="H53" s="1096"/>
      <c r="I53" s="2427"/>
      <c r="J53" s="580">
        <v>2</v>
      </c>
      <c r="K53" s="3395" t="s">
        <v>916</v>
      </c>
      <c r="L53" s="3395"/>
      <c r="M53" s="2428" t="e">
        <f t="shared" ref="M53:O54" ca="1" si="0">D55</f>
        <v>#REF!</v>
      </c>
      <c r="N53" s="580" t="str">
        <f t="shared" si="0"/>
        <v>销售额×税（费）率</v>
      </c>
      <c r="O53" s="2429" t="str">
        <f t="shared" si="0"/>
        <v>免征</v>
      </c>
    </row>
    <row r="54" spans="1:35" ht="12" customHeight="1">
      <c r="A54" s="2397" t="s">
        <v>917</v>
      </c>
      <c r="B54" s="3371" t="s">
        <v>918</v>
      </c>
      <c r="C54" s="3391"/>
      <c r="D54" s="979" t="e">
        <f ca="1">C68</f>
        <v>#REF!</v>
      </c>
      <c r="E54" s="993" t="s">
        <v>919</v>
      </c>
      <c r="F54" s="2398">
        <f>'数据-取费表'!B41</f>
        <v>5.6000000000000001E-2</v>
      </c>
      <c r="G54" s="2399"/>
      <c r="H54" s="2400"/>
      <c r="I54" s="2427"/>
      <c r="J54" s="580">
        <v>3</v>
      </c>
      <c r="K54" s="3395" t="s">
        <v>920</v>
      </c>
      <c r="L54" s="3395"/>
      <c r="M54" s="2428" t="e">
        <f t="shared" ca="1" si="0"/>
        <v>#REF!</v>
      </c>
      <c r="N54" s="580" t="str">
        <f t="shared" si="0"/>
        <v>增值额×税（费）率</v>
      </c>
      <c r="O54" s="2430" t="str">
        <f t="shared" si="0"/>
        <v>免征</v>
      </c>
    </row>
    <row r="55" spans="1:35" ht="24" customHeight="1">
      <c r="A55" s="3386" t="s">
        <v>921</v>
      </c>
      <c r="B55" s="3387"/>
      <c r="C55" s="3387"/>
      <c r="D55" s="1082" t="e">
        <f ca="1">IF(H55="个人住宅",0,ROUND(D45*I55,0))</f>
        <v>#REF!</v>
      </c>
      <c r="E55" s="983" t="s">
        <v>922</v>
      </c>
      <c r="F55" s="2398" t="str">
        <f>IF(H55="正常",I55,"免征")</f>
        <v>免征</v>
      </c>
      <c r="G55" s="2399"/>
      <c r="H55" s="2389"/>
      <c r="I55" s="2431">
        <f>'数据-取费表'!B49</f>
        <v>5.0000000000000001E-4</v>
      </c>
      <c r="J55" s="580">
        <f>IF(H59="非个人房产","",4)</f>
        <v>4</v>
      </c>
      <c r="K55" s="3395" t="str">
        <f>IF(H59="非个人房产","——","个人所得税")</f>
        <v>个人所得税</v>
      </c>
      <c r="L55" s="3395"/>
      <c r="M55" s="2432" t="e">
        <f ca="1">D59</f>
        <v>#REF!</v>
      </c>
      <c r="N55" s="561" t="str">
        <f>E59</f>
        <v>差额计税</v>
      </c>
      <c r="O55" s="2433">
        <f>F59</f>
        <v>0.01</v>
      </c>
    </row>
    <row r="56" spans="1:35" ht="24.75">
      <c r="A56" s="3386" t="s">
        <v>923</v>
      </c>
      <c r="B56" s="3387"/>
      <c r="C56" s="3387"/>
      <c r="D56" s="1082" t="e">
        <f ca="1">IF(H56="个人住宅",D57,D58)</f>
        <v>#REF!</v>
      </c>
      <c r="E56" s="983" t="s">
        <v>924</v>
      </c>
      <c r="F56" s="2398" t="str">
        <f>IF(H56="正常",F58,"免征")</f>
        <v>免征</v>
      </c>
      <c r="G56" s="2401" t="s">
        <v>925</v>
      </c>
      <c r="H56" s="2402"/>
      <c r="I56" s="2411"/>
      <c r="J56" s="580" t="str">
        <f>IF(项目基本情况!K6="上海银行",IF(J55="",4,J55+1),"")</f>
        <v/>
      </c>
      <c r="K56" s="3388" t="str">
        <f>IF(项目基本情况!K6="上海银行","其他处置费用","")</f>
        <v/>
      </c>
      <c r="L56" s="3389"/>
      <c r="M56" s="2428" t="str">
        <f>IF(项目基本情况!K6="上海银行",M69,"")</f>
        <v/>
      </c>
      <c r="N56" s="3388" t="str">
        <f>IF(项目基本情况!K6="上海银行","包含处置中涉及的律师、诉讼、拍卖、评估等费用","")</f>
        <v/>
      </c>
      <c r="O56" s="3390"/>
    </row>
    <row r="57" spans="1:35" ht="12.75">
      <c r="A57" s="2397" t="s">
        <v>896</v>
      </c>
      <c r="B57" s="3371" t="s">
        <v>926</v>
      </c>
      <c r="C57" s="3391"/>
      <c r="D57" s="2390">
        <v>0</v>
      </c>
      <c r="E57" s="989" t="s">
        <v>898</v>
      </c>
      <c r="F57" s="925"/>
      <c r="G57" s="2399"/>
      <c r="H57" s="2403"/>
      <c r="I57" s="2411"/>
      <c r="J57" s="3395">
        <f>IF(AND(J55="",J56=""),4,IF(项目基本情况!K6="上海银行",结果表!J56+1,结果表!J55+1))</f>
        <v>5</v>
      </c>
      <c r="K57" s="3395" t="s">
        <v>927</v>
      </c>
      <c r="L57" s="2434" t="s">
        <v>928</v>
      </c>
      <c r="M57" s="2435"/>
      <c r="N57" s="2436">
        <f ca="1">SUMIF(M52:M56,"&lt;9e307")</f>
        <v>0</v>
      </c>
      <c r="O57" s="2437"/>
      <c r="P57" s="2438" t="e">
        <f ca="1">N57/M49</f>
        <v>#VALUE!</v>
      </c>
    </row>
    <row r="58" spans="1:35" ht="24.75">
      <c r="A58" s="2397" t="s">
        <v>910</v>
      </c>
      <c r="B58" s="3371" t="s">
        <v>929</v>
      </c>
      <c r="C58" s="3372"/>
      <c r="D58" s="1082" t="e">
        <f ca="1">IF(H58="转让取得",C81,C97)</f>
        <v>#REF!</v>
      </c>
      <c r="E58" s="983" t="s">
        <v>924</v>
      </c>
      <c r="F58" s="925" t="s">
        <v>124</v>
      </c>
      <c r="G58" s="2399"/>
      <c r="H58" s="2402"/>
      <c r="I58" s="2411"/>
      <c r="J58" s="3395"/>
      <c r="K58" s="3395"/>
      <c r="L58" s="2434" t="s">
        <v>930</v>
      </c>
      <c r="M58" s="2439"/>
      <c r="N58" s="2440" t="str">
        <f ca="1">NUMBERSTRING(INT(N57*10000),2)&amp;"元整"</f>
        <v>零元整</v>
      </c>
      <c r="O58" s="2441"/>
    </row>
    <row r="59" spans="1:35" ht="24">
      <c r="A59" s="3392" t="s">
        <v>931</v>
      </c>
      <c r="B59" s="3393"/>
      <c r="C59" s="3393"/>
      <c r="D59" s="2404" t="e">
        <f ca="1">IF(H59="非个人房产","——",IF(H59="个人住宅（满五唯一有凭证）",0,IF(H59="个人其他（无凭证）",ROUND(D45*F59,0),ROUND(C67*F59,0))))</f>
        <v>#REF!</v>
      </c>
      <c r="E59" s="2405" t="str">
        <f>IF(H59="非个人房产","——",IF(H59="个人其他（无凭证）","销售额×税（费）率",IF(H59="个人住宅（满五唯一有凭证）","免征","差额计税")))</f>
        <v>差额计税</v>
      </c>
      <c r="F59" s="2406">
        <f>IF(OR(H59="非个人房产",H59="个人住宅（满五唯一有凭证）"),"——",IF(H59="个人其他（有凭证）",20%,1%))</f>
        <v>0.01</v>
      </c>
      <c r="G59" s="2407" t="s">
        <v>925</v>
      </c>
      <c r="H59" s="2408"/>
      <c r="I59" s="2442" t="s">
        <v>932</v>
      </c>
      <c r="J59" s="3396">
        <f>J57+1</f>
        <v>6</v>
      </c>
      <c r="K59" s="3395" t="s">
        <v>933</v>
      </c>
      <c r="L59" s="580" t="s">
        <v>928</v>
      </c>
      <c r="M59" s="2443"/>
      <c r="N59" s="2444" t="e">
        <f ca="1">M49-N57</f>
        <v>#VALUE!</v>
      </c>
      <c r="O59" s="2445"/>
    </row>
    <row r="60" spans="1:35" ht="12" customHeight="1">
      <c r="A60" s="2409"/>
      <c r="B60" s="1075"/>
      <c r="C60" s="1075"/>
      <c r="D60" s="1075"/>
      <c r="E60" s="2410"/>
      <c r="F60" s="2411"/>
      <c r="G60" s="2411"/>
      <c r="H60" s="1231"/>
      <c r="I60" s="1006"/>
      <c r="J60" s="3397"/>
      <c r="K60" s="3395"/>
      <c r="L60" s="2434" t="s">
        <v>930</v>
      </c>
      <c r="M60" s="2439"/>
      <c r="N60" s="2440" t="e">
        <f ca="1">NUMBERSTRING(INT(N59*10000),2)&amp;"元整"</f>
        <v>#VALUE!</v>
      </c>
      <c r="O60" s="2441"/>
    </row>
    <row r="61" spans="1:35" ht="12.75">
      <c r="A61" s="3394" t="s">
        <v>934</v>
      </c>
      <c r="B61" s="3394"/>
      <c r="C61" s="3394"/>
      <c r="D61" s="3394"/>
      <c r="E61" s="3394"/>
      <c r="F61" s="2411"/>
      <c r="G61" s="2411"/>
      <c r="H61" s="1231"/>
      <c r="I61" s="1006"/>
      <c r="J61" s="580">
        <f>J59+1</f>
        <v>7</v>
      </c>
      <c r="K61" s="3395" t="s">
        <v>935</v>
      </c>
      <c r="L61" s="3395"/>
      <c r="M61" s="2446"/>
      <c r="N61" s="2447" t="e">
        <f ca="1">ROUND(N59*10000/'数据-汇总表'!E3,0)</f>
        <v>#VALUE!</v>
      </c>
      <c r="O61" s="2448"/>
    </row>
    <row r="62" spans="1:35" ht="12.75">
      <c r="A62" s="3369" t="s">
        <v>936</v>
      </c>
      <c r="B62" s="3370"/>
      <c r="C62" s="532"/>
      <c r="D62" s="532" t="s">
        <v>937</v>
      </c>
      <c r="E62" s="2412" t="s">
        <v>891</v>
      </c>
      <c r="F62" s="2411"/>
      <c r="G62" s="2411"/>
      <c r="H62" s="1231"/>
      <c r="I62" s="1006"/>
    </row>
    <row r="63" spans="1:35" ht="12.75">
      <c r="A63" s="2413" t="s">
        <v>938</v>
      </c>
      <c r="B63" s="590" t="s">
        <v>939</v>
      </c>
      <c r="C63" s="2414" t="e">
        <f ca="1">ROUND((C64+C65)/(1+'数据-取费表'!C42),0)</f>
        <v>#REF!</v>
      </c>
      <c r="D63" s="590"/>
      <c r="E63" s="2415"/>
      <c r="F63" s="2411"/>
      <c r="G63" s="2411"/>
      <c r="H63" s="1231"/>
      <c r="I63" s="1006"/>
      <c r="J63" s="3398" t="s">
        <v>940</v>
      </c>
      <c r="K63" s="2449" t="s">
        <v>941</v>
      </c>
      <c r="L63" s="2449" t="e">
        <f ca="1">IF(M49&gt;10000,M49*0.5%,IF(AND(M49&gt;1000,M49&lt;=10000),M49*1%,IF(AND(M49&gt;100,M49&lt;=1000),M49*3%,IF(AND(M49&gt;10,M49&lt;=100),M49*5%,M49*8%))))</f>
        <v>#VALUE!</v>
      </c>
      <c r="M63" s="925" t="e">
        <f ca="1">ROUND(L63,1)</f>
        <v>#VALUE!</v>
      </c>
      <c r="N63" s="2450"/>
      <c r="Z63" s="2287"/>
      <c r="AI63" s="2288"/>
    </row>
    <row r="64" spans="1:35" ht="14.25" customHeight="1">
      <c r="A64" s="2416" t="s">
        <v>942</v>
      </c>
      <c r="B64" s="513" t="s">
        <v>943</v>
      </c>
      <c r="C64" s="2417" t="e">
        <f ca="1">D45</f>
        <v>#REF!</v>
      </c>
      <c r="D64" s="513" t="s">
        <v>124</v>
      </c>
      <c r="E64" s="2418"/>
      <c r="F64" s="2411"/>
      <c r="G64" s="2411"/>
      <c r="H64" s="1231"/>
      <c r="I64" s="1006"/>
      <c r="J64" s="3398"/>
      <c r="K64" s="2449" t="s">
        <v>944</v>
      </c>
      <c r="L64" s="2449" t="e">
        <f ca="1">IF(M49&gt;2000,M49*0.5%,IF(AND(M49&gt;1000,M49&lt;=2000),M49*0.6%,IF(AND(M49&gt;500,M49&lt;=1000),M49*0.7%,IF(AND(M49&gt;200,M49&lt;=500),M49*0.8%,IF(AND(M49&gt;100,M49&lt;=200),M49*0.9%,IF(AND(M49&gt;50,M49&lt;=100),M49*1%,IF(AND(M49&gt;20,M49&lt;=50),M49*1.5%,IF(AND(M49&gt;10,M49&lt;=20),M49*2%,IF(AND(M49&gt;1,M49&lt;=10),M49*2.5%)))))))))</f>
        <v>#VALUE!</v>
      </c>
      <c r="M64" s="925" t="e">
        <f t="shared" ref="M64:M65" ca="1" si="1">ROUND(L64,1)</f>
        <v>#VALUE!</v>
      </c>
      <c r="N64" s="1096" t="s">
        <v>945</v>
      </c>
      <c r="Z64" s="2287"/>
      <c r="AI64" s="2288"/>
    </row>
    <row r="65" spans="1:35" ht="14.25" customHeight="1">
      <c r="A65" s="2416" t="s">
        <v>946</v>
      </c>
      <c r="B65" s="513" t="s">
        <v>947</v>
      </c>
      <c r="C65" s="2452"/>
      <c r="D65" s="513"/>
      <c r="E65" s="2418"/>
      <c r="F65" s="2411"/>
      <c r="G65" s="2411"/>
      <c r="H65" s="1231"/>
      <c r="I65" s="1006"/>
      <c r="J65" s="3398"/>
      <c r="K65" s="2449" t="s">
        <v>948</v>
      </c>
      <c r="L65" s="2449" t="e">
        <f ca="1">IF(M49&gt;1000,M49*0.1%,IF(AND(M49&gt;500,M49&lt;=1000),M49*0.5%,IF(AND(M49&gt;50,M49&lt;=500),M49*1%,IF(AND(M49&gt;1,M49&lt;=50),M49*1.5%))))</f>
        <v>#VALUE!</v>
      </c>
      <c r="M65" s="925" t="e">
        <f t="shared" ca="1" si="1"/>
        <v>#VALUE!</v>
      </c>
      <c r="N65" s="1096" t="s">
        <v>945</v>
      </c>
      <c r="Z65" s="2287"/>
      <c r="AI65" s="2288"/>
    </row>
    <row r="66" spans="1:35" ht="14.25" customHeight="1">
      <c r="A66" s="2413" t="s">
        <v>949</v>
      </c>
      <c r="B66" s="2453" t="s">
        <v>950</v>
      </c>
      <c r="C66" s="2454"/>
      <c r="D66" s="2453" t="s">
        <v>124</v>
      </c>
      <c r="E66" s="2455" t="s">
        <v>951</v>
      </c>
      <c r="F66" s="2411"/>
      <c r="G66" s="2411"/>
      <c r="H66" s="1231"/>
      <c r="I66" s="1006"/>
      <c r="J66" s="3398"/>
      <c r="K66" s="2449" t="s">
        <v>952</v>
      </c>
      <c r="L66" s="2449" t="e">
        <f ca="1">M49*0.5%</f>
        <v>#VALUE!</v>
      </c>
      <c r="M66" s="925" t="e">
        <f ca="1">IF(L66&gt;0.5,0.5,ROUND(L66,0))</f>
        <v>#VALUE!</v>
      </c>
      <c r="N66" s="1096" t="s">
        <v>953</v>
      </c>
      <c r="Z66" s="2287"/>
      <c r="AI66" s="2288"/>
    </row>
    <row r="67" spans="1:35" ht="14.25" customHeight="1">
      <c r="A67" s="2413" t="s">
        <v>954</v>
      </c>
      <c r="B67" s="2453" t="s">
        <v>955</v>
      </c>
      <c r="C67" s="2456" t="e">
        <f ca="1">C63-C66</f>
        <v>#REF!</v>
      </c>
      <c r="D67" s="513" t="s">
        <v>124</v>
      </c>
      <c r="E67" s="2418"/>
      <c r="F67" s="2411"/>
      <c r="G67" s="2411"/>
      <c r="H67" s="1231"/>
      <c r="I67" s="1006"/>
      <c r="J67" s="3398"/>
      <c r="K67" s="2449" t="s">
        <v>956</v>
      </c>
      <c r="L67" s="2449" t="e">
        <f ca="1">IF(M49&gt;=10000,(8.25+(M49-10000)*0.01%),IF(AND(M49&gt;=8000,M49&lt;10000),(7.85+(M49-8000)*0.02%),IF(AND(M49&gt;=5000,M49&lt;8000),(6.65+(M49-5000)*0.04%),IF(AND(M49&gt;=2000,M49&lt;5000),(4.25+(PM49-2000)*0.08%),IF(AND(M49&gt;=1000,M49&lt;2000),(2.75+(M49-1000)*0.15%),IF(AND(M49&gt;=100,M49&lt;1000),(0.5+(M49-100)*0.25%),IF(AND(M49&gt;0,M49&lt;100),M49*0.5%)))))))</f>
        <v>#VALUE!</v>
      </c>
      <c r="M67" s="925" t="e">
        <f ca="1">ROUND(L67*0.9,1)</f>
        <v>#VALUE!</v>
      </c>
      <c r="N67" s="2450"/>
      <c r="Z67" s="2287"/>
      <c r="AI67" s="2288"/>
    </row>
    <row r="68" spans="1:35" ht="14.25" customHeight="1">
      <c r="A68" s="2457" t="s">
        <v>957</v>
      </c>
      <c r="B68" s="2458" t="s">
        <v>958</v>
      </c>
      <c r="C68" s="2459" t="e">
        <f ca="1">IF(C67&lt;=0,0,ROUND(C67*D68,0))</f>
        <v>#REF!</v>
      </c>
      <c r="D68" s="775">
        <f>'数据-取费表'!B41</f>
        <v>5.6000000000000001E-2</v>
      </c>
      <c r="E68" s="2460"/>
      <c r="F68" s="2411"/>
      <c r="G68" s="2411"/>
      <c r="H68" s="1231"/>
      <c r="I68" s="1006"/>
      <c r="J68" s="3398"/>
      <c r="K68" s="2449" t="s">
        <v>959</v>
      </c>
      <c r="L68" s="2449" t="e">
        <f ca="1">IF(M49&gt;10000,M49*0.5%,IF(AND(M49&gt;5000,M49&lt;=10000),M49*1%,IF(AND(M49&gt;1000,M49&lt;=5000),M49*2%,IF(AND(M49&gt;200,M49&lt;=1000),M49*3%,M49*5%))))</f>
        <v>#VALUE!</v>
      </c>
      <c r="M68" s="925" t="e">
        <f ca="1">ROUND(L68,1)</f>
        <v>#VALUE!</v>
      </c>
      <c r="N68" s="2450"/>
      <c r="Z68" s="2287"/>
      <c r="AI68" s="2288"/>
    </row>
    <row r="69" spans="1:35" ht="16.5" customHeight="1">
      <c r="A69" s="2461"/>
      <c r="B69" s="2462"/>
      <c r="C69" s="2463"/>
      <c r="D69" s="697"/>
      <c r="E69" s="2464"/>
      <c r="F69" s="2410"/>
      <c r="G69" s="2410"/>
      <c r="H69" s="2371"/>
      <c r="I69" s="1075"/>
      <c r="J69" s="3398"/>
      <c r="K69" s="2449" t="s">
        <v>960</v>
      </c>
      <c r="L69" s="2449"/>
      <c r="M69" s="925" t="e">
        <f ca="1">ROUND(SUM(M63:M68),0)</f>
        <v>#VALUE!</v>
      </c>
      <c r="N69" s="2524" t="e">
        <f ca="1">M69/M49</f>
        <v>#VALUE!</v>
      </c>
      <c r="Z69" s="2287"/>
      <c r="AI69" s="2288"/>
    </row>
    <row r="70" spans="1:35" s="1175" customFormat="1" ht="14.25">
      <c r="A70" s="3367" t="s">
        <v>961</v>
      </c>
      <c r="B70" s="3368"/>
      <c r="C70" s="3368"/>
      <c r="D70" s="3368"/>
      <c r="E70" s="3368"/>
      <c r="F70" s="3368"/>
      <c r="G70" s="3368"/>
      <c r="H70" s="3368"/>
      <c r="I70" s="2525"/>
      <c r="J70" s="1792"/>
      <c r="K70" s="1792"/>
      <c r="L70" s="1792"/>
      <c r="M70" s="1792"/>
      <c r="N70" s="2526"/>
      <c r="O70" s="2526"/>
      <c r="P70" s="2526"/>
      <c r="Q70" s="2526"/>
      <c r="R70" s="2526"/>
      <c r="S70" s="2526"/>
      <c r="T70" s="2526"/>
      <c r="U70" s="2526"/>
      <c r="V70" s="2526"/>
      <c r="W70" s="2526"/>
      <c r="X70" s="2526"/>
      <c r="Y70" s="2526"/>
      <c r="Z70" s="2526"/>
      <c r="AA70" s="2532"/>
      <c r="AB70" s="2532"/>
      <c r="AC70" s="2532"/>
      <c r="AD70" s="2532"/>
      <c r="AE70" s="2532"/>
      <c r="AF70" s="2532"/>
      <c r="AG70" s="2532"/>
      <c r="AH70" s="2532"/>
      <c r="AI70" s="2532"/>
    </row>
    <row r="71" spans="1:35" s="1175" customFormat="1" ht="14.25">
      <c r="A71" s="3369" t="s">
        <v>936</v>
      </c>
      <c r="B71" s="3370"/>
      <c r="C71" s="532"/>
      <c r="D71" s="532" t="s">
        <v>937</v>
      </c>
      <c r="E71" s="2465" t="s">
        <v>891</v>
      </c>
      <c r="F71" s="2466"/>
      <c r="G71" s="2466"/>
      <c r="H71" s="2467"/>
      <c r="I71" s="2527"/>
      <c r="J71" s="1792"/>
      <c r="K71" s="1792"/>
      <c r="L71" s="1792"/>
      <c r="M71" s="1792"/>
      <c r="N71" s="2526"/>
      <c r="O71" s="2526"/>
      <c r="P71" s="2526"/>
      <c r="Q71" s="2526"/>
      <c r="R71" s="2526"/>
      <c r="S71" s="2526"/>
      <c r="T71" s="2526"/>
      <c r="U71" s="2526"/>
      <c r="V71" s="2526"/>
      <c r="W71" s="2526"/>
      <c r="X71" s="2526"/>
      <c r="Y71" s="2526"/>
      <c r="Z71" s="2526"/>
      <c r="AA71" s="2532"/>
      <c r="AB71" s="2532"/>
      <c r="AC71" s="2532"/>
      <c r="AD71" s="2532"/>
      <c r="AE71" s="2532"/>
      <c r="AF71" s="2532"/>
      <c r="AG71" s="2532"/>
      <c r="AH71" s="2532"/>
      <c r="AI71" s="2532"/>
    </row>
    <row r="72" spans="1:35" s="1175" customFormat="1" ht="14.25">
      <c r="A72" s="2413" t="s">
        <v>938</v>
      </c>
      <c r="B72" s="2453" t="s">
        <v>962</v>
      </c>
      <c r="C72" s="2456" t="e">
        <f ca="1">ROUND(D45/(1+'数据-取费表'!C42),0)</f>
        <v>#REF!</v>
      </c>
      <c r="D72" s="513" t="s">
        <v>124</v>
      </c>
      <c r="E72" s="958"/>
      <c r="F72" s="959"/>
      <c r="G72" s="959"/>
      <c r="H72" s="2468"/>
      <c r="I72" s="2527"/>
      <c r="J72" s="1792"/>
      <c r="K72" s="1792"/>
      <c r="L72" s="1792"/>
      <c r="M72" s="1792"/>
      <c r="N72" s="2526"/>
      <c r="O72" s="2526"/>
      <c r="P72" s="2526"/>
      <c r="Q72" s="2526"/>
      <c r="R72" s="2526"/>
      <c r="S72" s="2526"/>
      <c r="T72" s="2526"/>
      <c r="U72" s="2526"/>
      <c r="V72" s="2526"/>
      <c r="W72" s="2526"/>
      <c r="X72" s="2526"/>
      <c r="Y72" s="2526"/>
      <c r="Z72" s="2526"/>
      <c r="AA72" s="2532"/>
      <c r="AB72" s="2532"/>
      <c r="AC72" s="2532"/>
      <c r="AD72" s="2532"/>
      <c r="AE72" s="2532"/>
      <c r="AF72" s="2532"/>
      <c r="AG72" s="2532"/>
      <c r="AH72" s="2532"/>
      <c r="AI72" s="2532"/>
    </row>
    <row r="73" spans="1:35" s="1175" customFormat="1" ht="14.25">
      <c r="A73" s="2413" t="s">
        <v>949</v>
      </c>
      <c r="B73" s="2383" t="s">
        <v>963</v>
      </c>
      <c r="C73" s="2456" t="e">
        <f ca="1">C74+C78</f>
        <v>#REF!</v>
      </c>
      <c r="D73" s="513" t="s">
        <v>124</v>
      </c>
      <c r="E73" s="958"/>
      <c r="F73" s="959"/>
      <c r="G73" s="959"/>
      <c r="H73" s="2468"/>
      <c r="I73" s="2527"/>
      <c r="J73" s="2526"/>
      <c r="K73" s="2526"/>
      <c r="L73" s="2526"/>
      <c r="M73" s="2526"/>
      <c r="N73" s="2526"/>
      <c r="O73" s="2526"/>
      <c r="P73" s="2526"/>
      <c r="Q73" s="2526"/>
      <c r="R73" s="2526"/>
      <c r="S73" s="2526"/>
      <c r="T73" s="2526"/>
      <c r="U73" s="2526"/>
      <c r="V73" s="2526"/>
      <c r="W73" s="2526"/>
      <c r="X73" s="2526"/>
      <c r="Y73" s="2526"/>
      <c r="Z73" s="2526"/>
      <c r="AA73" s="2532"/>
      <c r="AB73" s="2532"/>
      <c r="AC73" s="2532"/>
      <c r="AD73" s="2532"/>
      <c r="AE73" s="2532"/>
      <c r="AF73" s="2532"/>
      <c r="AG73" s="2532"/>
      <c r="AH73" s="2532"/>
      <c r="AI73" s="2532"/>
    </row>
    <row r="74" spans="1:35" s="1175" customFormat="1" ht="24">
      <c r="A74" s="2416" t="s">
        <v>942</v>
      </c>
      <c r="B74" s="513" t="s">
        <v>964</v>
      </c>
      <c r="C74" s="513">
        <f>ROUND(IF(G77="2016年5月1日后购买",C75/(1+'数据-取费表'!C42)+C76+C77,C75+C76+C77),0)</f>
        <v>0</v>
      </c>
      <c r="D74" s="513" t="s">
        <v>124</v>
      </c>
      <c r="E74" s="958"/>
      <c r="F74" s="959"/>
      <c r="G74" s="959"/>
      <c r="H74" s="2468"/>
      <c r="I74" s="2527"/>
      <c r="J74" s="2526"/>
      <c r="K74" s="2526"/>
      <c r="L74" s="2526"/>
      <c r="M74" s="2526"/>
      <c r="N74" s="2526"/>
      <c r="O74" s="2526"/>
      <c r="P74" s="2526"/>
      <c r="Q74" s="2526"/>
      <c r="R74" s="2526"/>
      <c r="S74" s="2526"/>
      <c r="T74" s="2526"/>
      <c r="U74" s="2526"/>
      <c r="V74" s="2526"/>
      <c r="W74" s="2526"/>
      <c r="X74" s="2526"/>
      <c r="Y74" s="2526"/>
      <c r="Z74" s="2526"/>
      <c r="AA74" s="2532"/>
      <c r="AB74" s="2532"/>
      <c r="AC74" s="2532"/>
      <c r="AD74" s="2532"/>
      <c r="AE74" s="2532"/>
      <c r="AF74" s="2532"/>
      <c r="AG74" s="2532"/>
      <c r="AH74" s="2532"/>
      <c r="AI74" s="2532"/>
    </row>
    <row r="75" spans="1:35" s="1175" customFormat="1" ht="14.25">
      <c r="A75" s="2416" t="s">
        <v>965</v>
      </c>
      <c r="B75" s="513" t="s">
        <v>966</v>
      </c>
      <c r="C75" s="583"/>
      <c r="D75" s="513" t="s">
        <v>124</v>
      </c>
      <c r="E75" s="2469" t="s">
        <v>967</v>
      </c>
      <c r="F75" s="2470"/>
      <c r="G75" s="2469" t="s">
        <v>968</v>
      </c>
      <c r="H75" s="2471"/>
      <c r="I75" s="793"/>
      <c r="J75" s="2526"/>
      <c r="K75" s="2526"/>
      <c r="L75" s="2526"/>
      <c r="M75" s="2526"/>
      <c r="N75" s="2526"/>
      <c r="O75" s="2526"/>
      <c r="P75" s="2526"/>
      <c r="Q75" s="2526"/>
      <c r="R75" s="2526"/>
      <c r="S75" s="2526"/>
      <c r="T75" s="2526"/>
      <c r="U75" s="2526"/>
      <c r="V75" s="2526"/>
      <c r="W75" s="2526"/>
      <c r="X75" s="2526"/>
      <c r="Y75" s="2526"/>
      <c r="Z75" s="2526"/>
      <c r="AA75" s="2532"/>
      <c r="AB75" s="2532"/>
      <c r="AC75" s="2532"/>
      <c r="AD75" s="2532"/>
      <c r="AE75" s="2532"/>
      <c r="AF75" s="2532"/>
      <c r="AG75" s="2532"/>
      <c r="AH75" s="2532"/>
      <c r="AI75" s="2532"/>
    </row>
    <row r="76" spans="1:35" s="1175" customFormat="1" ht="24.75" customHeight="1">
      <c r="A76" s="2416" t="s">
        <v>969</v>
      </c>
      <c r="B76" s="2472" t="s">
        <v>970</v>
      </c>
      <c r="C76" s="513">
        <f>IF(F75="购房发票",ROUND(C75*H75*D76,0),0)</f>
        <v>0</v>
      </c>
      <c r="D76" s="2473">
        <v>0.05</v>
      </c>
      <c r="E76" s="3371" t="s">
        <v>971</v>
      </c>
      <c r="F76" s="3372"/>
      <c r="G76" s="3372"/>
      <c r="H76" s="3373"/>
      <c r="I76" s="2527"/>
      <c r="J76" s="2526"/>
      <c r="K76" s="2526"/>
      <c r="L76" s="2526"/>
      <c r="M76" s="2526"/>
      <c r="N76" s="2526"/>
      <c r="O76" s="2526"/>
      <c r="P76" s="2526"/>
      <c r="Q76" s="2526"/>
      <c r="R76" s="2526"/>
      <c r="S76" s="2526"/>
      <c r="T76" s="2526"/>
      <c r="U76" s="2526"/>
      <c r="V76" s="2526"/>
      <c r="W76" s="2526"/>
      <c r="X76" s="2526"/>
      <c r="Y76" s="2526"/>
      <c r="Z76" s="2526"/>
      <c r="AA76" s="2532"/>
      <c r="AB76" s="2532"/>
      <c r="AC76" s="2532"/>
      <c r="AD76" s="2532"/>
      <c r="AE76" s="2532"/>
      <c r="AF76" s="2532"/>
      <c r="AG76" s="2532"/>
      <c r="AH76" s="2532"/>
      <c r="AI76" s="2532"/>
    </row>
    <row r="77" spans="1:35" s="1175" customFormat="1" ht="24.75" customHeight="1">
      <c r="A77" s="2416" t="s">
        <v>972</v>
      </c>
      <c r="B77" s="513" t="s">
        <v>973</v>
      </c>
      <c r="C77" s="513">
        <f>ROUND(IF(G77="个人住宅",0,IF(G77="2016年5月1日前购买",C75*D77,C75*D77/(1+'数据-取费表'!C42))),0)</f>
        <v>0</v>
      </c>
      <c r="D77" s="2475">
        <f>'数据-取费表'!B48+'数据-取费表'!B49</f>
        <v>3.0499999999999999E-2</v>
      </c>
      <c r="E77" s="1082" t="s">
        <v>974</v>
      </c>
      <c r="F77" s="2476"/>
      <c r="G77" s="2477"/>
      <c r="H77" s="2474" t="str">
        <f>IF(G77="个人买卖住房","免征印花税"," ")</f>
        <v xml:space="preserve"> </v>
      </c>
      <c r="I77" s="2527"/>
      <c r="J77" s="2526"/>
      <c r="K77" s="2526"/>
      <c r="L77" s="2526"/>
      <c r="M77" s="2526"/>
      <c r="N77" s="2526"/>
      <c r="O77" s="2526"/>
      <c r="P77" s="2526"/>
      <c r="Q77" s="2526"/>
      <c r="R77" s="2526"/>
      <c r="S77" s="2526"/>
      <c r="T77" s="2526"/>
      <c r="U77" s="2526"/>
      <c r="V77" s="2526"/>
      <c r="W77" s="2526"/>
      <c r="X77" s="2526"/>
      <c r="Y77" s="2526"/>
      <c r="Z77" s="2526"/>
      <c r="AA77" s="2532"/>
      <c r="AB77" s="2532"/>
      <c r="AC77" s="2532"/>
      <c r="AD77" s="2532"/>
      <c r="AE77" s="2532"/>
      <c r="AF77" s="2532"/>
      <c r="AG77" s="2532"/>
      <c r="AH77" s="2532"/>
      <c r="AI77" s="2532"/>
    </row>
    <row r="78" spans="1:35" s="1175" customFormat="1" ht="24.75" customHeight="1">
      <c r="A78" s="2416" t="s">
        <v>946</v>
      </c>
      <c r="B78" s="513" t="s">
        <v>975</v>
      </c>
      <c r="C78" s="2478" t="e">
        <f ca="1">ROUND(D45*D78/(1+'数据-取费表'!C42),0)</f>
        <v>#REF!</v>
      </c>
      <c r="D78" s="2479">
        <f>'数据-取费表'!B43</f>
        <v>6.000000000000001E-3</v>
      </c>
      <c r="E78" s="3349" t="s">
        <v>976</v>
      </c>
      <c r="F78" s="3350"/>
      <c r="G78" s="3350"/>
      <c r="H78" s="3351"/>
      <c r="I78" s="2528"/>
      <c r="J78" s="2526"/>
      <c r="K78" s="2526"/>
      <c r="L78" s="2526"/>
      <c r="M78" s="2526"/>
      <c r="N78" s="2526"/>
      <c r="O78" s="2526"/>
      <c r="P78" s="2526"/>
      <c r="Q78" s="2526"/>
      <c r="R78" s="2526"/>
      <c r="S78" s="2526"/>
      <c r="T78" s="2526"/>
      <c r="U78" s="2526"/>
      <c r="V78" s="2526"/>
      <c r="W78" s="2526"/>
      <c r="X78" s="2526"/>
      <c r="Y78" s="2526"/>
      <c r="Z78" s="2526"/>
      <c r="AA78" s="2532"/>
      <c r="AB78" s="2532"/>
      <c r="AC78" s="2532"/>
      <c r="AD78" s="2532"/>
      <c r="AE78" s="2532"/>
      <c r="AF78" s="2532"/>
      <c r="AG78" s="2532"/>
      <c r="AH78" s="2532"/>
      <c r="AI78" s="2532"/>
    </row>
    <row r="79" spans="1:35" s="1175" customFormat="1" ht="14.25">
      <c r="A79" s="2413" t="s">
        <v>954</v>
      </c>
      <c r="B79" s="2453" t="s">
        <v>977</v>
      </c>
      <c r="C79" s="2456" t="e">
        <f ca="1">C72-C73</f>
        <v>#REF!</v>
      </c>
      <c r="D79" s="513" t="s">
        <v>124</v>
      </c>
      <c r="E79" s="958"/>
      <c r="F79" s="959"/>
      <c r="G79" s="959"/>
      <c r="H79" s="2468"/>
      <c r="I79" s="2527"/>
      <c r="J79" s="2526"/>
      <c r="K79" s="2526"/>
      <c r="L79" s="2526"/>
      <c r="M79" s="2526"/>
      <c r="N79" s="2526"/>
      <c r="O79" s="2526"/>
      <c r="P79" s="2526"/>
      <c r="Q79" s="2526"/>
      <c r="R79" s="2526"/>
      <c r="S79" s="2526"/>
      <c r="T79" s="2526"/>
      <c r="U79" s="2526"/>
      <c r="V79" s="2526"/>
      <c r="W79" s="2526"/>
      <c r="X79" s="2526"/>
      <c r="Y79" s="2526"/>
      <c r="Z79" s="2526"/>
      <c r="AA79" s="2532"/>
      <c r="AB79" s="2532"/>
      <c r="AC79" s="2532"/>
      <c r="AD79" s="2532"/>
      <c r="AE79" s="2532"/>
      <c r="AF79" s="2532"/>
      <c r="AG79" s="2532"/>
      <c r="AH79" s="2532"/>
      <c r="AI79" s="2532"/>
    </row>
    <row r="80" spans="1:35" s="1175" customFormat="1" ht="24">
      <c r="A80" s="2413" t="s">
        <v>957</v>
      </c>
      <c r="B80" s="2453" t="s">
        <v>978</v>
      </c>
      <c r="C80" s="2483" t="e">
        <f ca="1">IF(C79&lt;=0,0,C79/C73)</f>
        <v>#REF!</v>
      </c>
      <c r="D80" s="513" t="s">
        <v>124</v>
      </c>
      <c r="E80" s="1082" t="e">
        <f ca="1">IF(C80&gt;=200%,"增值额超过扣除项目金额200%",IF(C80&gt;=100%,"增值额超过扣除项目金额100%，未超过200%",IF(C80&gt;=50%,"增值额超过扣除项目金额50%，未超过100%",IF(C80&lt;50%,"增值额未超过扣除项目金额50%"))))</f>
        <v>#REF!</v>
      </c>
      <c r="F80" s="959"/>
      <c r="G80" s="959"/>
      <c r="H80" s="2468"/>
      <c r="I80" s="2527"/>
      <c r="J80" s="2526"/>
      <c r="K80" s="2526"/>
      <c r="L80" s="2526"/>
      <c r="M80" s="2526"/>
      <c r="N80" s="2526"/>
      <c r="O80" s="2526"/>
      <c r="P80" s="2526"/>
      <c r="Q80" s="2526"/>
      <c r="R80" s="2526"/>
      <c r="S80" s="2526"/>
      <c r="T80" s="2526"/>
      <c r="U80" s="2526"/>
      <c r="V80" s="2526"/>
      <c r="W80" s="2526"/>
      <c r="X80" s="2526"/>
      <c r="Y80" s="2526"/>
      <c r="Z80" s="2526"/>
      <c r="AA80" s="2532"/>
      <c r="AB80" s="2532"/>
      <c r="AC80" s="2532"/>
      <c r="AD80" s="2532"/>
      <c r="AE80" s="2532"/>
      <c r="AF80" s="2532"/>
      <c r="AG80" s="2532"/>
      <c r="AH80" s="2532"/>
      <c r="AI80" s="2532"/>
    </row>
    <row r="81" spans="1:35" s="1175" customFormat="1" ht="24">
      <c r="A81" s="2457" t="s">
        <v>979</v>
      </c>
      <c r="B81" s="2458" t="s">
        <v>980</v>
      </c>
      <c r="C81" s="2484" t="e">
        <f ca="1">ROUND(IF(C79&lt;=0,0,IF(C80&gt;=200%,C79*60%-C73*35%,IF(C80&gt;=100%,C79*50%-C73*15%,IF(C80&gt;=50%,C79*40%-C73*5%,IF(C80&lt;50%,C79*30%,0))))),0)</f>
        <v>#REF!</v>
      </c>
      <c r="D81" s="782" t="s">
        <v>124</v>
      </c>
      <c r="E81" s="24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86"/>
      <c r="G81" s="2486"/>
      <c r="H81" s="2487"/>
      <c r="I81" s="2527"/>
      <c r="J81" s="2526"/>
      <c r="K81" s="2526"/>
      <c r="L81" s="2526"/>
      <c r="M81" s="2526"/>
      <c r="N81" s="2526"/>
      <c r="O81" s="2526"/>
      <c r="P81" s="2526"/>
      <c r="Q81" s="2526"/>
      <c r="R81" s="2526"/>
      <c r="S81" s="2526"/>
      <c r="T81" s="2526"/>
      <c r="U81" s="2526"/>
      <c r="V81" s="2526"/>
      <c r="W81" s="2526"/>
      <c r="X81" s="2526"/>
      <c r="Y81" s="2526"/>
      <c r="Z81" s="2526"/>
      <c r="AA81" s="2532"/>
      <c r="AB81" s="2532"/>
      <c r="AC81" s="2532"/>
      <c r="AD81" s="2532"/>
      <c r="AE81" s="2532"/>
      <c r="AF81" s="2532"/>
      <c r="AG81" s="2532"/>
      <c r="AH81" s="2532"/>
      <c r="AI81" s="2532"/>
    </row>
    <row r="82" spans="1:35" s="1175" customFormat="1" ht="7.5" customHeight="1">
      <c r="A82" s="681"/>
      <c r="B82" s="2488"/>
      <c r="C82" s="681"/>
      <c r="D82" s="681"/>
      <c r="E82" s="2488"/>
      <c r="F82" s="2488"/>
      <c r="G82" s="2488"/>
      <c r="H82" s="2489"/>
      <c r="I82" s="2528"/>
      <c r="J82" s="2526"/>
      <c r="K82" s="2526"/>
      <c r="L82" s="2526"/>
      <c r="M82" s="2526"/>
      <c r="N82" s="2526"/>
      <c r="O82" s="2526"/>
      <c r="P82" s="2526"/>
      <c r="Q82" s="2526"/>
      <c r="R82" s="2526"/>
      <c r="S82" s="2526"/>
      <c r="T82" s="2526"/>
      <c r="U82" s="2526"/>
      <c r="V82" s="2526"/>
      <c r="W82" s="2526"/>
      <c r="X82" s="2526"/>
      <c r="Y82" s="2526"/>
      <c r="Z82" s="2526"/>
      <c r="AA82" s="2532"/>
      <c r="AB82" s="2532"/>
      <c r="AC82" s="2532"/>
      <c r="AD82" s="2532"/>
      <c r="AE82" s="2532"/>
      <c r="AF82" s="2532"/>
      <c r="AG82" s="2532"/>
      <c r="AH82" s="2532"/>
      <c r="AI82" s="2532"/>
    </row>
    <row r="83" spans="1:35" s="1175" customFormat="1" ht="14.25">
      <c r="A83" s="3367" t="s">
        <v>981</v>
      </c>
      <c r="B83" s="3368"/>
      <c r="C83" s="3368"/>
      <c r="D83" s="3368"/>
      <c r="E83" s="3368"/>
      <c r="F83" s="3368"/>
      <c r="G83" s="3368"/>
      <c r="H83" s="3368"/>
      <c r="I83" s="793"/>
      <c r="J83" s="2526"/>
      <c r="K83" s="2526"/>
      <c r="L83" s="2526"/>
      <c r="M83" s="2526"/>
      <c r="N83" s="2526"/>
      <c r="O83" s="2526"/>
      <c r="P83" s="2526"/>
      <c r="Q83" s="2526"/>
      <c r="R83" s="2526"/>
      <c r="S83" s="2526"/>
      <c r="T83" s="2526"/>
      <c r="U83" s="2526"/>
      <c r="V83" s="2526"/>
      <c r="W83" s="2526"/>
      <c r="X83" s="2526"/>
      <c r="Y83" s="2526"/>
      <c r="Z83" s="2526"/>
      <c r="AA83" s="2532"/>
      <c r="AB83" s="2532"/>
      <c r="AC83" s="2532"/>
      <c r="AD83" s="2532"/>
      <c r="AE83" s="2532"/>
      <c r="AF83" s="2532"/>
      <c r="AG83" s="2532"/>
      <c r="AH83" s="2532"/>
      <c r="AI83" s="2532"/>
    </row>
    <row r="84" spans="1:35" s="1175" customFormat="1" ht="14.25">
      <c r="A84" s="3369" t="s">
        <v>936</v>
      </c>
      <c r="B84" s="3370"/>
      <c r="C84" s="532"/>
      <c r="D84" s="532" t="s">
        <v>937</v>
      </c>
      <c r="E84" s="2465" t="s">
        <v>891</v>
      </c>
      <c r="F84" s="2466"/>
      <c r="G84" s="2466"/>
      <c r="H84" s="2490"/>
      <c r="I84" s="793"/>
      <c r="J84" s="2526"/>
      <c r="K84" s="2526"/>
      <c r="L84" s="2526"/>
      <c r="M84" s="2526"/>
      <c r="N84" s="2526"/>
      <c r="O84" s="2526"/>
      <c r="P84" s="2526"/>
      <c r="Q84" s="2526"/>
      <c r="R84" s="2526"/>
      <c r="S84" s="2526"/>
      <c r="T84" s="2526"/>
      <c r="U84" s="2526"/>
      <c r="V84" s="2526"/>
      <c r="W84" s="2526"/>
      <c r="X84" s="2526"/>
      <c r="Y84" s="2526"/>
      <c r="Z84" s="2526"/>
      <c r="AA84" s="2532"/>
      <c r="AB84" s="2532"/>
      <c r="AC84" s="2532"/>
      <c r="AD84" s="2532"/>
      <c r="AE84" s="2532"/>
      <c r="AF84" s="2532"/>
      <c r="AG84" s="2532"/>
      <c r="AH84" s="2532"/>
      <c r="AI84" s="2532"/>
    </row>
    <row r="85" spans="1:35" s="1175" customFormat="1" ht="14.25">
      <c r="A85" s="2413" t="s">
        <v>938</v>
      </c>
      <c r="B85" s="2453" t="s">
        <v>962</v>
      </c>
      <c r="C85" s="2456" t="e">
        <f ca="1">ROUND(D45/(1+'数据-取费表'!C42),0)</f>
        <v>#REF!</v>
      </c>
      <c r="D85" s="513" t="s">
        <v>124</v>
      </c>
      <c r="E85" s="958"/>
      <c r="F85" s="959"/>
      <c r="G85" s="959"/>
      <c r="H85" s="2491"/>
      <c r="I85" s="793"/>
      <c r="J85" s="2526"/>
      <c r="K85" s="2526"/>
      <c r="L85" s="2526"/>
      <c r="M85" s="2526"/>
      <c r="N85" s="2526"/>
      <c r="O85" s="2526"/>
      <c r="P85" s="2526"/>
      <c r="Q85" s="2526"/>
      <c r="R85" s="2526"/>
      <c r="S85" s="2526"/>
      <c r="T85" s="2526"/>
      <c r="U85" s="2526"/>
      <c r="V85" s="2526"/>
      <c r="W85" s="2526"/>
      <c r="X85" s="2526"/>
      <c r="Y85" s="2526"/>
      <c r="Z85" s="2526"/>
      <c r="AA85" s="2532"/>
      <c r="AB85" s="2532"/>
      <c r="AC85" s="2532"/>
      <c r="AD85" s="2532"/>
      <c r="AE85" s="2532"/>
      <c r="AF85" s="2532"/>
      <c r="AG85" s="2532"/>
      <c r="AH85" s="2532"/>
      <c r="AI85" s="2532"/>
    </row>
    <row r="86" spans="1:35" s="1175" customFormat="1" ht="14.25">
      <c r="A86" s="2413" t="s">
        <v>949</v>
      </c>
      <c r="B86" s="2383" t="s">
        <v>963</v>
      </c>
      <c r="C86" s="2456" t="e">
        <f ca="1">IF(H88="仅含出让金",C87+C90+C91+C92+C93+C94,C87+C91+C92+C93+C94)</f>
        <v>#REF!</v>
      </c>
      <c r="D86" s="2492"/>
      <c r="E86" s="958"/>
      <c r="F86" s="959"/>
      <c r="G86" s="959"/>
      <c r="H86" s="2491"/>
      <c r="I86" s="793"/>
      <c r="J86" s="2526"/>
      <c r="K86" s="2526"/>
      <c r="L86" s="2526"/>
      <c r="M86" s="2526"/>
      <c r="N86" s="2526"/>
      <c r="O86" s="2526"/>
      <c r="P86" s="2526"/>
      <c r="Q86" s="2526"/>
      <c r="R86" s="2526"/>
      <c r="S86" s="2526"/>
      <c r="T86" s="2526"/>
      <c r="U86" s="2526"/>
      <c r="V86" s="2526"/>
      <c r="W86" s="2526"/>
      <c r="X86" s="2526"/>
      <c r="Y86" s="2526"/>
      <c r="Z86" s="2526"/>
      <c r="AA86" s="2532"/>
      <c r="AB86" s="2532"/>
      <c r="AC86" s="2532"/>
      <c r="AD86" s="2532"/>
      <c r="AE86" s="2532"/>
      <c r="AF86" s="2532"/>
      <c r="AG86" s="2532"/>
      <c r="AH86" s="2532"/>
      <c r="AI86" s="2532"/>
    </row>
    <row r="87" spans="1:35" s="1175" customFormat="1" ht="14.25">
      <c r="A87" s="2416" t="s">
        <v>942</v>
      </c>
      <c r="B87" s="513" t="s">
        <v>982</v>
      </c>
      <c r="C87" s="2478">
        <f>C88+C89</f>
        <v>0</v>
      </c>
      <c r="D87" s="2479"/>
      <c r="E87" s="2480"/>
      <c r="F87" s="2481"/>
      <c r="G87" s="2481"/>
      <c r="H87" s="2482"/>
      <c r="I87" s="793"/>
      <c r="J87" s="2526"/>
      <c r="K87" s="2526"/>
      <c r="L87" s="2526"/>
      <c r="M87" s="2526"/>
      <c r="N87" s="2526"/>
      <c r="O87" s="2526"/>
      <c r="P87" s="2526"/>
      <c r="Q87" s="2526"/>
      <c r="R87" s="2526"/>
      <c r="S87" s="2526"/>
      <c r="T87" s="2526"/>
      <c r="U87" s="2526"/>
      <c r="V87" s="2526"/>
      <c r="W87" s="2526"/>
      <c r="X87" s="2526"/>
      <c r="Y87" s="2526"/>
      <c r="Z87" s="2526"/>
      <c r="AA87" s="2532"/>
      <c r="AB87" s="2532"/>
      <c r="AC87" s="2532"/>
      <c r="AD87" s="2532"/>
      <c r="AE87" s="2532"/>
      <c r="AF87" s="2532"/>
      <c r="AG87" s="2532"/>
      <c r="AH87" s="2532"/>
      <c r="AI87" s="2532"/>
    </row>
    <row r="88" spans="1:35" s="1175" customFormat="1" ht="14.25">
      <c r="A88" s="2416" t="s">
        <v>965</v>
      </c>
      <c r="B88" s="513" t="s">
        <v>983</v>
      </c>
      <c r="C88" s="2493"/>
      <c r="D88" s="2479"/>
      <c r="E88" s="2494" t="s">
        <v>984</v>
      </c>
      <c r="F88" s="2481"/>
      <c r="G88" s="2495" t="s">
        <v>985</v>
      </c>
      <c r="H88" s="2496"/>
      <c r="I88" s="793"/>
      <c r="J88" s="2529" t="s">
        <v>986</v>
      </c>
      <c r="K88" s="2526"/>
      <c r="L88" s="2526"/>
      <c r="M88" s="2526"/>
      <c r="N88" s="2526"/>
      <c r="O88" s="2526"/>
      <c r="P88" s="2526"/>
      <c r="Q88" s="2526"/>
      <c r="R88" s="2526"/>
      <c r="S88" s="2526"/>
      <c r="T88" s="2526"/>
      <c r="U88" s="2526"/>
      <c r="V88" s="2526"/>
      <c r="W88" s="2526"/>
      <c r="X88" s="2526"/>
      <c r="Y88" s="2526"/>
      <c r="Z88" s="2526"/>
      <c r="AA88" s="2532"/>
      <c r="AB88" s="2532"/>
      <c r="AC88" s="2532"/>
      <c r="AD88" s="2532"/>
      <c r="AE88" s="2532"/>
      <c r="AF88" s="2532"/>
      <c r="AG88" s="2532"/>
      <c r="AH88" s="2532"/>
      <c r="AI88" s="2532"/>
    </row>
    <row r="89" spans="1:35" s="1175" customFormat="1" ht="14.25">
      <c r="A89" s="2416" t="s">
        <v>969</v>
      </c>
      <c r="B89" s="513" t="s">
        <v>973</v>
      </c>
      <c r="C89" s="2478">
        <f>ROUND(C88*D89,0)</f>
        <v>0</v>
      </c>
      <c r="D89" s="2479">
        <f>'数据-取费表'!B48+'数据-取费表'!B49</f>
        <v>3.0499999999999999E-2</v>
      </c>
      <c r="E89" s="2494" t="s">
        <v>987</v>
      </c>
      <c r="F89" s="2481"/>
      <c r="G89" s="2481"/>
      <c r="H89" s="2482"/>
      <c r="I89" s="793"/>
      <c r="J89" s="2526"/>
      <c r="K89" s="2526"/>
      <c r="L89" s="2526"/>
      <c r="M89" s="2526"/>
      <c r="N89" s="2526"/>
      <c r="O89" s="2526"/>
      <c r="P89" s="2526"/>
      <c r="Q89" s="2526"/>
      <c r="R89" s="2526"/>
      <c r="S89" s="2526"/>
      <c r="T89" s="2526"/>
      <c r="U89" s="2526"/>
      <c r="V89" s="2526"/>
      <c r="W89" s="2526"/>
      <c r="X89" s="2526"/>
      <c r="Y89" s="2526"/>
      <c r="Z89" s="2526"/>
      <c r="AA89" s="2532"/>
      <c r="AB89" s="2532"/>
      <c r="AC89" s="2532"/>
      <c r="AD89" s="2532"/>
      <c r="AE89" s="2532"/>
      <c r="AF89" s="2532"/>
      <c r="AG89" s="2532"/>
      <c r="AH89" s="2532"/>
      <c r="AI89" s="2532"/>
    </row>
    <row r="90" spans="1:35" s="1175" customFormat="1" ht="14.25">
      <c r="A90" s="2416" t="s">
        <v>946</v>
      </c>
      <c r="B90" s="513" t="s">
        <v>988</v>
      </c>
      <c r="C90" s="2493"/>
      <c r="D90" s="2479"/>
      <c r="E90" s="2494" t="str">
        <f>IF(H88="-","土地取得成本中已包含该笔费用"," ")</f>
        <v xml:space="preserve"> </v>
      </c>
      <c r="F90" s="2481"/>
      <c r="G90" s="3384" t="s">
        <v>989</v>
      </c>
      <c r="H90" s="3385"/>
      <c r="I90" s="793"/>
      <c r="J90" s="2529" t="s">
        <v>990</v>
      </c>
      <c r="K90" s="2526"/>
      <c r="L90" s="2526"/>
      <c r="M90" s="2526"/>
      <c r="N90" s="2526"/>
      <c r="O90" s="2526"/>
      <c r="P90" s="2526"/>
      <c r="Q90" s="2526"/>
      <c r="R90" s="2526"/>
      <c r="S90" s="2526"/>
      <c r="T90" s="2526"/>
      <c r="U90" s="2526"/>
      <c r="V90" s="2526"/>
      <c r="W90" s="2526"/>
      <c r="X90" s="2526"/>
      <c r="Y90" s="2526"/>
      <c r="Z90" s="2526"/>
      <c r="AA90" s="2532"/>
      <c r="AB90" s="2532"/>
      <c r="AC90" s="2532"/>
      <c r="AD90" s="2532"/>
      <c r="AE90" s="2532"/>
      <c r="AF90" s="2532"/>
      <c r="AG90" s="2532"/>
      <c r="AH90" s="2532"/>
      <c r="AI90" s="2532"/>
    </row>
    <row r="91" spans="1:35" s="1175" customFormat="1" ht="27.75" customHeight="1">
      <c r="A91" s="2416" t="s">
        <v>991</v>
      </c>
      <c r="B91" s="513" t="s">
        <v>992</v>
      </c>
      <c r="C91" s="2478">
        <f>IF(H91="——",成本法!C33,I91)</f>
        <v>0</v>
      </c>
      <c r="D91" s="2479"/>
      <c r="E91" s="3349" t="s">
        <v>993</v>
      </c>
      <c r="F91" s="3350"/>
      <c r="G91" s="3350"/>
      <c r="H91" s="2497"/>
      <c r="I91" s="2530"/>
      <c r="J91" s="2526"/>
      <c r="K91" s="2526"/>
      <c r="L91" s="2526"/>
      <c r="M91" s="2526"/>
      <c r="N91" s="2526"/>
      <c r="O91" s="2526"/>
      <c r="P91" s="2526"/>
      <c r="Q91" s="2526"/>
      <c r="R91" s="2526"/>
      <c r="S91" s="2526"/>
      <c r="T91" s="2526"/>
      <c r="U91" s="2526"/>
      <c r="V91" s="2526"/>
      <c r="W91" s="2526"/>
      <c r="X91" s="2526"/>
      <c r="Y91" s="2526"/>
      <c r="Z91" s="2526"/>
      <c r="AA91" s="2532"/>
      <c r="AB91" s="2532"/>
      <c r="AC91" s="2532"/>
      <c r="AD91" s="2532"/>
      <c r="AE91" s="2532"/>
      <c r="AF91" s="2532"/>
      <c r="AG91" s="2532"/>
      <c r="AH91" s="2532"/>
      <c r="AI91" s="2532"/>
    </row>
    <row r="92" spans="1:35" s="1175" customFormat="1" ht="25.5" customHeight="1">
      <c r="A92" s="2416" t="s">
        <v>994</v>
      </c>
      <c r="B92" s="513" t="s">
        <v>995</v>
      </c>
      <c r="C92" s="2478">
        <f>ROUND((C87+C90+C91)*D92,0)</f>
        <v>0</v>
      </c>
      <c r="D92" s="2498"/>
      <c r="E92" s="3349" t="s">
        <v>996</v>
      </c>
      <c r="F92" s="3350"/>
      <c r="G92" s="3350"/>
      <c r="H92" s="3351"/>
      <c r="I92" s="793"/>
      <c r="J92" s="2531" t="s">
        <v>997</v>
      </c>
      <c r="K92" s="2526"/>
      <c r="L92" s="2526"/>
      <c r="M92" s="2526"/>
      <c r="N92" s="2526"/>
      <c r="O92" s="2526"/>
      <c r="P92" s="2526"/>
      <c r="Q92" s="2526"/>
      <c r="R92" s="2526"/>
      <c r="S92" s="2526"/>
      <c r="T92" s="2526"/>
      <c r="U92" s="2526"/>
      <c r="V92" s="2526"/>
      <c r="W92" s="2526"/>
      <c r="X92" s="2526"/>
      <c r="Y92" s="2526"/>
      <c r="Z92" s="2526"/>
      <c r="AA92" s="2532"/>
      <c r="AB92" s="2532"/>
      <c r="AC92" s="2532"/>
      <c r="AD92" s="2532"/>
      <c r="AE92" s="2532"/>
      <c r="AF92" s="2532"/>
      <c r="AG92" s="2532"/>
      <c r="AH92" s="2532"/>
      <c r="AI92" s="2532"/>
    </row>
    <row r="93" spans="1:35" s="1175" customFormat="1" ht="25.5" customHeight="1">
      <c r="A93" s="2416" t="s">
        <v>998</v>
      </c>
      <c r="B93" s="513" t="s">
        <v>975</v>
      </c>
      <c r="C93" s="2478" t="e">
        <f ca="1">ROUND(D45*D93/(1+'数据-取费表'!C42),0)</f>
        <v>#REF!</v>
      </c>
      <c r="D93" s="2479">
        <f>'数据-取费表'!B43</f>
        <v>6.000000000000001E-3</v>
      </c>
      <c r="E93" s="3349" t="s">
        <v>976</v>
      </c>
      <c r="F93" s="3350"/>
      <c r="G93" s="3350"/>
      <c r="H93" s="3351"/>
      <c r="I93" s="793"/>
      <c r="J93" s="2526"/>
      <c r="K93" s="2526"/>
      <c r="L93" s="2526"/>
      <c r="M93" s="2526"/>
      <c r="N93" s="2526"/>
      <c r="O93" s="2526"/>
      <c r="P93" s="2526"/>
      <c r="Q93" s="2526"/>
      <c r="R93" s="2526"/>
      <c r="S93" s="2526"/>
      <c r="T93" s="2526"/>
      <c r="U93" s="2526"/>
      <c r="V93" s="2526"/>
      <c r="W93" s="2526"/>
      <c r="X93" s="2526"/>
      <c r="Y93" s="2526"/>
      <c r="Z93" s="2526"/>
      <c r="AA93" s="2532"/>
      <c r="AB93" s="2532"/>
      <c r="AC93" s="2532"/>
      <c r="AD93" s="2532"/>
      <c r="AE93" s="2532"/>
      <c r="AF93" s="2532"/>
      <c r="AG93" s="2532"/>
      <c r="AH93" s="2532"/>
      <c r="AI93" s="2532"/>
    </row>
    <row r="94" spans="1:35" s="1175" customFormat="1" ht="36.75" customHeight="1">
      <c r="A94" s="2416" t="s">
        <v>999</v>
      </c>
      <c r="B94" s="513" t="s">
        <v>1000</v>
      </c>
      <c r="C94" s="2493">
        <f>ROUND((C87+C90+C91)*D94,0)</f>
        <v>0</v>
      </c>
      <c r="D94" s="2479">
        <v>0.2</v>
      </c>
      <c r="E94" s="3352" t="s">
        <v>1001</v>
      </c>
      <c r="F94" s="3353"/>
      <c r="G94" s="3353"/>
      <c r="H94" s="3354"/>
      <c r="I94" s="793"/>
      <c r="J94" s="2526"/>
      <c r="K94" s="2526"/>
      <c r="L94" s="2526"/>
      <c r="M94" s="2526"/>
      <c r="N94" s="2526"/>
      <c r="O94" s="2526"/>
      <c r="P94" s="2526"/>
      <c r="Q94" s="2526"/>
      <c r="R94" s="2526"/>
      <c r="S94" s="2526"/>
      <c r="T94" s="2526"/>
      <c r="U94" s="2526"/>
      <c r="V94" s="2526"/>
      <c r="W94" s="2526"/>
      <c r="X94" s="2526"/>
      <c r="Y94" s="2526"/>
      <c r="Z94" s="2526"/>
      <c r="AA94" s="2532"/>
      <c r="AB94" s="2532"/>
      <c r="AC94" s="2532"/>
      <c r="AD94" s="2532"/>
      <c r="AE94" s="2532"/>
      <c r="AF94" s="2532"/>
      <c r="AG94" s="2532"/>
      <c r="AH94" s="2532"/>
      <c r="AI94" s="2532"/>
    </row>
    <row r="95" spans="1:35" s="1175" customFormat="1" ht="14.25">
      <c r="A95" s="2413" t="s">
        <v>954</v>
      </c>
      <c r="B95" s="2453" t="s">
        <v>977</v>
      </c>
      <c r="C95" s="2456" t="e">
        <f ca="1">ROUND(C85-C86,0)</f>
        <v>#REF!</v>
      </c>
      <c r="D95" s="513" t="s">
        <v>124</v>
      </c>
      <c r="E95" s="958"/>
      <c r="F95" s="959"/>
      <c r="G95" s="959"/>
      <c r="H95" s="2491"/>
      <c r="I95" s="793"/>
      <c r="J95" s="2526"/>
      <c r="K95" s="2526"/>
      <c r="L95" s="2526"/>
      <c r="M95" s="2526"/>
      <c r="N95" s="2526"/>
      <c r="O95" s="2526"/>
      <c r="P95" s="2526"/>
      <c r="Q95" s="2526"/>
      <c r="R95" s="2526"/>
      <c r="S95" s="2526"/>
      <c r="T95" s="2526"/>
      <c r="U95" s="2526"/>
      <c r="V95" s="2526"/>
      <c r="W95" s="2526"/>
      <c r="X95" s="2526"/>
      <c r="Y95" s="2526"/>
      <c r="Z95" s="2526"/>
      <c r="AA95" s="2532"/>
      <c r="AB95" s="2532"/>
      <c r="AC95" s="2532"/>
      <c r="AD95" s="2532"/>
      <c r="AE95" s="2532"/>
      <c r="AF95" s="2532"/>
      <c r="AG95" s="2532"/>
      <c r="AH95" s="2532"/>
      <c r="AI95" s="2532"/>
    </row>
    <row r="96" spans="1:35" s="1175" customFormat="1" ht="24">
      <c r="A96" s="2413" t="s">
        <v>957</v>
      </c>
      <c r="B96" s="2453" t="s">
        <v>978</v>
      </c>
      <c r="C96" s="2483" t="e">
        <f ca="1">IF(C95&lt;=0,0,C95/C86)</f>
        <v>#REF!</v>
      </c>
      <c r="D96" s="513" t="s">
        <v>124</v>
      </c>
      <c r="E96" s="1082" t="e">
        <f ca="1">IF(C96&gt;=200%,"增值额超过扣除项目金额200%",IF(C96&gt;=100%,"增值额超过扣除项目金额100%，未超过200%",IF(C96&gt;=50%,"增值额超过扣除项目金额50%，未超过100%",IF(C96&lt;50%,"增值额未超过扣除项目金额50%"))))</f>
        <v>#REF!</v>
      </c>
      <c r="F96" s="959"/>
      <c r="G96" s="959"/>
      <c r="H96" s="2491"/>
      <c r="I96" s="793"/>
      <c r="J96" s="2526"/>
      <c r="K96" s="2526"/>
      <c r="L96" s="2526"/>
      <c r="M96" s="2526"/>
      <c r="N96" s="2526"/>
      <c r="O96" s="2526"/>
      <c r="P96" s="2526"/>
      <c r="Q96" s="2526"/>
      <c r="R96" s="2526"/>
      <c r="S96" s="2526"/>
      <c r="T96" s="2526"/>
      <c r="U96" s="2526"/>
      <c r="V96" s="2526"/>
      <c r="W96" s="2526"/>
      <c r="X96" s="2526"/>
      <c r="Y96" s="2526"/>
      <c r="Z96" s="2526"/>
      <c r="AA96" s="2532"/>
      <c r="AB96" s="2532"/>
      <c r="AC96" s="2532"/>
      <c r="AD96" s="2532"/>
      <c r="AE96" s="2532"/>
      <c r="AF96" s="2532"/>
      <c r="AG96" s="2532"/>
      <c r="AH96" s="2532"/>
      <c r="AI96" s="2532"/>
    </row>
    <row r="97" spans="1:35" s="1175" customFormat="1" ht="24">
      <c r="A97" s="2457" t="s">
        <v>979</v>
      </c>
      <c r="B97" s="2458" t="s">
        <v>980</v>
      </c>
      <c r="C97" s="2484" t="e">
        <f ca="1">ROUND(IF(C95&lt;=0,0,IF(C96&gt;=200%,C95*60%-C86*35%,IF(C96&gt;=100%,C95*50%-C86*15%,IF(C96&gt;=50%,C95*40%-C86*5%,IF(C96&lt;50%,C95*30%,0))))),0)</f>
        <v>#REF!</v>
      </c>
      <c r="D97" s="782" t="s">
        <v>124</v>
      </c>
      <c r="E97" s="24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86"/>
      <c r="G97" s="2486"/>
      <c r="H97" s="2499"/>
      <c r="I97" s="793"/>
      <c r="J97" s="2526"/>
      <c r="K97" s="2526"/>
      <c r="L97" s="2526"/>
      <c r="M97" s="2526"/>
      <c r="N97" s="2526"/>
      <c r="O97" s="2526"/>
      <c r="P97" s="2526"/>
      <c r="Q97" s="2526"/>
      <c r="R97" s="2526"/>
      <c r="S97" s="2526"/>
      <c r="T97" s="2526"/>
      <c r="U97" s="2526"/>
      <c r="V97" s="2526"/>
      <c r="W97" s="2526"/>
      <c r="X97" s="2526"/>
      <c r="Y97" s="2526"/>
      <c r="Z97" s="2526"/>
      <c r="AA97" s="2532"/>
      <c r="AB97" s="2532"/>
      <c r="AC97" s="2532"/>
      <c r="AD97" s="2532"/>
      <c r="AE97" s="2532"/>
      <c r="AF97" s="2532"/>
      <c r="AG97" s="2532"/>
      <c r="AH97" s="2532"/>
      <c r="AI97" s="2532"/>
    </row>
    <row r="98" spans="1:35" ht="21.75" customHeight="1">
      <c r="A98" s="2409"/>
      <c r="B98" s="1075"/>
      <c r="C98" s="1075"/>
      <c r="D98" s="1075"/>
      <c r="E98" s="2410"/>
      <c r="F98" s="2410"/>
      <c r="G98" s="2410"/>
      <c r="H98" s="2371"/>
      <c r="I98" s="1006"/>
    </row>
    <row r="99" spans="1:35" ht="21.75" customHeight="1">
      <c r="A99" s="2373" t="s">
        <v>1002</v>
      </c>
      <c r="B99" s="1075"/>
      <c r="C99" s="1075"/>
      <c r="D99" s="1075"/>
      <c r="E99" s="2410"/>
      <c r="F99" s="2410"/>
      <c r="G99" s="2410"/>
      <c r="H99" s="2371"/>
      <c r="I99" s="1006"/>
    </row>
    <row r="100" spans="1:35" ht="18.75" customHeight="1">
      <c r="A100" s="3327" t="s">
        <v>1003</v>
      </c>
      <c r="B100" s="3328"/>
      <c r="C100" s="3328"/>
      <c r="D100" s="3355"/>
      <c r="E100" s="3328" t="s">
        <v>1004</v>
      </c>
      <c r="F100" s="3328"/>
      <c r="G100" s="3328"/>
      <c r="H100" s="3355"/>
      <c r="I100" s="1006"/>
    </row>
    <row r="101" spans="1:35" ht="18.75" customHeight="1">
      <c r="A101" s="3356" t="s">
        <v>1005</v>
      </c>
      <c r="B101" s="3357"/>
      <c r="C101" s="2501" t="str">
        <f>C4</f>
        <v>比较法-办公</v>
      </c>
      <c r="D101" s="2502" t="str">
        <f>D4</f>
        <v>收益法（汇总）</v>
      </c>
      <c r="E101" s="3380" t="s">
        <v>1006</v>
      </c>
      <c r="F101" s="3375"/>
      <c r="G101" s="2504" t="s">
        <v>1007</v>
      </c>
      <c r="H101" s="2505" t="e">
        <f ca="1">H118</f>
        <v>#REF!</v>
      </c>
      <c r="I101" s="1006"/>
    </row>
    <row r="102" spans="1:35" ht="18.75" customHeight="1">
      <c r="A102" s="3340" t="s">
        <v>1008</v>
      </c>
      <c r="B102" s="2506" t="s">
        <v>1007</v>
      </c>
      <c r="C102" s="2501">
        <f ca="1">IF(D32="楼面单价",ROUND(C19,0),C19)</f>
        <v>278550</v>
      </c>
      <c r="D102" s="2502">
        <f ca="1">IF(D32="楼面单价",ROUND(D19,0),D19)</f>
        <v>212122</v>
      </c>
      <c r="E102" s="3380"/>
      <c r="F102" s="3375"/>
      <c r="G102" s="2504" t="s">
        <v>99</v>
      </c>
      <c r="H102" s="2399" t="e">
        <f ca="1">I118</f>
        <v>#REF!</v>
      </c>
      <c r="I102" s="1006"/>
    </row>
    <row r="103" spans="1:35" ht="42.75" customHeight="1">
      <c r="A103" s="3340"/>
      <c r="B103" s="2506" t="s">
        <v>99</v>
      </c>
      <c r="C103" s="2507">
        <f ca="1">C20</f>
        <v>42708</v>
      </c>
      <c r="D103" s="2508">
        <f ca="1">D20</f>
        <v>32523</v>
      </c>
      <c r="E103" s="3358" t="s">
        <v>1009</v>
      </c>
      <c r="F103" s="3359"/>
      <c r="G103" s="2509" t="s">
        <v>102</v>
      </c>
      <c r="H103" s="2505">
        <f>IF(D36="正常操作",H104+H105+H106,H105+H106)</f>
        <v>0</v>
      </c>
      <c r="I103" s="1006"/>
    </row>
    <row r="104" spans="1:35" ht="18.75" customHeight="1">
      <c r="A104" s="3340" t="s">
        <v>1010</v>
      </c>
      <c r="B104" s="2510" t="s">
        <v>1007</v>
      </c>
      <c r="C104" s="2511" t="e">
        <f ca="1">H118</f>
        <v>#REF!</v>
      </c>
      <c r="D104" s="2512"/>
      <c r="E104" s="2356" t="s">
        <v>1011</v>
      </c>
      <c r="F104" s="2513"/>
      <c r="G104" s="2509" t="s">
        <v>102</v>
      </c>
      <c r="H104" s="2514">
        <f>IF(D36="同一抵押权人同一抵押物续贷",C36&amp;"（续贷，未扣减，详见特别提示）",C36)</f>
        <v>0</v>
      </c>
      <c r="I104" s="1006"/>
    </row>
    <row r="105" spans="1:35" ht="18.75" customHeight="1">
      <c r="A105" s="3341"/>
      <c r="B105" s="2515" t="s">
        <v>99</v>
      </c>
      <c r="C105" s="2516" t="e">
        <f ca="1">I118</f>
        <v>#REF!</v>
      </c>
      <c r="D105" s="2517"/>
      <c r="E105" s="2356" t="s">
        <v>1012</v>
      </c>
      <c r="F105" s="2513"/>
      <c r="G105" s="2509" t="s">
        <v>102</v>
      </c>
      <c r="H105" s="2518">
        <f>C37</f>
        <v>0</v>
      </c>
      <c r="I105" s="1006"/>
    </row>
    <row r="106" spans="1:35" ht="18.75" customHeight="1">
      <c r="A106" s="1075" t="s">
        <v>1013</v>
      </c>
      <c r="B106" s="1075"/>
      <c r="C106" s="1075"/>
      <c r="D106" s="1075"/>
      <c r="E106" s="2519" t="s">
        <v>1014</v>
      </c>
      <c r="F106" s="2513"/>
      <c r="G106" s="2509" t="s">
        <v>102</v>
      </c>
      <c r="H106" s="2518">
        <f>C38</f>
        <v>0</v>
      </c>
      <c r="I106" s="1006"/>
    </row>
    <row r="107" spans="1:35" ht="18.75" customHeight="1">
      <c r="A107" s="1006"/>
      <c r="B107" s="1006"/>
      <c r="C107" s="1006"/>
      <c r="D107" s="1006"/>
      <c r="E107" s="3374" t="str">
        <f>IF(项目基本情况!E8="已注销","——","3.房地产抵押价值")</f>
        <v>3.房地产抵押价值</v>
      </c>
      <c r="F107" s="3375"/>
      <c r="G107" s="2504" t="s">
        <v>1007</v>
      </c>
      <c r="H107" s="2505" t="e">
        <f ca="1">IF(E107="——","——",H101-H103)</f>
        <v>#REF!</v>
      </c>
      <c r="I107" s="1006"/>
    </row>
    <row r="108" spans="1:35" ht="18.75" customHeight="1">
      <c r="A108" s="1006"/>
      <c r="B108" s="1006"/>
      <c r="C108" s="1006"/>
      <c r="D108" s="1006"/>
      <c r="E108" s="3374"/>
      <c r="F108" s="3375"/>
      <c r="G108" s="2504" t="s">
        <v>99</v>
      </c>
      <c r="H108" s="2399">
        <f ca="1">IF(H107=H101,H102,ROUND(H107*10000/'数据-汇总表'!E3,0))</f>
        <v>0</v>
      </c>
      <c r="I108" s="1006"/>
    </row>
    <row r="109" spans="1:35" ht="18.75" customHeight="1">
      <c r="A109" s="1006"/>
      <c r="B109" s="1006"/>
      <c r="C109" s="1006"/>
      <c r="D109" s="1006"/>
      <c r="E109" s="3374" t="str">
        <f>IF(项目基本情况!E8="已注销及未注销","4.抵押担保权已注销时的房地产抵押价值",IF(项目基本情况!E8="已注销","3.抵押担保权已注销时的房地产抵押价值","——"))</f>
        <v>——</v>
      </c>
      <c r="F109" s="3375"/>
      <c r="G109" s="2504" t="s">
        <v>1007</v>
      </c>
      <c r="H109" s="2520" t="str">
        <f>IF(E109="——","——",H101-H105-H106)</f>
        <v>——</v>
      </c>
      <c r="I109" s="1006"/>
    </row>
    <row r="110" spans="1:35" ht="18.75" customHeight="1">
      <c r="A110" s="1006"/>
      <c r="B110" s="1006"/>
      <c r="C110" s="1006"/>
      <c r="D110" s="1006"/>
      <c r="E110" s="3374"/>
      <c r="F110" s="3375"/>
      <c r="G110" s="2504" t="s">
        <v>99</v>
      </c>
      <c r="H110" s="2399" t="str">
        <f>IF(H109="——","——",ROUND(H109*10000/'数据-汇总表'!E3,0))</f>
        <v>——</v>
      </c>
      <c r="I110" s="1006"/>
    </row>
    <row r="111" spans="1:35" ht="18.75" customHeight="1">
      <c r="A111" s="1006"/>
      <c r="B111" s="1006"/>
      <c r="C111" s="1006"/>
      <c r="D111" s="1006"/>
      <c r="E111" s="3376" t="str">
        <f>IF(项目基本情况!E9="抵押净值",IF(OR(项目基本情况!E8="已注销",项目基本情况!E8="房地产抵押价值"),"4.抵押净值","5.抵押净值"),"——")</f>
        <v>——</v>
      </c>
      <c r="F111" s="3377"/>
      <c r="G111" s="2504" t="s">
        <v>1007</v>
      </c>
      <c r="H111" s="2505" t="str">
        <f>IF(E111="——","——",N59)</f>
        <v>——</v>
      </c>
      <c r="I111" s="1006"/>
    </row>
    <row r="112" spans="1:35" ht="18.75" customHeight="1">
      <c r="A112" s="1006"/>
      <c r="B112" s="1006"/>
      <c r="C112" s="1006"/>
      <c r="D112" s="1006"/>
      <c r="E112" s="3378"/>
      <c r="F112" s="3379"/>
      <c r="G112" s="2521" t="s">
        <v>99</v>
      </c>
      <c r="H112" s="2522" t="str">
        <f>IF(E111="——","——",N61)</f>
        <v>——</v>
      </c>
      <c r="I112" s="1006"/>
    </row>
    <row r="113" spans="1:27" ht="18.75" customHeight="1">
      <c r="A113" s="1006"/>
      <c r="B113" s="1006"/>
      <c r="C113" s="1006"/>
      <c r="D113" s="1006"/>
      <c r="E113" s="3360" t="s">
        <v>1013</v>
      </c>
      <c r="F113" s="3360"/>
      <c r="G113" s="3360"/>
      <c r="H113" s="3360"/>
      <c r="I113" s="1006"/>
    </row>
    <row r="114" spans="1:27" ht="3.75" customHeight="1">
      <c r="A114" s="1075"/>
      <c r="B114" s="1075"/>
      <c r="C114" s="1075"/>
      <c r="D114" s="1075"/>
      <c r="E114" s="2409"/>
      <c r="F114" s="2409"/>
      <c r="G114" s="2409"/>
      <c r="H114" s="2409"/>
      <c r="I114" s="1075"/>
    </row>
    <row r="115" spans="1:27" ht="18.75" customHeight="1">
      <c r="A115" s="3361" t="s">
        <v>1015</v>
      </c>
      <c r="B115" s="3362"/>
      <c r="C115" s="3362"/>
      <c r="D115" s="3362"/>
      <c r="E115" s="3362"/>
      <c r="F115" s="3362"/>
      <c r="G115" s="3362"/>
      <c r="H115" s="3362"/>
      <c r="I115" s="3363"/>
    </row>
    <row r="116" spans="1:27" ht="27" customHeight="1">
      <c r="A116" s="3334" t="s">
        <v>1016</v>
      </c>
      <c r="B116" s="3343" t="s">
        <v>1017</v>
      </c>
      <c r="C116" s="3343" t="s">
        <v>1018</v>
      </c>
      <c r="D116" s="3364" t="s">
        <v>1019</v>
      </c>
      <c r="E116" s="3365"/>
      <c r="F116" s="3366" t="s">
        <v>1020</v>
      </c>
      <c r="G116" s="3366"/>
      <c r="H116" s="3334" t="s">
        <v>1021</v>
      </c>
      <c r="I116" s="3334"/>
    </row>
    <row r="117" spans="1:27" ht="18.75" customHeight="1">
      <c r="A117" s="3334"/>
      <c r="B117" s="3344"/>
      <c r="C117" s="3344"/>
      <c r="D117" s="872" t="s">
        <v>1022</v>
      </c>
      <c r="E117" s="872" t="s">
        <v>851</v>
      </c>
      <c r="F117" s="872" t="s">
        <v>1022</v>
      </c>
      <c r="G117" s="872" t="s">
        <v>851</v>
      </c>
      <c r="H117" s="872" t="s">
        <v>1022</v>
      </c>
      <c r="I117" s="872" t="s">
        <v>851</v>
      </c>
    </row>
    <row r="118" spans="1:27" ht="24.75" customHeight="1">
      <c r="A118" s="2523" t="str">
        <f>项目基本情况!S2</f>
        <v>北京市房地产</v>
      </c>
      <c r="B118" s="872">
        <f>M18</f>
        <v>65221.919999999998</v>
      </c>
      <c r="C118" s="872">
        <f>M19</f>
        <v>12590.6</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t="e">
        <f ca="1">ROUND(IF(D32="总价",C32,I118*B118/10000),0)</f>
        <v>#REF!</v>
      </c>
      <c r="I118" s="872" t="e">
        <f ca="1">ROUND(IF(D32="楼面单价",C32,H118*10000/B118),0)</f>
        <v>#REF!</v>
      </c>
    </row>
    <row r="119" spans="1:27" ht="18.75" customHeight="1">
      <c r="A119" s="3334" t="s">
        <v>1023</v>
      </c>
      <c r="B119" s="3334"/>
      <c r="C119" s="3334"/>
      <c r="D119" s="3346" t="e">
        <f ca="1">NUMBERSTRING(INT(D118*10000),2)&amp;"元整"</f>
        <v>#REF!</v>
      </c>
      <c r="E119" s="3348"/>
      <c r="F119" s="3346" t="e">
        <f ca="1">NUMBERSTRING(INT(F118*10000),2)&amp;"元整"</f>
        <v>#REF!</v>
      </c>
      <c r="G119" s="3348"/>
      <c r="H119" s="3346" t="e">
        <f ca="1">NUMBERSTRING(INT(H118*10000),2)&amp;"元整"</f>
        <v>#REF!</v>
      </c>
      <c r="I119" s="3348"/>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2287"/>
      <c r="K120" s="2287" t="str">
        <f>IF(D120=0,"故，本次评估不存在"&amp;A120,"故，本次评估"&amp;A120&amp;"为人民币"&amp;D120&amp;"万元整。")</f>
        <v>故，本次评估不存在估价师知悉的法定优先受偿款</v>
      </c>
      <c r="L120" s="2287"/>
      <c r="M120" s="2287"/>
      <c r="N120" s="2287"/>
      <c r="O120" s="2287"/>
      <c r="P120" s="2287"/>
      <c r="Q120" s="2287"/>
      <c r="R120" s="2287"/>
      <c r="S120" s="2287"/>
    </row>
    <row r="121" spans="1:27" ht="18.75" customHeight="1">
      <c r="A121" s="3346" t="s">
        <v>1023</v>
      </c>
      <c r="B121" s="3347"/>
      <c r="C121" s="3348"/>
      <c r="D121" s="3346" t="str">
        <f>IF(D120=0,"零元整",NUMBERSTRING(INT(D120*10000),2)&amp;"元整")</f>
        <v>零元整</v>
      </c>
      <c r="E121" s="3347"/>
      <c r="F121" s="3347"/>
      <c r="G121" s="3347"/>
      <c r="H121" s="3347"/>
      <c r="I121" s="3348"/>
      <c r="AA121" s="1192"/>
    </row>
    <row r="122" spans="1:27" ht="18.75" customHeight="1">
      <c r="A122" s="3377" t="str">
        <f>IF(项目基本情况!B9="房地产市场价值","",MID(E107,3,LEN(E107)-2))</f>
        <v>房地产抵押价值</v>
      </c>
      <c r="B122" s="3377"/>
      <c r="C122" s="3377"/>
      <c r="D122" s="3381" t="e">
        <f ca="1">H107</f>
        <v>#REF!</v>
      </c>
      <c r="E122" s="3382"/>
      <c r="F122" s="3382"/>
      <c r="G122" s="3382"/>
      <c r="H122" s="3382"/>
      <c r="I122" s="3383"/>
      <c r="AA122" s="1192"/>
    </row>
    <row r="123" spans="1:27" ht="18.75" customHeight="1">
      <c r="A123" s="3334" t="s">
        <v>1023</v>
      </c>
      <c r="B123" s="3334"/>
      <c r="C123" s="3334"/>
      <c r="D123" s="3346" t="e">
        <f ca="1">NUMBERSTRING(INT(D122*10000),2)&amp;"元整"</f>
        <v>#REF!</v>
      </c>
      <c r="E123" s="3347"/>
      <c r="F123" s="3347"/>
      <c r="G123" s="3347"/>
      <c r="H123" s="3347"/>
      <c r="I123" s="3348"/>
      <c r="AA123" s="1192"/>
    </row>
    <row r="124" spans="1:27" ht="18.75" customHeight="1">
      <c r="A124" s="3377" t="str">
        <f>IF(项目基本情况!B9="房地产市场价值","",MID(E109,3,LEN(E109)-2))</f>
        <v/>
      </c>
      <c r="B124" s="3377"/>
      <c r="C124" s="3377"/>
      <c r="D124" s="3381" t="str">
        <f>H109</f>
        <v>——</v>
      </c>
      <c r="E124" s="3382"/>
      <c r="F124" s="3382"/>
      <c r="G124" s="3382"/>
      <c r="H124" s="3382"/>
      <c r="I124" s="3383"/>
      <c r="AA124" s="1192"/>
    </row>
    <row r="125" spans="1:27" ht="18.75" customHeight="1">
      <c r="A125" s="3334" t="s">
        <v>1023</v>
      </c>
      <c r="B125" s="3334"/>
      <c r="C125" s="3334"/>
      <c r="D125" s="3346" t="e">
        <f>NUMBERSTRING(INT(D124*10000),2)&amp;"元整"</f>
        <v>#VALUE!</v>
      </c>
      <c r="E125" s="3347"/>
      <c r="F125" s="3347"/>
      <c r="G125" s="3347"/>
      <c r="H125" s="3347"/>
      <c r="I125" s="3348"/>
      <c r="AA125" s="1192"/>
    </row>
    <row r="126" spans="1:27" ht="18.75" customHeight="1">
      <c r="A126" s="3377" t="str">
        <f>IF(项目基本情况!B9="房地产市场价值","",MID(E111,3,LEN(E111)-2))</f>
        <v/>
      </c>
      <c r="B126" s="3377"/>
      <c r="C126" s="3377"/>
      <c r="D126" s="3381" t="str">
        <f>H111</f>
        <v>——</v>
      </c>
      <c r="E126" s="3382"/>
      <c r="F126" s="3382"/>
      <c r="G126" s="3382"/>
      <c r="H126" s="3382"/>
      <c r="I126" s="3383"/>
      <c r="AA126" s="1192"/>
    </row>
    <row r="127" spans="1:27" ht="18.75" customHeight="1">
      <c r="A127" s="3334" t="s">
        <v>1023</v>
      </c>
      <c r="B127" s="3334"/>
      <c r="C127" s="3334"/>
      <c r="D127" s="3346" t="e">
        <f>NUMBERSTRING(INT(D126*10000),2)&amp;"元整"</f>
        <v>#VALUE!</v>
      </c>
      <c r="E127" s="3347"/>
      <c r="F127" s="3347"/>
      <c r="G127" s="3347"/>
      <c r="H127" s="3347"/>
      <c r="I127" s="3348"/>
      <c r="AA127" s="1192"/>
    </row>
    <row r="128" spans="1:27" ht="21.75" customHeight="1">
      <c r="A128" s="3333" t="s">
        <v>113</v>
      </c>
      <c r="B128" s="3333"/>
      <c r="C128" s="3333"/>
      <c r="D128" s="3333"/>
      <c r="E128" s="3333"/>
      <c r="F128" s="3333"/>
      <c r="G128" s="3333"/>
      <c r="H128" s="3333"/>
      <c r="I128" s="3333"/>
      <c r="AA128" s="1192"/>
    </row>
    <row r="129" spans="1:35" ht="21.75" customHeight="1">
      <c r="A129" s="2533" t="s">
        <v>1024</v>
      </c>
      <c r="B129" s="2534"/>
      <c r="C129" s="2535" t="s">
        <v>1025</v>
      </c>
      <c r="D129" s="2536"/>
      <c r="E129" s="2536"/>
      <c r="F129" s="2536"/>
      <c r="G129" s="2536"/>
      <c r="H129" s="2537"/>
      <c r="I129" s="2550"/>
      <c r="AA129" s="1192"/>
    </row>
    <row r="130" spans="1:35" ht="21.75" customHeight="1">
      <c r="A130" s="2538">
        <v>1</v>
      </c>
      <c r="B130" s="2539"/>
      <c r="C130" s="2539"/>
      <c r="D130" s="1289"/>
      <c r="E130" s="1289"/>
      <c r="F130" s="1289"/>
      <c r="G130" s="1289"/>
      <c r="H130" s="1272"/>
      <c r="I130" s="2551"/>
      <c r="AA130" s="1192"/>
    </row>
    <row r="131" spans="1:35" ht="21.75" customHeight="1">
      <c r="A131" s="2538">
        <v>2</v>
      </c>
      <c r="B131" s="2539"/>
      <c r="C131" s="2539"/>
      <c r="D131" s="1289"/>
      <c r="E131" s="1289"/>
      <c r="F131" s="1289"/>
      <c r="G131" s="1289"/>
      <c r="H131" s="1272"/>
      <c r="I131" s="2551"/>
      <c r="AA131" s="1192"/>
    </row>
    <row r="132" spans="1:35" ht="21.75" customHeight="1">
      <c r="A132" s="2538">
        <v>3</v>
      </c>
      <c r="B132" s="2539"/>
      <c r="C132" s="2539"/>
      <c r="D132" s="1289"/>
      <c r="E132" s="1289"/>
      <c r="F132" s="1289"/>
      <c r="G132" s="1289"/>
      <c r="H132" s="1272"/>
      <c r="I132" s="2551"/>
      <c r="AA132" s="1192"/>
    </row>
    <row r="133" spans="1:35" ht="21.75" customHeight="1">
      <c r="A133" s="2540"/>
      <c r="B133" s="2541"/>
      <c r="C133" s="2541"/>
      <c r="D133" s="2542"/>
      <c r="E133" s="2542"/>
      <c r="F133" s="2542"/>
      <c r="G133" s="2542"/>
      <c r="H133" s="2543"/>
      <c r="I133" s="2552"/>
    </row>
    <row r="134" spans="1:35" ht="21.75" customHeight="1">
      <c r="A134" s="2539"/>
      <c r="B134" s="2539"/>
      <c r="C134" s="2539"/>
      <c r="D134" s="1289"/>
      <c r="E134" s="1289"/>
      <c r="F134" s="1289"/>
      <c r="G134" s="1289"/>
      <c r="H134" s="1272"/>
      <c r="I134" s="1192"/>
    </row>
    <row r="135" spans="1:35" ht="21.75" customHeight="1">
      <c r="A135" s="1192"/>
      <c r="B135" s="1192"/>
      <c r="C135" s="1192"/>
      <c r="D135" s="1192"/>
      <c r="E135" s="1192"/>
      <c r="F135" s="2544" t="s">
        <v>1026</v>
      </c>
      <c r="G135" s="2545"/>
      <c r="H135" s="2545"/>
      <c r="I135" s="2553" t="s">
        <v>1027</v>
      </c>
    </row>
    <row r="136" spans="1:35" ht="21.75" customHeight="1">
      <c r="A136" s="1192"/>
      <c r="B136" s="2546" t="s">
        <v>1028</v>
      </c>
      <c r="C136" s="1192"/>
      <c r="D136" s="1192"/>
      <c r="E136" s="1192"/>
      <c r="F136" s="1192"/>
      <c r="G136" s="1192"/>
      <c r="H136" s="1192"/>
      <c r="I136" s="1192"/>
    </row>
    <row r="137" spans="1:35" ht="21.75" customHeight="1">
      <c r="A137" s="1192"/>
      <c r="B137" s="1192"/>
      <c r="C137" s="1192"/>
      <c r="D137" s="1192"/>
      <c r="E137" s="1192"/>
      <c r="F137" s="1192"/>
      <c r="G137" s="1192"/>
      <c r="H137" s="1192"/>
      <c r="I137" s="1192"/>
    </row>
    <row r="138" spans="1:35" ht="21.75" customHeight="1">
      <c r="A138" s="1192"/>
      <c r="B138" s="2545"/>
      <c r="C138" s="2545"/>
      <c r="D138" s="2545"/>
      <c r="E138" s="2545"/>
      <c r="F138" s="2545"/>
      <c r="G138" s="2545"/>
      <c r="H138" s="2545"/>
      <c r="I138" s="2553" t="s">
        <v>1029</v>
      </c>
    </row>
    <row r="139" spans="1:35" ht="21.75" customHeight="1">
      <c r="A139" s="1192"/>
      <c r="B139" s="2546" t="s">
        <v>1030</v>
      </c>
      <c r="C139" s="1192"/>
      <c r="D139" s="1192"/>
      <c r="E139" s="1192"/>
      <c r="F139" s="1192"/>
      <c r="G139" s="1192"/>
      <c r="H139" s="1192"/>
      <c r="I139" s="1192"/>
    </row>
    <row r="140" spans="1:35" ht="21.75" customHeight="1">
      <c r="A140" s="1192"/>
      <c r="B140" s="2546"/>
      <c r="C140" s="1192"/>
      <c r="D140" s="1192"/>
      <c r="E140" s="1192"/>
      <c r="F140" s="1192"/>
      <c r="G140" s="1192"/>
      <c r="H140" s="1192"/>
      <c r="I140" s="1192"/>
    </row>
    <row r="141" spans="1:35" ht="21.75" customHeight="1">
      <c r="A141" s="1192"/>
      <c r="B141" s="2545"/>
      <c r="C141" s="2545"/>
      <c r="D141" s="2545"/>
      <c r="E141" s="2545"/>
      <c r="F141" s="2545"/>
      <c r="G141" s="2545"/>
      <c r="H141" s="2545"/>
      <c r="I141" s="2553" t="s">
        <v>1029</v>
      </c>
    </row>
    <row r="142" spans="1:35" ht="21.75" customHeight="1">
      <c r="A142" s="1192"/>
      <c r="B142" s="2546"/>
      <c r="C142" s="2547"/>
      <c r="D142" s="2548"/>
      <c r="E142" s="2548"/>
      <c r="F142" s="2549"/>
      <c r="G142" s="1192"/>
      <c r="H142" s="1192"/>
      <c r="I142" s="1192"/>
    </row>
    <row r="143" spans="1:35" s="1191" customFormat="1" ht="21.75" customHeight="1">
      <c r="A143" s="1192"/>
      <c r="B143" s="2546"/>
      <c r="C143" s="2547"/>
      <c r="D143" s="2548"/>
      <c r="E143" s="2548"/>
      <c r="F143" s="2549"/>
      <c r="G143" s="1192"/>
      <c r="H143" s="1192"/>
      <c r="I143" s="1192"/>
      <c r="J143" s="1192"/>
      <c r="K143" s="1192"/>
      <c r="L143" s="1192"/>
      <c r="M143" s="1192"/>
      <c r="N143" s="1192"/>
      <c r="O143" s="1192"/>
      <c r="P143" s="1192"/>
      <c r="Q143" s="1192"/>
      <c r="R143" s="1192"/>
      <c r="S143" s="1192"/>
      <c r="T143" s="1192"/>
      <c r="U143" s="1192"/>
      <c r="V143" s="1192"/>
      <c r="W143" s="1192"/>
      <c r="X143" s="1192"/>
      <c r="Y143" s="1192"/>
      <c r="Z143" s="1192"/>
      <c r="AA143" s="1192"/>
      <c r="AB143" s="1192"/>
      <c r="AC143" s="1192"/>
      <c r="AD143" s="1192"/>
      <c r="AE143" s="1192"/>
      <c r="AF143" s="1192"/>
      <c r="AG143" s="1192"/>
      <c r="AH143" s="1192"/>
      <c r="AI143" s="1192"/>
    </row>
    <row r="144" spans="1:35" s="1191" customFormat="1" ht="21.75" customHeight="1">
      <c r="A144" s="1192"/>
      <c r="B144" s="1192"/>
      <c r="C144" s="1192"/>
      <c r="D144" s="1192"/>
      <c r="E144" s="1192"/>
      <c r="F144" s="1192"/>
      <c r="G144" s="1192"/>
      <c r="H144" s="1192"/>
      <c r="I144" s="1192"/>
      <c r="J144" s="1192"/>
      <c r="K144" s="1192"/>
      <c r="L144" s="1192"/>
      <c r="M144" s="1192"/>
      <c r="N144" s="1192"/>
      <c r="O144" s="1192"/>
      <c r="P144" s="1192"/>
      <c r="Q144" s="1192"/>
      <c r="R144" s="1192"/>
      <c r="S144" s="1192"/>
      <c r="T144" s="1192"/>
      <c r="U144" s="1192"/>
      <c r="V144" s="1192"/>
      <c r="W144" s="1192"/>
      <c r="X144" s="1192"/>
      <c r="Y144" s="1192"/>
      <c r="Z144" s="1192"/>
      <c r="AA144" s="1192"/>
      <c r="AB144" s="1192"/>
      <c r="AC144" s="1192"/>
      <c r="AD144" s="1192"/>
      <c r="AE144" s="1192"/>
      <c r="AF144" s="1192"/>
      <c r="AG144" s="1192"/>
      <c r="AH144" s="1192"/>
      <c r="AI144" s="1192"/>
    </row>
    <row r="145" spans="1:35" s="1191" customFormat="1" ht="21.75" customHeight="1">
      <c r="A145" s="1192"/>
      <c r="B145" s="1192"/>
      <c r="C145" s="1192"/>
      <c r="D145" s="1192"/>
      <c r="E145" s="1192"/>
      <c r="F145" s="1192"/>
      <c r="G145" s="1192"/>
      <c r="H145" s="1192"/>
      <c r="I145" s="1192"/>
      <c r="J145" s="1192"/>
      <c r="K145" s="1192"/>
      <c r="L145" s="1192"/>
      <c r="M145" s="1192"/>
      <c r="N145" s="1192"/>
      <c r="O145" s="1192"/>
      <c r="P145" s="1192"/>
      <c r="Q145" s="1192"/>
      <c r="R145" s="1192"/>
      <c r="S145" s="1192"/>
      <c r="T145" s="1192"/>
      <c r="U145" s="1192"/>
      <c r="V145" s="1192"/>
      <c r="W145" s="1192"/>
      <c r="X145" s="1192"/>
      <c r="Y145" s="1192"/>
      <c r="Z145" s="1192"/>
      <c r="AA145" s="1192"/>
      <c r="AB145" s="1192"/>
      <c r="AC145" s="1192"/>
      <c r="AD145" s="1192"/>
      <c r="AE145" s="1192"/>
      <c r="AF145" s="1192"/>
      <c r="AG145" s="1192"/>
      <c r="AH145" s="1192"/>
      <c r="AI145" s="1192"/>
    </row>
    <row r="146" spans="1:35" s="1192" customFormat="1" ht="21.75" customHeight="1"/>
    <row r="147" spans="1:35" s="1192" customFormat="1" ht="21.75" customHeight="1"/>
    <row r="148" spans="1:35" s="1192" customFormat="1" ht="21.75" customHeight="1"/>
    <row r="149" spans="1:35" s="1192" customFormat="1" ht="21.75" customHeight="1"/>
    <row r="150" spans="1:35" s="1192" customFormat="1" ht="21.75" customHeight="1"/>
    <row r="151" spans="1:35" s="1192" customFormat="1" ht="21.75" customHeight="1"/>
    <row r="152" spans="1:35" s="1192" customFormat="1" ht="21.75" customHeight="1"/>
    <row r="153" spans="1:35" s="1192" customFormat="1" ht="21.75" customHeight="1"/>
    <row r="154" spans="1:35" s="1192" customFormat="1" ht="21.75" customHeight="1"/>
    <row r="155" spans="1:35" s="1192" customFormat="1" ht="21.75" customHeight="1"/>
    <row r="156" spans="1:35" s="1192" customFormat="1" ht="21.75" customHeight="1"/>
    <row r="157" spans="1:35" s="1192" customFormat="1" ht="21.75" customHeight="1"/>
    <row r="158" spans="1:35" s="1192" customFormat="1" ht="21.75" customHeight="1"/>
    <row r="159" spans="1:35" s="1192" customFormat="1" ht="21.75" customHeight="1"/>
    <row r="160" spans="1:35" s="1192" customFormat="1" ht="21.75" customHeight="1"/>
    <row r="161" s="1192" customFormat="1" ht="21.75" customHeight="1"/>
    <row r="162" s="1192" customFormat="1" ht="21.75" customHeight="1"/>
    <row r="163" s="1192" customFormat="1" ht="21.75" customHeight="1"/>
    <row r="164" s="1192" customFormat="1" ht="21.75" customHeight="1"/>
    <row r="165" s="1192" customFormat="1" ht="21.75" customHeight="1"/>
    <row r="166" s="1192" customFormat="1" ht="21.75" customHeight="1"/>
    <row r="167" s="1192" customFormat="1" ht="21.75" customHeight="1"/>
    <row r="168" s="1192" customFormat="1" ht="21.75" customHeight="1"/>
    <row r="169" s="1192" customFormat="1" ht="21.75" customHeight="1"/>
    <row r="170" s="1192" customFormat="1" ht="21.75" customHeight="1"/>
    <row r="171" s="1192" customFormat="1" ht="21.75" customHeight="1"/>
    <row r="172" s="1192" customFormat="1" ht="21.75" customHeight="1"/>
    <row r="173" s="1192" customFormat="1" ht="21.75" customHeight="1"/>
    <row r="174" s="1192" customFormat="1" ht="21.75" customHeight="1"/>
    <row r="175" s="1192" customFormat="1" ht="21.75" customHeight="1"/>
    <row r="176" s="1192" customFormat="1" ht="21.75" customHeight="1"/>
    <row r="177" s="1192" customFormat="1" ht="21.75" customHeight="1"/>
    <row r="178" s="1192" customFormat="1" ht="21.75" customHeight="1"/>
    <row r="179" s="1192" customFormat="1" ht="21.75" customHeight="1"/>
    <row r="180" s="1192" customFormat="1" ht="21.75" customHeight="1"/>
    <row r="181" s="1192" customFormat="1" ht="21.75" customHeight="1"/>
    <row r="182" s="1192" customFormat="1" ht="21.75" customHeight="1"/>
    <row r="183" s="1192" customFormat="1" ht="21.75" customHeight="1"/>
    <row r="184" s="1192" customFormat="1" ht="21.75" customHeight="1"/>
    <row r="185" s="1192" customFormat="1" ht="21.75" customHeight="1"/>
    <row r="186" s="1192" customFormat="1" ht="21.75" customHeight="1"/>
    <row r="187" s="1192" customFormat="1" ht="21.75" customHeight="1"/>
    <row r="188" s="1192" customFormat="1" ht="21.75" customHeight="1"/>
    <row r="189" s="1192" customFormat="1" ht="21.75" customHeight="1"/>
    <row r="190" s="1192" customFormat="1" ht="21.75" customHeight="1"/>
    <row r="191" s="1192" customFormat="1" ht="21.75" customHeight="1"/>
    <row r="192" s="1192" customFormat="1" ht="21.75" customHeight="1"/>
    <row r="193" s="1192" customFormat="1" ht="21.75" customHeight="1"/>
    <row r="194" s="1192" customFormat="1" ht="21.75" customHeight="1"/>
    <row r="195" s="1192" customFormat="1" ht="21.75" customHeight="1"/>
    <row r="196" s="1192" customFormat="1" ht="21.75" customHeight="1"/>
    <row r="197" s="1192" customFormat="1" ht="21.75" customHeight="1"/>
    <row r="198" s="1192" customFormat="1" ht="21.75" customHeight="1"/>
    <row r="199" s="1192" customFormat="1" ht="21.75" customHeight="1"/>
    <row r="200" s="1192" customFormat="1" ht="21.75" customHeight="1"/>
    <row r="201" s="1192" customFormat="1" ht="21.75" customHeight="1"/>
    <row r="202" s="1192" customFormat="1" ht="21.75" customHeight="1"/>
    <row r="203" s="1192" customFormat="1" ht="21.75" customHeight="1"/>
    <row r="204" s="1192" customFormat="1" ht="21.75" customHeight="1"/>
    <row r="205" s="1192" customFormat="1" ht="21.75" customHeight="1"/>
    <row r="206" s="1192" customFormat="1" ht="21.75" customHeight="1"/>
    <row r="207" s="1192" customFormat="1" ht="21.75" customHeight="1"/>
    <row r="208" s="1192" customFormat="1" ht="21.75" customHeight="1"/>
    <row r="209" s="1192" customFormat="1" ht="21.75" customHeight="1"/>
    <row r="210" s="1192" customFormat="1" ht="21.75" customHeight="1"/>
    <row r="211" s="1192" customFormat="1" ht="21.75" customHeight="1"/>
    <row r="212" s="1192" customFormat="1" ht="21.75" customHeight="1"/>
    <row r="213" s="1192" customFormat="1" ht="21.75" customHeight="1"/>
    <row r="214" s="1192" customFormat="1" ht="21.75" customHeight="1"/>
    <row r="215" s="1192" customFormat="1" ht="21.75" customHeight="1"/>
    <row r="216" s="1192" customFormat="1" ht="21.75" customHeight="1"/>
    <row r="217" s="1192" customFormat="1" ht="21.75" customHeight="1"/>
    <row r="218" s="1192" customFormat="1" ht="21.75" customHeight="1"/>
    <row r="219" s="1192" customFormat="1" ht="21.75" customHeight="1"/>
    <row r="220" s="1192" customFormat="1" ht="21.75" customHeight="1"/>
    <row r="221" s="1192" customFormat="1" ht="21.75" customHeight="1"/>
    <row r="222" s="1192" customFormat="1" ht="21.75" customHeight="1"/>
    <row r="223" s="1192" customFormat="1" ht="21.75" customHeight="1"/>
    <row r="224" s="1192" customFormat="1" ht="21.75" customHeight="1"/>
    <row r="225" s="1192" customFormat="1" ht="21.75" customHeight="1"/>
    <row r="226" s="1192" customFormat="1" ht="21.75" customHeight="1"/>
    <row r="227" s="1192" customFormat="1" ht="21.75" customHeight="1"/>
    <row r="228" s="1192" customFormat="1" ht="21.75" customHeight="1"/>
    <row r="229" s="1192" customFormat="1" ht="21.75" customHeight="1"/>
    <row r="230" s="1192" customFormat="1" ht="21.75" customHeight="1"/>
    <row r="231" s="1192" customFormat="1" ht="21.75" customHeight="1"/>
    <row r="232" s="1192" customFormat="1" ht="21.75" customHeight="1"/>
    <row r="233" s="1192" customFormat="1" ht="21.75" customHeight="1"/>
    <row r="234" s="1192" customFormat="1" ht="21.75" customHeight="1"/>
    <row r="235" s="1192" customFormat="1" ht="21.75" customHeight="1"/>
    <row r="236" s="1192" customFormat="1" ht="21.75" customHeight="1"/>
    <row r="237" s="1192" customFormat="1" ht="21.75" customHeight="1"/>
    <row r="238" s="1192" customFormat="1" ht="21.75" customHeight="1"/>
    <row r="239" s="1192" customFormat="1" ht="21.75" customHeight="1"/>
    <row r="240" s="1192" customFormat="1" ht="21.75" customHeight="1"/>
    <row r="241" s="1192" customFormat="1" ht="21.75" customHeight="1"/>
    <row r="242" s="1192" customFormat="1" ht="21.75" customHeight="1"/>
    <row r="243" s="1192" customFormat="1" ht="21.75" customHeight="1"/>
    <row r="244" s="1192" customFormat="1" ht="21.75" customHeight="1"/>
    <row r="245" s="1192" customFormat="1" ht="21.75" customHeight="1"/>
    <row r="246" s="1192" customFormat="1" ht="21.75" customHeight="1"/>
    <row r="247" s="1192" customFormat="1" ht="21.75" customHeight="1"/>
    <row r="248" s="1192" customFormat="1" ht="21.75" customHeight="1"/>
    <row r="249" s="1192" customFormat="1" ht="21.75" customHeight="1"/>
    <row r="250" s="1192" customFormat="1" ht="21.75" customHeight="1"/>
    <row r="251" s="1192" customFormat="1" ht="21.75" customHeight="1"/>
    <row r="252" s="1192" customFormat="1" ht="21.75" customHeight="1"/>
    <row r="253" s="1192" customFormat="1" ht="21.75" customHeight="1"/>
    <row r="254" s="1192" customFormat="1" ht="21.75" customHeight="1"/>
    <row r="255" s="1192" customFormat="1" ht="21.75" customHeight="1"/>
    <row r="256" s="1192" customFormat="1" ht="21.75" customHeight="1"/>
    <row r="257" s="1192" customFormat="1" ht="21.75" customHeight="1"/>
    <row r="258" s="1192" customFormat="1" ht="21.75" customHeight="1"/>
    <row r="259" s="1192" customFormat="1" ht="21.75" customHeight="1"/>
    <row r="260" s="1192" customFormat="1" ht="21.75" customHeight="1"/>
    <row r="261" s="1192" customFormat="1" ht="21.75" customHeight="1"/>
    <row r="262" s="1192" customFormat="1" ht="21.75" customHeight="1"/>
    <row r="263" s="1192" customFormat="1" ht="21.75" customHeight="1"/>
    <row r="264" s="1192" customFormat="1" ht="21.75" customHeight="1"/>
    <row r="265" s="1192" customFormat="1" ht="21.75" customHeight="1"/>
    <row r="266" s="1192" customFormat="1" ht="21.75" customHeight="1"/>
    <row r="267" s="1192" customFormat="1" ht="21.75" customHeight="1"/>
    <row r="268" s="1192" customFormat="1" ht="21.75" customHeight="1"/>
    <row r="269" s="1192" customFormat="1" ht="21.75" customHeight="1"/>
    <row r="270" s="1192" customFormat="1" ht="21.75" customHeight="1"/>
    <row r="271" s="1192" customFormat="1" ht="21.75" customHeight="1"/>
    <row r="272" s="1192" customFormat="1" ht="21.75" customHeight="1"/>
    <row r="273" s="1192" customFormat="1" ht="21.75" customHeight="1"/>
    <row r="274" s="1192" customFormat="1" ht="21.75" customHeight="1"/>
    <row r="275" s="1192" customFormat="1" ht="21.75" customHeight="1"/>
    <row r="276" s="1192" customFormat="1" ht="21.75" customHeight="1"/>
    <row r="277" s="1192" customFormat="1" ht="21.75" customHeight="1"/>
    <row r="278" s="1192" customFormat="1" ht="21.75" customHeight="1"/>
    <row r="279" s="1192" customFormat="1" ht="21.75" customHeight="1"/>
    <row r="280" s="1192" customFormat="1" ht="21.75" customHeight="1"/>
    <row r="281" s="1192" customFormat="1" ht="21.75" customHeight="1"/>
    <row r="282" s="1192" customFormat="1" ht="21.75" customHeight="1"/>
    <row r="283" s="1192" customFormat="1" ht="21.75" customHeight="1"/>
    <row r="284" s="1192" customFormat="1" ht="21.75" customHeight="1"/>
    <row r="285" s="1192" customFormat="1" ht="21.75" customHeight="1"/>
    <row r="286" s="1192" customFormat="1" ht="21.75" customHeight="1"/>
    <row r="287" s="1192" customFormat="1" ht="21.75" customHeight="1"/>
    <row r="288" s="1192" customFormat="1" ht="21.75" customHeight="1"/>
    <row r="289" s="1192" customFormat="1" ht="21.75" customHeight="1"/>
    <row r="290" s="1192" customFormat="1" ht="21.75" customHeight="1"/>
    <row r="291" s="1192" customFormat="1" ht="21.75" customHeight="1"/>
    <row r="292" s="1192" customFormat="1" ht="21.75" customHeight="1"/>
    <row r="293" s="1192" customFormat="1" ht="21.75" customHeight="1"/>
    <row r="294" s="1192" customFormat="1" ht="21.75" customHeight="1"/>
    <row r="295" s="1192" customFormat="1" ht="21.75" customHeight="1"/>
    <row r="296" s="1192" customFormat="1" ht="21.75" customHeight="1"/>
    <row r="297" s="1192" customFormat="1" ht="21.75" customHeight="1"/>
    <row r="298" s="1192" customFormat="1" ht="21.75" customHeight="1"/>
    <row r="299" s="1192" customFormat="1" ht="21.75" customHeight="1"/>
    <row r="300" s="1192" customFormat="1" ht="21.75" customHeight="1"/>
    <row r="301" s="1192" customFormat="1" ht="21.75" customHeight="1"/>
    <row r="302" s="1192" customFormat="1" ht="21.75" customHeight="1"/>
    <row r="303" s="1192" customFormat="1" ht="21.75" customHeight="1"/>
    <row r="304" s="1192" customFormat="1" ht="21.75" customHeight="1"/>
    <row r="305" s="1192" customFormat="1" ht="21.75" customHeight="1"/>
    <row r="306" s="1192" customFormat="1" ht="21.75" customHeight="1"/>
    <row r="307" s="1192" customFormat="1" ht="21.75" customHeight="1"/>
    <row r="308" s="1192" customFormat="1" ht="21.75" customHeight="1"/>
    <row r="309" s="1192" customFormat="1" ht="21.75" customHeight="1"/>
    <row r="310" s="1192" customFormat="1" ht="21.75" customHeight="1"/>
    <row r="311" s="1192" customFormat="1" ht="21.75" customHeight="1"/>
    <row r="312" s="1192" customFormat="1" ht="21.75" customHeight="1"/>
    <row r="313" s="1192" customFormat="1" ht="21.75" customHeight="1"/>
    <row r="314" s="1192" customFormat="1" ht="21.75" customHeight="1"/>
    <row r="315" s="1192" customFormat="1" ht="21.75" customHeight="1"/>
    <row r="316" s="1192" customFormat="1" ht="21.75" customHeight="1"/>
    <row r="317" s="1192" customFormat="1" ht="21.75" customHeight="1"/>
    <row r="318" s="1192" customFormat="1" ht="21.75" customHeight="1"/>
    <row r="319" s="1192" customFormat="1" ht="21.75" customHeight="1"/>
    <row r="320" s="1192" customFormat="1" ht="21.75" customHeight="1"/>
    <row r="321" s="1192" customFormat="1" ht="21.75" customHeight="1"/>
    <row r="322" s="1192" customFormat="1" ht="21.75" customHeight="1"/>
    <row r="323" s="1192" customFormat="1" ht="21.75" customHeight="1"/>
    <row r="324" s="1192" customFormat="1" ht="21.75" customHeight="1"/>
    <row r="325" s="1192" customFormat="1" ht="21.75" customHeight="1"/>
    <row r="326" s="1192" customFormat="1" ht="21.75" customHeight="1"/>
    <row r="327" s="1192" customFormat="1" ht="21.75" customHeight="1"/>
    <row r="328" s="1192" customFormat="1" ht="21.75" customHeight="1"/>
    <row r="329" s="1192" customFormat="1" ht="21.75" customHeight="1"/>
    <row r="330" s="1192" customFormat="1" ht="21.75" customHeight="1"/>
    <row r="331" s="1192" customFormat="1" ht="21.75" customHeight="1"/>
    <row r="332" s="1192" customFormat="1" ht="21.75" customHeight="1"/>
    <row r="333" s="1192" customFormat="1" ht="21.75" customHeight="1"/>
    <row r="334" s="1192" customFormat="1" ht="21.75" customHeight="1"/>
    <row r="335" s="1192" customFormat="1" ht="21.75" customHeight="1"/>
    <row r="336" s="1192" customFormat="1" ht="21.75" customHeight="1"/>
    <row r="337" s="1192" customFormat="1" ht="21.75" customHeight="1"/>
    <row r="338" s="1192" customFormat="1" ht="21.75" customHeight="1"/>
    <row r="339" s="1192" customFormat="1" ht="21.75" customHeight="1"/>
    <row r="340" s="1192" customFormat="1" ht="21.75" customHeight="1"/>
    <row r="341" s="1192" customFormat="1" ht="21.75" customHeight="1"/>
    <row r="342" s="1192" customFormat="1" ht="21.75" customHeight="1"/>
    <row r="343" s="1192" customFormat="1" ht="21.75" customHeight="1"/>
    <row r="344" s="1192" customFormat="1" ht="21.75" customHeight="1"/>
    <row r="345" s="1192" customFormat="1" ht="21.75" customHeight="1"/>
    <row r="346" s="1192" customFormat="1" ht="21.75" customHeight="1"/>
    <row r="347" s="1192" customFormat="1" ht="21.75" customHeight="1"/>
    <row r="348" s="1192" customFormat="1" ht="21.75" customHeight="1"/>
    <row r="349" s="1192" customFormat="1" ht="21.75" customHeight="1"/>
    <row r="350" s="1192" customFormat="1" ht="21.75" customHeight="1"/>
    <row r="351" s="1192" customFormat="1" ht="21.75" customHeight="1"/>
    <row r="352" s="1192" customFormat="1" ht="21.75" customHeight="1"/>
    <row r="353" s="1192" customFormat="1" ht="21.75" customHeight="1"/>
    <row r="354" s="1192" customFormat="1" ht="21.75" customHeight="1"/>
    <row r="355" s="1192" customFormat="1" ht="21.75" customHeight="1"/>
    <row r="356" s="1192" customFormat="1" ht="21.75" customHeight="1"/>
    <row r="357" s="1192" customFormat="1" ht="21.75" customHeight="1"/>
    <row r="358" s="1192" customFormat="1" ht="21.75" customHeight="1"/>
    <row r="359" s="1192" customFormat="1" ht="21.75" customHeight="1"/>
    <row r="360" s="1192" customFormat="1" ht="21.75" customHeight="1"/>
    <row r="361" s="1192" customFormat="1" ht="21.75" customHeight="1"/>
    <row r="362" s="1192" customFormat="1" ht="21.75" customHeight="1"/>
    <row r="363" s="1192" customFormat="1" ht="21.75" customHeight="1"/>
    <row r="364" s="1192" customFormat="1" ht="21.75" customHeight="1"/>
    <row r="365" s="1192" customFormat="1" ht="21.75" customHeight="1"/>
    <row r="366" s="1192" customFormat="1" ht="21.75" customHeight="1"/>
    <row r="367" s="1192" customFormat="1" ht="21.75" customHeight="1"/>
    <row r="368" s="1192" customFormat="1" ht="21.75" customHeight="1"/>
    <row r="369" s="1192" customFormat="1" ht="21.75" customHeight="1"/>
    <row r="370" s="1192" customFormat="1" ht="21.75" customHeight="1"/>
    <row r="371" s="1192" customFormat="1" ht="21.75" customHeight="1"/>
    <row r="372" s="1192" customFormat="1" ht="21.75" customHeight="1"/>
    <row r="373" s="1192" customFormat="1" ht="21.75" customHeight="1"/>
    <row r="374" s="1192" customFormat="1" ht="21.75" customHeight="1"/>
    <row r="375" s="1192" customFormat="1" ht="21.75" customHeight="1"/>
    <row r="376" s="1192" customFormat="1" ht="21.75" customHeight="1"/>
    <row r="377" s="1192" customFormat="1" ht="21.75" customHeight="1"/>
    <row r="378" s="1192" customFormat="1" ht="21.75" customHeight="1"/>
    <row r="379" s="1192" customFormat="1" ht="21.75" customHeight="1"/>
    <row r="380" s="1192" customFormat="1" ht="21.75" customHeight="1"/>
    <row r="381" s="1192" customFormat="1" ht="21.75" customHeight="1"/>
    <row r="382" s="1192" customFormat="1" ht="21.75" customHeight="1"/>
    <row r="383" s="1192" customFormat="1" ht="21.75" customHeight="1"/>
    <row r="384" s="1192" customFormat="1" ht="21.75" customHeight="1"/>
    <row r="385" s="1192" customFormat="1" ht="21.75" customHeight="1"/>
    <row r="386" s="1192" customFormat="1" ht="21.75" customHeight="1"/>
    <row r="387" s="1192" customFormat="1" ht="21.75" customHeight="1"/>
    <row r="388" s="1192" customFormat="1" ht="21.75" customHeight="1"/>
    <row r="389" s="1192" customFormat="1" ht="21.75" customHeight="1"/>
    <row r="390" s="1192" customFormat="1" ht="21.75" customHeight="1"/>
    <row r="391" s="1192" customFormat="1" ht="21.75" customHeight="1"/>
    <row r="392" s="1192" customFormat="1" ht="21.75" customHeight="1"/>
    <row r="393" s="1192" customFormat="1" ht="21.75" customHeight="1"/>
    <row r="394" s="1192" customFormat="1" ht="21.75" customHeight="1"/>
    <row r="395" s="1192" customFormat="1" ht="21.75" customHeight="1"/>
    <row r="396" s="1192" customFormat="1" ht="21.75" customHeight="1"/>
    <row r="397" s="1192" customFormat="1" ht="21.75" customHeight="1"/>
    <row r="398" s="1192" customFormat="1" ht="21.75" customHeight="1"/>
    <row r="399" s="1192" customFormat="1" ht="21.75" customHeight="1"/>
    <row r="400" s="1192" customFormat="1" ht="21.75" customHeight="1"/>
    <row r="401" spans="10:26" s="1192" customFormat="1" ht="21.75" customHeight="1"/>
    <row r="402" spans="10:26" s="1192" customFormat="1" ht="21.75" customHeight="1"/>
    <row r="403" spans="10:26" s="1192" customFormat="1" ht="21.75" customHeight="1"/>
    <row r="404" spans="10:26" s="1192" customFormat="1" ht="21.75" customHeight="1"/>
    <row r="405" spans="10:26" s="1192" customFormat="1" ht="21.75" customHeight="1"/>
    <row r="406" spans="10:26" s="1192" customFormat="1" ht="21.75" customHeight="1"/>
    <row r="407" spans="10:26" s="1192" customFormat="1" ht="21.75" customHeight="1"/>
    <row r="408" spans="10:26" s="1192" customFormat="1" ht="21.75" customHeight="1"/>
    <row r="409" spans="10:26" s="2287" customFormat="1" ht="21.75" customHeight="1">
      <c r="J409" s="1192"/>
      <c r="K409" s="1192"/>
      <c r="L409" s="1192"/>
      <c r="M409" s="1192"/>
      <c r="N409" s="1192"/>
      <c r="O409" s="1192"/>
      <c r="P409" s="1192"/>
      <c r="Q409" s="1192"/>
      <c r="R409" s="1192"/>
      <c r="S409" s="1192"/>
      <c r="T409" s="1192"/>
      <c r="U409" s="1192"/>
      <c r="V409" s="1192"/>
      <c r="W409" s="1192"/>
      <c r="X409" s="1192"/>
      <c r="Y409" s="1192"/>
      <c r="Z409" s="1192"/>
    </row>
    <row r="410" spans="10:26" s="2287" customFormat="1" ht="21.75" customHeight="1">
      <c r="J410" s="1192"/>
      <c r="K410" s="1192"/>
      <c r="L410" s="1192"/>
      <c r="M410" s="1192"/>
      <c r="N410" s="1192"/>
      <c r="O410" s="1192"/>
      <c r="P410" s="1192"/>
      <c r="Q410" s="1192"/>
      <c r="R410" s="1192"/>
      <c r="S410" s="1192"/>
      <c r="T410" s="1192"/>
      <c r="U410" s="1192"/>
      <c r="V410" s="1192"/>
      <c r="W410" s="1192"/>
      <c r="X410" s="1192"/>
      <c r="Y410" s="1192"/>
      <c r="Z410" s="1192"/>
    </row>
    <row r="411" spans="10:26" s="2287" customFormat="1" ht="21.75" customHeight="1">
      <c r="J411" s="1192"/>
      <c r="K411" s="1192"/>
      <c r="L411" s="1192"/>
      <c r="M411" s="1192"/>
      <c r="N411" s="1192"/>
      <c r="O411" s="1192"/>
      <c r="P411" s="1192"/>
      <c r="Q411" s="1192"/>
      <c r="R411" s="1192"/>
      <c r="S411" s="1192"/>
      <c r="T411" s="1192"/>
      <c r="U411" s="1192"/>
      <c r="V411" s="1192"/>
      <c r="W411" s="1192"/>
      <c r="X411" s="1192"/>
      <c r="Y411" s="1192"/>
      <c r="Z411" s="1192"/>
    </row>
    <row r="412" spans="10:26" s="2287" customFormat="1" ht="21.75" customHeight="1">
      <c r="J412" s="1192"/>
      <c r="K412" s="1192"/>
      <c r="L412" s="1192"/>
      <c r="M412" s="1192"/>
      <c r="N412" s="1192"/>
      <c r="O412" s="1192"/>
      <c r="P412" s="1192"/>
      <c r="Q412" s="1192"/>
      <c r="R412" s="1192"/>
      <c r="S412" s="1192"/>
      <c r="T412" s="1192"/>
      <c r="U412" s="1192"/>
      <c r="V412" s="1192"/>
      <c r="W412" s="1192"/>
      <c r="X412" s="1192"/>
      <c r="Y412" s="1192"/>
      <c r="Z412" s="1192"/>
    </row>
    <row r="413" spans="10:26" s="2287" customFormat="1" ht="21.75" customHeight="1">
      <c r="J413" s="1192"/>
      <c r="K413" s="1192"/>
      <c r="L413" s="1192"/>
      <c r="M413" s="1192"/>
      <c r="N413" s="1192"/>
      <c r="O413" s="1192"/>
      <c r="P413" s="1192"/>
      <c r="Q413" s="1192"/>
      <c r="R413" s="1192"/>
      <c r="S413" s="1192"/>
      <c r="T413" s="1192"/>
      <c r="U413" s="1192"/>
      <c r="V413" s="1192"/>
      <c r="W413" s="1192"/>
      <c r="X413" s="1192"/>
      <c r="Y413" s="1192"/>
      <c r="Z413" s="1192"/>
    </row>
    <row r="414" spans="10:26" s="2287" customFormat="1" ht="21.75" customHeight="1">
      <c r="J414" s="1192"/>
      <c r="K414" s="1192"/>
      <c r="L414" s="1192"/>
      <c r="M414" s="1192"/>
      <c r="N414" s="1192"/>
      <c r="O414" s="1192"/>
      <c r="P414" s="1192"/>
      <c r="Q414" s="1192"/>
      <c r="R414" s="1192"/>
      <c r="S414" s="1192"/>
      <c r="T414" s="1192"/>
      <c r="U414" s="1192"/>
      <c r="V414" s="1192"/>
      <c r="W414" s="1192"/>
      <c r="X414" s="1192"/>
      <c r="Y414" s="1192"/>
      <c r="Z414" s="1192"/>
    </row>
    <row r="415" spans="10:26" s="2287" customFormat="1" ht="21.75" customHeight="1">
      <c r="J415" s="1192"/>
      <c r="K415" s="1192"/>
      <c r="L415" s="1192"/>
      <c r="M415" s="1192"/>
      <c r="N415" s="1192"/>
      <c r="O415" s="1192"/>
      <c r="P415" s="1192"/>
      <c r="Q415" s="1192"/>
      <c r="R415" s="1192"/>
      <c r="S415" s="1192"/>
      <c r="T415" s="1192"/>
      <c r="U415" s="1192"/>
      <c r="V415" s="1192"/>
      <c r="W415" s="1192"/>
      <c r="X415" s="1192"/>
      <c r="Y415" s="1192"/>
      <c r="Z415" s="1192"/>
    </row>
    <row r="416" spans="10:26" s="2287" customFormat="1" ht="21.75" customHeight="1">
      <c r="J416" s="1192"/>
      <c r="K416" s="1192"/>
      <c r="L416" s="1192"/>
      <c r="M416" s="1192"/>
      <c r="N416" s="1192"/>
      <c r="O416" s="1192"/>
      <c r="P416" s="1192"/>
      <c r="Q416" s="1192"/>
      <c r="R416" s="1192"/>
      <c r="S416" s="1192"/>
      <c r="T416" s="1192"/>
      <c r="U416" s="1192"/>
      <c r="V416" s="1192"/>
      <c r="W416" s="1192"/>
      <c r="X416" s="1192"/>
      <c r="Y416" s="1192"/>
      <c r="Z416" s="1192"/>
    </row>
    <row r="417" spans="10:26" s="2287" customFormat="1" ht="21.75" customHeight="1">
      <c r="J417" s="1192"/>
      <c r="K417" s="1192"/>
      <c r="L417" s="1192"/>
      <c r="M417" s="1192"/>
      <c r="N417" s="1192"/>
      <c r="O417" s="1192"/>
      <c r="P417" s="1192"/>
      <c r="Q417" s="1192"/>
      <c r="R417" s="1192"/>
      <c r="S417" s="1192"/>
      <c r="T417" s="1192"/>
      <c r="U417" s="1192"/>
      <c r="V417" s="1192"/>
      <c r="W417" s="1192"/>
      <c r="X417" s="1192"/>
      <c r="Y417" s="1192"/>
      <c r="Z417" s="1192"/>
    </row>
    <row r="418" spans="10:26" s="2287" customFormat="1" ht="21.75" customHeight="1">
      <c r="J418" s="1192"/>
      <c r="K418" s="1192"/>
      <c r="L418" s="1192"/>
      <c r="M418" s="1192"/>
      <c r="N418" s="1192"/>
      <c r="O418" s="1192"/>
      <c r="P418" s="1192"/>
      <c r="Q418" s="1192"/>
      <c r="R418" s="1192"/>
      <c r="S418" s="1192"/>
      <c r="T418" s="1192"/>
      <c r="U418" s="1192"/>
      <c r="V418" s="1192"/>
      <c r="W418" s="1192"/>
      <c r="X418" s="1192"/>
      <c r="Y418" s="1192"/>
      <c r="Z418" s="1192"/>
    </row>
    <row r="419" spans="10:26" s="2287" customFormat="1" ht="21.75" customHeight="1">
      <c r="J419" s="1192"/>
      <c r="K419" s="1192"/>
      <c r="L419" s="1192"/>
      <c r="M419" s="1192"/>
      <c r="N419" s="1192"/>
      <c r="O419" s="1192"/>
      <c r="P419" s="1192"/>
      <c r="Q419" s="1192"/>
      <c r="R419" s="1192"/>
      <c r="S419" s="1192"/>
      <c r="T419" s="1192"/>
      <c r="U419" s="1192"/>
      <c r="V419" s="1192"/>
      <c r="W419" s="1192"/>
      <c r="X419" s="1192"/>
      <c r="Y419" s="1192"/>
      <c r="Z419" s="1192"/>
    </row>
    <row r="420" spans="10:26" s="2287" customFormat="1" ht="21.75" customHeight="1">
      <c r="J420" s="1192"/>
      <c r="K420" s="1192"/>
      <c r="L420" s="1192"/>
      <c r="M420" s="1192"/>
      <c r="N420" s="1192"/>
      <c r="O420" s="1192"/>
      <c r="P420" s="1192"/>
      <c r="Q420" s="1192"/>
      <c r="R420" s="1192"/>
      <c r="S420" s="1192"/>
      <c r="T420" s="1192"/>
      <c r="U420" s="1192"/>
      <c r="V420" s="1192"/>
      <c r="W420" s="1192"/>
      <c r="X420" s="1192"/>
      <c r="Y420" s="1192"/>
      <c r="Z420" s="1192"/>
    </row>
    <row r="421" spans="10:26" s="2287" customFormat="1" ht="21.75" customHeight="1">
      <c r="J421" s="1192"/>
      <c r="K421" s="1192"/>
      <c r="L421" s="1192"/>
      <c r="M421" s="1192"/>
      <c r="N421" s="1192"/>
      <c r="O421" s="1192"/>
      <c r="P421" s="1192"/>
      <c r="Q421" s="1192"/>
      <c r="R421" s="1192"/>
      <c r="S421" s="1192"/>
      <c r="T421" s="1192"/>
      <c r="U421" s="1192"/>
      <c r="V421" s="1192"/>
      <c r="W421" s="1192"/>
      <c r="X421" s="1192"/>
      <c r="Y421" s="1192"/>
      <c r="Z421" s="1192"/>
    </row>
    <row r="422" spans="10:26" s="2287" customFormat="1" ht="21.75" customHeight="1">
      <c r="J422" s="1192"/>
      <c r="K422" s="1192"/>
      <c r="L422" s="1192"/>
      <c r="M422" s="1192"/>
      <c r="N422" s="1192"/>
      <c r="O422" s="1192"/>
      <c r="P422" s="1192"/>
      <c r="Q422" s="1192"/>
      <c r="R422" s="1192"/>
      <c r="S422" s="1192"/>
      <c r="T422" s="1192"/>
      <c r="U422" s="1192"/>
      <c r="V422" s="1192"/>
      <c r="W422" s="1192"/>
      <c r="X422" s="1192"/>
      <c r="Y422" s="1192"/>
      <c r="Z422" s="1192"/>
    </row>
    <row r="423" spans="10:26" s="2287" customFormat="1" ht="21.75" customHeight="1">
      <c r="J423" s="1192"/>
      <c r="K423" s="1192"/>
      <c r="L423" s="1192"/>
      <c r="M423" s="1192"/>
      <c r="N423" s="1192"/>
      <c r="O423" s="1192"/>
      <c r="P423" s="1192"/>
      <c r="Q423" s="1192"/>
      <c r="R423" s="1192"/>
      <c r="S423" s="1192"/>
      <c r="T423" s="1192"/>
      <c r="U423" s="1192"/>
      <c r="V423" s="1192"/>
      <c r="W423" s="1192"/>
      <c r="X423" s="1192"/>
      <c r="Y423" s="1192"/>
      <c r="Z423" s="1192"/>
    </row>
    <row r="424" spans="10:26" s="2287" customFormat="1" ht="21.75" customHeight="1">
      <c r="J424" s="1192"/>
      <c r="K424" s="1192"/>
      <c r="L424" s="1192"/>
      <c r="M424" s="1192"/>
      <c r="N424" s="1192"/>
      <c r="O424" s="1192"/>
      <c r="P424" s="1192"/>
      <c r="Q424" s="1192"/>
      <c r="R424" s="1192"/>
      <c r="S424" s="1192"/>
      <c r="T424" s="1192"/>
      <c r="U424" s="1192"/>
      <c r="V424" s="1192"/>
      <c r="W424" s="1192"/>
      <c r="X424" s="1192"/>
      <c r="Y424" s="1192"/>
      <c r="Z424" s="1192"/>
    </row>
    <row r="425" spans="10:26" s="2287" customFormat="1" ht="21.75" customHeight="1">
      <c r="J425" s="1192"/>
      <c r="K425" s="1192"/>
      <c r="L425" s="1192"/>
      <c r="M425" s="1192"/>
      <c r="N425" s="1192"/>
      <c r="O425" s="1192"/>
      <c r="P425" s="1192"/>
      <c r="Q425" s="1192"/>
      <c r="R425" s="1192"/>
      <c r="S425" s="1192"/>
      <c r="T425" s="1192"/>
      <c r="U425" s="1192"/>
      <c r="V425" s="1192"/>
      <c r="W425" s="1192"/>
      <c r="X425" s="1192"/>
      <c r="Y425" s="1192"/>
      <c r="Z425" s="1192"/>
    </row>
    <row r="426" spans="10:26" s="2287" customFormat="1" ht="21.75" customHeight="1">
      <c r="J426" s="1192"/>
      <c r="K426" s="1192"/>
      <c r="L426" s="1192"/>
      <c r="M426" s="1192"/>
      <c r="N426" s="1192"/>
      <c r="O426" s="1192"/>
      <c r="P426" s="1192"/>
      <c r="Q426" s="1192"/>
      <c r="R426" s="1192"/>
      <c r="S426" s="1192"/>
      <c r="T426" s="1192"/>
      <c r="U426" s="1192"/>
      <c r="V426" s="1192"/>
      <c r="W426" s="1192"/>
      <c r="X426" s="1192"/>
      <c r="Y426" s="1192"/>
      <c r="Z426" s="1192"/>
    </row>
    <row r="427" spans="10:26" s="2287" customFormat="1" ht="21.75" customHeight="1">
      <c r="J427" s="1192"/>
      <c r="K427" s="1192"/>
      <c r="L427" s="1192"/>
      <c r="M427" s="1192"/>
      <c r="N427" s="1192"/>
      <c r="O427" s="1192"/>
      <c r="P427" s="1192"/>
      <c r="Q427" s="1192"/>
      <c r="R427" s="1192"/>
      <c r="S427" s="1192"/>
      <c r="T427" s="1192"/>
      <c r="U427" s="1192"/>
      <c r="V427" s="1192"/>
      <c r="W427" s="1192"/>
      <c r="X427" s="1192"/>
      <c r="Y427" s="1192"/>
      <c r="Z427" s="1192"/>
    </row>
    <row r="428" spans="10:26" s="2287" customFormat="1" ht="21.75" customHeight="1">
      <c r="J428" s="1192"/>
      <c r="K428" s="1192"/>
      <c r="L428" s="1192"/>
      <c r="M428" s="1192"/>
      <c r="N428" s="1192"/>
      <c r="O428" s="1192"/>
      <c r="P428" s="1192"/>
      <c r="Q428" s="1192"/>
      <c r="R428" s="1192"/>
      <c r="S428" s="1192"/>
      <c r="T428" s="1192"/>
      <c r="U428" s="1192"/>
      <c r="V428" s="1192"/>
      <c r="W428" s="1192"/>
      <c r="X428" s="1192"/>
      <c r="Y428" s="1192"/>
      <c r="Z428" s="1192"/>
    </row>
    <row r="429" spans="10:26" s="2287" customFormat="1" ht="21.75" customHeight="1">
      <c r="J429" s="1192"/>
      <c r="K429" s="1192"/>
      <c r="L429" s="1192"/>
      <c r="M429" s="1192"/>
      <c r="N429" s="1192"/>
      <c r="O429" s="1192"/>
      <c r="P429" s="1192"/>
      <c r="Q429" s="1192"/>
      <c r="R429" s="1192"/>
      <c r="S429" s="1192"/>
      <c r="T429" s="1192"/>
      <c r="U429" s="1192"/>
      <c r="V429" s="1192"/>
      <c r="W429" s="1192"/>
      <c r="X429" s="1192"/>
      <c r="Y429" s="1192"/>
      <c r="Z429" s="1192"/>
    </row>
    <row r="430" spans="10:26" s="2287" customFormat="1" ht="21.75" customHeight="1">
      <c r="J430" s="1192"/>
      <c r="K430" s="1192"/>
      <c r="L430" s="1192"/>
      <c r="M430" s="1192"/>
      <c r="N430" s="1192"/>
      <c r="O430" s="1192"/>
      <c r="P430" s="1192"/>
      <c r="Q430" s="1192"/>
      <c r="R430" s="1192"/>
      <c r="S430" s="1192"/>
      <c r="T430" s="1192"/>
      <c r="U430" s="1192"/>
      <c r="V430" s="1192"/>
      <c r="W430" s="1192"/>
      <c r="X430" s="1192"/>
      <c r="Y430" s="1192"/>
      <c r="Z430" s="1192"/>
    </row>
    <row r="431" spans="10:26" s="2287" customFormat="1" ht="21.75" customHeight="1">
      <c r="J431" s="1192"/>
      <c r="K431" s="1192"/>
      <c r="L431" s="1192"/>
      <c r="M431" s="1192"/>
      <c r="N431" s="1192"/>
      <c r="O431" s="1192"/>
      <c r="P431" s="1192"/>
      <c r="Q431" s="1192"/>
      <c r="R431" s="1192"/>
      <c r="S431" s="1192"/>
      <c r="T431" s="1192"/>
      <c r="U431" s="1192"/>
      <c r="V431" s="1192"/>
      <c r="W431" s="1192"/>
      <c r="X431" s="1192"/>
      <c r="Y431" s="1192"/>
      <c r="Z431" s="1192"/>
    </row>
    <row r="432" spans="10:26" s="2287" customFormat="1" ht="21.75" customHeight="1">
      <c r="J432" s="1192"/>
      <c r="K432" s="1192"/>
      <c r="L432" s="1192"/>
      <c r="M432" s="1192"/>
      <c r="N432" s="1192"/>
      <c r="O432" s="1192"/>
      <c r="P432" s="1192"/>
      <c r="Q432" s="1192"/>
      <c r="R432" s="1192"/>
      <c r="S432" s="1192"/>
      <c r="T432" s="1192"/>
      <c r="U432" s="1192"/>
      <c r="V432" s="1192"/>
      <c r="W432" s="1192"/>
      <c r="X432" s="1192"/>
      <c r="Y432" s="1192"/>
      <c r="Z432" s="1192"/>
    </row>
    <row r="433" spans="10:26" s="2287" customFormat="1" ht="21.75" customHeight="1">
      <c r="J433" s="1192"/>
      <c r="K433" s="1192"/>
      <c r="L433" s="1192"/>
      <c r="M433" s="1192"/>
      <c r="N433" s="1192"/>
      <c r="O433" s="1192"/>
      <c r="P433" s="1192"/>
      <c r="Q433" s="1192"/>
      <c r="R433" s="1192"/>
      <c r="S433" s="1192"/>
      <c r="T433" s="1192"/>
      <c r="U433" s="1192"/>
      <c r="V433" s="1192"/>
      <c r="W433" s="1192"/>
      <c r="X433" s="1192"/>
      <c r="Y433" s="1192"/>
      <c r="Z433" s="1192"/>
    </row>
    <row r="434" spans="10:26" s="2287" customFormat="1" ht="21.75" customHeight="1">
      <c r="J434" s="1192"/>
      <c r="K434" s="1192"/>
      <c r="L434" s="1192"/>
      <c r="M434" s="1192"/>
      <c r="N434" s="1192"/>
      <c r="O434" s="1192"/>
      <c r="P434" s="1192"/>
      <c r="Q434" s="1192"/>
      <c r="R434" s="1192"/>
      <c r="S434" s="1192"/>
      <c r="T434" s="1192"/>
      <c r="U434" s="1192"/>
      <c r="V434" s="1192"/>
      <c r="W434" s="1192"/>
      <c r="X434" s="1192"/>
      <c r="Y434" s="1192"/>
      <c r="Z434" s="1192"/>
    </row>
    <row r="435" spans="10:26" s="2287" customFormat="1" ht="21.75" customHeight="1">
      <c r="J435" s="1192"/>
      <c r="K435" s="1192"/>
      <c r="L435" s="1192"/>
      <c r="M435" s="1192"/>
      <c r="N435" s="1192"/>
      <c r="O435" s="1192"/>
      <c r="P435" s="1192"/>
      <c r="Q435" s="1192"/>
      <c r="R435" s="1192"/>
      <c r="S435" s="1192"/>
      <c r="T435" s="1192"/>
      <c r="U435" s="1192"/>
      <c r="V435" s="1192"/>
      <c r="W435" s="1192"/>
      <c r="X435" s="1192"/>
      <c r="Y435" s="1192"/>
      <c r="Z435" s="1192"/>
    </row>
    <row r="436" spans="10:26" s="2287" customFormat="1" ht="21.75" customHeight="1">
      <c r="J436" s="1192"/>
      <c r="K436" s="1192"/>
      <c r="L436" s="1192"/>
      <c r="M436" s="1192"/>
      <c r="N436" s="1192"/>
      <c r="O436" s="1192"/>
      <c r="P436" s="1192"/>
      <c r="Q436" s="1192"/>
      <c r="R436" s="1192"/>
      <c r="S436" s="1192"/>
      <c r="T436" s="1192"/>
      <c r="U436" s="1192"/>
      <c r="V436" s="1192"/>
      <c r="W436" s="1192"/>
      <c r="X436" s="1192"/>
      <c r="Y436" s="1192"/>
      <c r="Z436" s="1192"/>
    </row>
    <row r="437" spans="10:26" s="2287" customFormat="1" ht="21.75" customHeight="1">
      <c r="J437" s="1192"/>
      <c r="K437" s="1192"/>
      <c r="L437" s="1192"/>
      <c r="M437" s="1192"/>
      <c r="N437" s="1192"/>
      <c r="O437" s="1192"/>
      <c r="P437" s="1192"/>
      <c r="Q437" s="1192"/>
      <c r="R437" s="1192"/>
      <c r="S437" s="1192"/>
      <c r="T437" s="1192"/>
      <c r="U437" s="1192"/>
      <c r="V437" s="1192"/>
      <c r="W437" s="1192"/>
      <c r="X437" s="1192"/>
      <c r="Y437" s="1192"/>
      <c r="Z437" s="1192"/>
    </row>
    <row r="438" spans="10:26" s="2287" customFormat="1" ht="21.75" customHeight="1">
      <c r="J438" s="1192"/>
      <c r="K438" s="1192"/>
      <c r="L438" s="1192"/>
      <c r="M438" s="1192"/>
      <c r="N438" s="1192"/>
      <c r="O438" s="1192"/>
      <c r="P438" s="1192"/>
      <c r="Q438" s="1192"/>
      <c r="R438" s="1192"/>
      <c r="S438" s="1192"/>
      <c r="T438" s="1192"/>
      <c r="U438" s="1192"/>
      <c r="V438" s="1192"/>
      <c r="W438" s="1192"/>
      <c r="X438" s="1192"/>
      <c r="Y438" s="1192"/>
      <c r="Z438" s="1192"/>
    </row>
    <row r="439" spans="10:26" s="2287" customFormat="1" ht="21.75" customHeight="1">
      <c r="J439" s="1192"/>
      <c r="K439" s="1192"/>
      <c r="L439" s="1192"/>
      <c r="M439" s="1192"/>
      <c r="N439" s="1192"/>
      <c r="O439" s="1192"/>
      <c r="P439" s="1192"/>
      <c r="Q439" s="1192"/>
      <c r="R439" s="1192"/>
      <c r="S439" s="1192"/>
      <c r="T439" s="1192"/>
      <c r="U439" s="1192"/>
      <c r="V439" s="1192"/>
      <c r="W439" s="1192"/>
      <c r="X439" s="1192"/>
      <c r="Y439" s="1192"/>
      <c r="Z439" s="1192"/>
    </row>
    <row r="440" spans="10:26" s="2287" customFormat="1" ht="21.75" customHeight="1">
      <c r="J440" s="1192"/>
      <c r="K440" s="1192"/>
      <c r="L440" s="1192"/>
      <c r="M440" s="1192"/>
      <c r="N440" s="1192"/>
      <c r="O440" s="1192"/>
      <c r="P440" s="1192"/>
      <c r="Q440" s="1192"/>
      <c r="R440" s="1192"/>
      <c r="S440" s="1192"/>
      <c r="T440" s="1192"/>
      <c r="U440" s="1192"/>
      <c r="V440" s="1192"/>
      <c r="W440" s="1192"/>
      <c r="X440" s="1192"/>
      <c r="Y440" s="1192"/>
      <c r="Z440" s="1192"/>
    </row>
    <row r="441" spans="10:26" s="2287" customFormat="1" ht="21.75" customHeight="1">
      <c r="J441" s="1192"/>
      <c r="K441" s="1192"/>
      <c r="L441" s="1192"/>
      <c r="M441" s="1192"/>
      <c r="N441" s="1192"/>
      <c r="O441" s="1192"/>
      <c r="P441" s="1192"/>
      <c r="Q441" s="1192"/>
      <c r="R441" s="1192"/>
      <c r="S441" s="1192"/>
      <c r="T441" s="1192"/>
      <c r="U441" s="1192"/>
      <c r="V441" s="1192"/>
      <c r="W441" s="1192"/>
      <c r="X441" s="1192"/>
      <c r="Y441" s="1192"/>
      <c r="Z441" s="1192"/>
    </row>
    <row r="442" spans="10:26" s="2287" customFormat="1" ht="21.75" customHeight="1">
      <c r="J442" s="1192"/>
      <c r="K442" s="1192"/>
      <c r="L442" s="1192"/>
      <c r="M442" s="1192"/>
      <c r="N442" s="1192"/>
      <c r="O442" s="1192"/>
      <c r="P442" s="1192"/>
      <c r="Q442" s="1192"/>
      <c r="R442" s="1192"/>
      <c r="S442" s="1192"/>
      <c r="T442" s="1192"/>
      <c r="U442" s="1192"/>
      <c r="V442" s="1192"/>
      <c r="W442" s="1192"/>
      <c r="X442" s="1192"/>
      <c r="Y442" s="1192"/>
      <c r="Z442" s="1192"/>
    </row>
    <row r="443" spans="10:26" s="2287" customFormat="1" ht="21.75" customHeight="1">
      <c r="J443" s="1192"/>
      <c r="K443" s="1192"/>
      <c r="L443" s="1192"/>
      <c r="M443" s="1192"/>
      <c r="N443" s="1192"/>
      <c r="O443" s="1192"/>
      <c r="P443" s="1192"/>
      <c r="Q443" s="1192"/>
      <c r="R443" s="1192"/>
      <c r="S443" s="1192"/>
      <c r="T443" s="1192"/>
      <c r="U443" s="1192"/>
      <c r="V443" s="1192"/>
      <c r="W443" s="1192"/>
      <c r="X443" s="1192"/>
      <c r="Y443" s="1192"/>
      <c r="Z443" s="1192"/>
    </row>
    <row r="444" spans="10:26" s="2287" customFormat="1" ht="21.75" customHeight="1">
      <c r="J444" s="1192"/>
      <c r="K444" s="1192"/>
      <c r="L444" s="1192"/>
      <c r="M444" s="1192"/>
      <c r="N444" s="1192"/>
      <c r="O444" s="1192"/>
      <c r="P444" s="1192"/>
      <c r="Q444" s="1192"/>
      <c r="R444" s="1192"/>
      <c r="S444" s="1192"/>
      <c r="T444" s="1192"/>
      <c r="U444" s="1192"/>
      <c r="V444" s="1192"/>
      <c r="W444" s="1192"/>
      <c r="X444" s="1192"/>
      <c r="Y444" s="1192"/>
      <c r="Z444" s="1192"/>
    </row>
    <row r="445" spans="10:26" s="2287" customFormat="1" ht="21.75" customHeight="1">
      <c r="J445" s="1192"/>
      <c r="K445" s="1192"/>
      <c r="L445" s="1192"/>
      <c r="M445" s="1192"/>
      <c r="N445" s="1192"/>
      <c r="O445" s="1192"/>
      <c r="P445" s="1192"/>
      <c r="Q445" s="1192"/>
      <c r="R445" s="1192"/>
      <c r="S445" s="1192"/>
      <c r="T445" s="1192"/>
      <c r="U445" s="1192"/>
      <c r="V445" s="1192"/>
      <c r="W445" s="1192"/>
      <c r="X445" s="1192"/>
      <c r="Y445" s="1192"/>
      <c r="Z445" s="1192"/>
    </row>
    <row r="446" spans="10:26" s="2287" customFormat="1" ht="21.75" customHeight="1">
      <c r="J446" s="1192"/>
      <c r="K446" s="1192"/>
      <c r="L446" s="1192"/>
      <c r="M446" s="1192"/>
      <c r="N446" s="1192"/>
      <c r="O446" s="1192"/>
      <c r="P446" s="1192"/>
      <c r="Q446" s="1192"/>
      <c r="R446" s="1192"/>
      <c r="S446" s="1192"/>
      <c r="T446" s="1192"/>
      <c r="U446" s="1192"/>
      <c r="V446" s="1192"/>
      <c r="W446" s="1192"/>
      <c r="X446" s="1192"/>
      <c r="Y446" s="1192"/>
      <c r="Z446" s="1192"/>
    </row>
    <row r="447" spans="10:26" s="2287" customFormat="1" ht="21.75" customHeight="1">
      <c r="J447" s="1192"/>
      <c r="K447" s="1192"/>
      <c r="L447" s="1192"/>
      <c r="M447" s="1192"/>
      <c r="N447" s="1192"/>
      <c r="O447" s="1192"/>
      <c r="P447" s="1192"/>
      <c r="Q447" s="1192"/>
      <c r="R447" s="1192"/>
      <c r="S447" s="1192"/>
      <c r="T447" s="1192"/>
      <c r="U447" s="1192"/>
      <c r="V447" s="1192"/>
      <c r="W447" s="1192"/>
      <c r="X447" s="1192"/>
      <c r="Y447" s="1192"/>
      <c r="Z447" s="1192"/>
    </row>
    <row r="448" spans="10:26" s="2287" customFormat="1" ht="21.75" customHeight="1">
      <c r="J448" s="1192"/>
      <c r="K448" s="1192"/>
      <c r="L448" s="1192"/>
      <c r="M448" s="1192"/>
      <c r="N448" s="1192"/>
      <c r="O448" s="1192"/>
      <c r="P448" s="1192"/>
      <c r="Q448" s="1192"/>
      <c r="R448" s="1192"/>
      <c r="S448" s="1192"/>
      <c r="T448" s="1192"/>
      <c r="U448" s="1192"/>
      <c r="V448" s="1192"/>
      <c r="W448" s="1192"/>
      <c r="X448" s="1192"/>
      <c r="Y448" s="1192"/>
      <c r="Z448" s="1192"/>
    </row>
    <row r="449" spans="10:26" s="2287" customFormat="1" ht="21.75" customHeight="1">
      <c r="J449" s="1192"/>
      <c r="K449" s="1192"/>
      <c r="L449" s="1192"/>
      <c r="M449" s="1192"/>
      <c r="N449" s="1192"/>
      <c r="O449" s="1192"/>
      <c r="P449" s="1192"/>
      <c r="Q449" s="1192"/>
      <c r="R449" s="1192"/>
      <c r="S449" s="1192"/>
      <c r="T449" s="1192"/>
      <c r="U449" s="1192"/>
      <c r="V449" s="1192"/>
      <c r="W449" s="1192"/>
      <c r="X449" s="1192"/>
      <c r="Y449" s="1192"/>
      <c r="Z449" s="1192"/>
    </row>
    <row r="450" spans="10:26" s="2287" customFormat="1" ht="21.75" customHeight="1">
      <c r="J450" s="1192"/>
      <c r="K450" s="1192"/>
      <c r="L450" s="1192"/>
      <c r="M450" s="1192"/>
      <c r="N450" s="1192"/>
      <c r="O450" s="1192"/>
      <c r="P450" s="1192"/>
      <c r="Q450" s="1192"/>
      <c r="R450" s="1192"/>
      <c r="S450" s="1192"/>
      <c r="T450" s="1192"/>
      <c r="U450" s="1192"/>
      <c r="V450" s="1192"/>
      <c r="W450" s="1192"/>
      <c r="X450" s="1192"/>
      <c r="Y450" s="1192"/>
      <c r="Z450" s="1192"/>
    </row>
    <row r="451" spans="10:26" s="2287" customFormat="1" ht="21.75" customHeight="1">
      <c r="J451" s="1192"/>
      <c r="K451" s="1192"/>
      <c r="L451" s="1192"/>
      <c r="M451" s="1192"/>
      <c r="N451" s="1192"/>
      <c r="O451" s="1192"/>
      <c r="P451" s="1192"/>
      <c r="Q451" s="1192"/>
      <c r="R451" s="1192"/>
      <c r="S451" s="1192"/>
      <c r="T451" s="1192"/>
      <c r="U451" s="1192"/>
      <c r="V451" s="1192"/>
      <c r="W451" s="1192"/>
      <c r="X451" s="1192"/>
      <c r="Y451" s="1192"/>
      <c r="Z451" s="1192"/>
    </row>
    <row r="452" spans="10:26" s="2287" customFormat="1" ht="21.75" customHeight="1">
      <c r="J452" s="1192"/>
      <c r="K452" s="1192"/>
      <c r="L452" s="1192"/>
      <c r="M452" s="1192"/>
      <c r="N452" s="1192"/>
      <c r="O452" s="1192"/>
      <c r="P452" s="1192"/>
      <c r="Q452" s="1192"/>
      <c r="R452" s="1192"/>
      <c r="S452" s="1192"/>
      <c r="T452" s="1192"/>
      <c r="U452" s="1192"/>
      <c r="V452" s="1192"/>
      <c r="W452" s="1192"/>
      <c r="X452" s="1192"/>
      <c r="Y452" s="1192"/>
      <c r="Z452" s="1192"/>
    </row>
    <row r="453" spans="10:26" s="2287" customFormat="1" ht="21.75" customHeight="1">
      <c r="J453" s="1192"/>
      <c r="K453" s="1192"/>
      <c r="L453" s="1192"/>
      <c r="M453" s="1192"/>
      <c r="N453" s="1192"/>
      <c r="O453" s="1192"/>
      <c r="P453" s="1192"/>
      <c r="Q453" s="1192"/>
      <c r="R453" s="1192"/>
      <c r="S453" s="1192"/>
      <c r="T453" s="1192"/>
      <c r="U453" s="1192"/>
      <c r="V453" s="1192"/>
      <c r="W453" s="1192"/>
      <c r="X453" s="1192"/>
      <c r="Y453" s="1192"/>
      <c r="Z453" s="1192"/>
    </row>
    <row r="454" spans="10:26" s="2287" customFormat="1" ht="21.75" customHeight="1">
      <c r="J454" s="1192"/>
      <c r="K454" s="1192"/>
      <c r="L454" s="1192"/>
      <c r="M454" s="1192"/>
      <c r="N454" s="1192"/>
      <c r="O454" s="1192"/>
      <c r="P454" s="1192"/>
      <c r="Q454" s="1192"/>
      <c r="R454" s="1192"/>
      <c r="S454" s="1192"/>
      <c r="T454" s="1192"/>
      <c r="U454" s="1192"/>
      <c r="V454" s="1192"/>
      <c r="W454" s="1192"/>
      <c r="X454" s="1192"/>
      <c r="Y454" s="1192"/>
      <c r="Z454" s="1192"/>
    </row>
    <row r="455" spans="10:26" s="2287" customFormat="1" ht="21.75" customHeight="1">
      <c r="J455" s="1192"/>
      <c r="K455" s="1192"/>
      <c r="L455" s="1192"/>
      <c r="M455" s="1192"/>
      <c r="N455" s="1192"/>
      <c r="O455" s="1192"/>
      <c r="P455" s="1192"/>
      <c r="Q455" s="1192"/>
      <c r="R455" s="1192"/>
      <c r="S455" s="1192"/>
      <c r="T455" s="1192"/>
      <c r="U455" s="1192"/>
      <c r="V455" s="1192"/>
      <c r="W455" s="1192"/>
      <c r="X455" s="1192"/>
      <c r="Y455" s="1192"/>
      <c r="Z455" s="1192"/>
    </row>
    <row r="456" spans="10:26" s="2287" customFormat="1" ht="21.75" customHeight="1">
      <c r="J456" s="1192"/>
      <c r="K456" s="1192"/>
      <c r="L456" s="1192"/>
      <c r="M456" s="1192"/>
      <c r="N456" s="1192"/>
      <c r="O456" s="1192"/>
      <c r="P456" s="1192"/>
      <c r="Q456" s="1192"/>
      <c r="R456" s="1192"/>
      <c r="S456" s="1192"/>
      <c r="T456" s="1192"/>
      <c r="U456" s="1192"/>
      <c r="V456" s="1192"/>
      <c r="W456" s="1192"/>
      <c r="X456" s="1192"/>
      <c r="Y456" s="1192"/>
      <c r="Z456" s="1192"/>
    </row>
    <row r="457" spans="10:26" s="2287" customFormat="1" ht="21.75" customHeight="1">
      <c r="J457" s="1192"/>
      <c r="K457" s="1192"/>
      <c r="L457" s="1192"/>
      <c r="M457" s="1192"/>
      <c r="N457" s="1192"/>
      <c r="O457" s="1192"/>
      <c r="P457" s="1192"/>
      <c r="Q457" s="1192"/>
      <c r="R457" s="1192"/>
      <c r="S457" s="1192"/>
      <c r="T457" s="1192"/>
      <c r="U457" s="1192"/>
      <c r="V457" s="1192"/>
      <c r="W457" s="1192"/>
      <c r="X457" s="1192"/>
      <c r="Y457" s="1192"/>
      <c r="Z457" s="1192"/>
    </row>
    <row r="458" spans="10:26" s="2287" customFormat="1" ht="21.75" customHeight="1">
      <c r="J458" s="1192"/>
      <c r="K458" s="1192"/>
      <c r="L458" s="1192"/>
      <c r="M458" s="1192"/>
      <c r="N458" s="1192"/>
      <c r="O458" s="1192"/>
      <c r="P458" s="1192"/>
      <c r="Q458" s="1192"/>
      <c r="R458" s="1192"/>
      <c r="S458" s="1192"/>
      <c r="T458" s="1192"/>
      <c r="U458" s="1192"/>
      <c r="V458" s="1192"/>
      <c r="W458" s="1192"/>
      <c r="X458" s="1192"/>
      <c r="Y458" s="1192"/>
      <c r="Z458" s="1192"/>
    </row>
    <row r="459" spans="10:26" s="2287" customFormat="1" ht="21.75" customHeight="1">
      <c r="J459" s="1192"/>
      <c r="K459" s="1192"/>
      <c r="L459" s="1192"/>
      <c r="M459" s="1192"/>
      <c r="N459" s="1192"/>
      <c r="O459" s="1192"/>
      <c r="P459" s="1192"/>
      <c r="Q459" s="1192"/>
      <c r="R459" s="1192"/>
      <c r="S459" s="1192"/>
      <c r="T459" s="1192"/>
      <c r="U459" s="1192"/>
      <c r="V459" s="1192"/>
      <c r="W459" s="1192"/>
      <c r="X459" s="1192"/>
      <c r="Y459" s="1192"/>
      <c r="Z459" s="1192"/>
    </row>
    <row r="460" spans="10:26" s="2287" customFormat="1" ht="21.75" customHeight="1">
      <c r="J460" s="1192"/>
      <c r="K460" s="1192"/>
      <c r="L460" s="1192"/>
      <c r="M460" s="1192"/>
      <c r="N460" s="1192"/>
      <c r="O460" s="1192"/>
      <c r="P460" s="1192"/>
      <c r="Q460" s="1192"/>
      <c r="R460" s="1192"/>
      <c r="S460" s="1192"/>
      <c r="T460" s="1192"/>
      <c r="U460" s="1192"/>
      <c r="V460" s="1192"/>
      <c r="W460" s="1192"/>
      <c r="X460" s="1192"/>
      <c r="Y460" s="1192"/>
      <c r="Z460" s="1192"/>
    </row>
    <row r="461" spans="10:26" s="2287" customFormat="1" ht="21.75" customHeight="1">
      <c r="J461" s="1192"/>
      <c r="K461" s="1192"/>
      <c r="L461" s="1192"/>
      <c r="M461" s="1192"/>
      <c r="N461" s="1192"/>
      <c r="O461" s="1192"/>
      <c r="P461" s="1192"/>
      <c r="Q461" s="1192"/>
      <c r="R461" s="1192"/>
      <c r="S461" s="1192"/>
      <c r="T461" s="1192"/>
      <c r="U461" s="1192"/>
      <c r="V461" s="1192"/>
      <c r="W461" s="1192"/>
      <c r="X461" s="1192"/>
      <c r="Y461" s="1192"/>
      <c r="Z461" s="1192"/>
    </row>
    <row r="462" spans="10:26" s="2287" customFormat="1" ht="21.75" customHeight="1">
      <c r="J462" s="1192"/>
      <c r="K462" s="1192"/>
      <c r="L462" s="1192"/>
      <c r="M462" s="1192"/>
      <c r="N462" s="1192"/>
      <c r="O462" s="1192"/>
      <c r="P462" s="1192"/>
      <c r="Q462" s="1192"/>
      <c r="R462" s="1192"/>
      <c r="S462" s="1192"/>
      <c r="T462" s="1192"/>
      <c r="U462" s="1192"/>
      <c r="V462" s="1192"/>
      <c r="W462" s="1192"/>
      <c r="X462" s="1192"/>
      <c r="Y462" s="1192"/>
      <c r="Z462" s="1192"/>
    </row>
    <row r="463" spans="10:26" s="2287" customFormat="1" ht="21.75" customHeight="1">
      <c r="J463" s="1192"/>
      <c r="K463" s="1192"/>
      <c r="L463" s="1192"/>
      <c r="M463" s="1192"/>
      <c r="N463" s="1192"/>
      <c r="O463" s="1192"/>
      <c r="P463" s="1192"/>
      <c r="Q463" s="1192"/>
      <c r="R463" s="1192"/>
      <c r="S463" s="1192"/>
      <c r="T463" s="1192"/>
      <c r="U463" s="1192"/>
      <c r="V463" s="1192"/>
      <c r="W463" s="1192"/>
      <c r="X463" s="1192"/>
      <c r="Y463" s="1192"/>
      <c r="Z463" s="1192"/>
    </row>
    <row r="464" spans="10:26" s="2287" customFormat="1" ht="21.75" customHeight="1">
      <c r="J464" s="1192"/>
      <c r="K464" s="1192"/>
      <c r="L464" s="1192"/>
      <c r="M464" s="1192"/>
      <c r="N464" s="1192"/>
      <c r="O464" s="1192"/>
      <c r="P464" s="1192"/>
      <c r="Q464" s="1192"/>
      <c r="R464" s="1192"/>
      <c r="S464" s="1192"/>
      <c r="T464" s="1192"/>
      <c r="U464" s="1192"/>
      <c r="V464" s="1192"/>
      <c r="W464" s="1192"/>
      <c r="X464" s="1192"/>
      <c r="Y464" s="1192"/>
      <c r="Z464" s="1192"/>
    </row>
    <row r="465" spans="10:26" s="2287" customFormat="1" ht="21.75" customHeight="1">
      <c r="J465" s="1192"/>
      <c r="K465" s="1192"/>
      <c r="L465" s="1192"/>
      <c r="M465" s="1192"/>
      <c r="N465" s="1192"/>
      <c r="O465" s="1192"/>
      <c r="P465" s="1192"/>
      <c r="Q465" s="1192"/>
      <c r="R465" s="1192"/>
      <c r="S465" s="1192"/>
      <c r="T465" s="1192"/>
      <c r="U465" s="1192"/>
      <c r="V465" s="1192"/>
      <c r="W465" s="1192"/>
      <c r="X465" s="1192"/>
      <c r="Y465" s="1192"/>
      <c r="Z465" s="1192"/>
    </row>
    <row r="466" spans="10:26" s="2287" customFormat="1" ht="21.75" customHeight="1">
      <c r="J466" s="1192"/>
      <c r="K466" s="1192"/>
      <c r="L466" s="1192"/>
      <c r="M466" s="1192"/>
      <c r="N466" s="1192"/>
      <c r="O466" s="1192"/>
      <c r="P466" s="1192"/>
      <c r="Q466" s="1192"/>
      <c r="R466" s="1192"/>
      <c r="S466" s="1192"/>
      <c r="T466" s="1192"/>
      <c r="U466" s="1192"/>
      <c r="V466" s="1192"/>
      <c r="W466" s="1192"/>
      <c r="X466" s="1192"/>
      <c r="Y466" s="1192"/>
      <c r="Z466" s="1192"/>
    </row>
    <row r="467" spans="10:26" s="2287" customFormat="1" ht="21.75" customHeight="1">
      <c r="J467" s="1192"/>
      <c r="K467" s="1192"/>
      <c r="L467" s="1192"/>
      <c r="M467" s="1192"/>
      <c r="N467" s="1192"/>
      <c r="O467" s="1192"/>
      <c r="P467" s="1192"/>
      <c r="Q467" s="1192"/>
      <c r="R467" s="1192"/>
      <c r="S467" s="1192"/>
      <c r="T467" s="1192"/>
      <c r="U467" s="1192"/>
      <c r="V467" s="1192"/>
      <c r="W467" s="1192"/>
      <c r="X467" s="1192"/>
      <c r="Y467" s="1192"/>
      <c r="Z467" s="1192"/>
    </row>
    <row r="468" spans="10:26" s="2287" customFormat="1" ht="21.75" customHeight="1">
      <c r="J468" s="1192"/>
      <c r="K468" s="1192"/>
      <c r="L468" s="1192"/>
      <c r="M468" s="1192"/>
      <c r="N468" s="1192"/>
      <c r="O468" s="1192"/>
      <c r="P468" s="1192"/>
      <c r="Q468" s="1192"/>
      <c r="R468" s="1192"/>
      <c r="S468" s="1192"/>
      <c r="T468" s="1192"/>
      <c r="U468" s="1192"/>
      <c r="V468" s="1192"/>
      <c r="W468" s="1192"/>
      <c r="X468" s="1192"/>
      <c r="Y468" s="1192"/>
      <c r="Z468" s="1192"/>
    </row>
    <row r="469" spans="10:26" s="2287" customFormat="1" ht="21.75" customHeight="1">
      <c r="J469" s="1192"/>
      <c r="K469" s="1192"/>
      <c r="L469" s="1192"/>
      <c r="M469" s="1192"/>
      <c r="N469" s="1192"/>
      <c r="O469" s="1192"/>
      <c r="P469" s="1192"/>
      <c r="Q469" s="1192"/>
      <c r="R469" s="1192"/>
      <c r="S469" s="1192"/>
      <c r="T469" s="1192"/>
      <c r="U469" s="1192"/>
      <c r="V469" s="1192"/>
      <c r="W469" s="1192"/>
      <c r="X469" s="1192"/>
      <c r="Y469" s="1192"/>
      <c r="Z469" s="1192"/>
    </row>
    <row r="470" spans="10:26" s="2287" customFormat="1" ht="21.75" customHeight="1">
      <c r="J470" s="1192"/>
      <c r="K470" s="1192"/>
      <c r="L470" s="1192"/>
      <c r="M470" s="1192"/>
      <c r="N470" s="1192"/>
      <c r="O470" s="1192"/>
      <c r="P470" s="1192"/>
      <c r="Q470" s="1192"/>
      <c r="R470" s="1192"/>
      <c r="S470" s="1192"/>
      <c r="T470" s="1192"/>
      <c r="U470" s="1192"/>
      <c r="V470" s="1192"/>
      <c r="W470" s="1192"/>
      <c r="X470" s="1192"/>
      <c r="Y470" s="1192"/>
      <c r="Z470" s="1192"/>
    </row>
    <row r="471" spans="10:26" s="2287" customFormat="1" ht="21.75" customHeight="1">
      <c r="J471" s="1192"/>
      <c r="K471" s="1192"/>
      <c r="L471" s="1192"/>
      <c r="M471" s="1192"/>
      <c r="N471" s="1192"/>
      <c r="O471" s="1192"/>
      <c r="P471" s="1192"/>
      <c r="Q471" s="1192"/>
      <c r="R471" s="1192"/>
      <c r="S471" s="1192"/>
      <c r="T471" s="1192"/>
      <c r="U471" s="1192"/>
      <c r="V471" s="1192"/>
      <c r="W471" s="1192"/>
      <c r="X471" s="1192"/>
      <c r="Y471" s="1192"/>
      <c r="Z471" s="1192"/>
    </row>
    <row r="472" spans="10:26" s="2287" customFormat="1" ht="21.75" customHeight="1">
      <c r="J472" s="1192"/>
      <c r="K472" s="1192"/>
      <c r="L472" s="1192"/>
      <c r="M472" s="1192"/>
      <c r="N472" s="1192"/>
      <c r="O472" s="1192"/>
      <c r="P472" s="1192"/>
      <c r="Q472" s="1192"/>
      <c r="R472" s="1192"/>
      <c r="S472" s="1192"/>
      <c r="T472" s="1192"/>
      <c r="U472" s="1192"/>
      <c r="V472" s="1192"/>
      <c r="W472" s="1192"/>
      <c r="X472" s="1192"/>
      <c r="Y472" s="1192"/>
      <c r="Z472" s="1192"/>
    </row>
    <row r="473" spans="10:26" s="2287" customFormat="1" ht="21.75" customHeight="1">
      <c r="J473" s="1192"/>
      <c r="K473" s="1192"/>
      <c r="L473" s="1192"/>
      <c r="M473" s="1192"/>
      <c r="N473" s="1192"/>
      <c r="O473" s="1192"/>
      <c r="P473" s="1192"/>
      <c r="Q473" s="1192"/>
      <c r="R473" s="1192"/>
      <c r="S473" s="1192"/>
      <c r="T473" s="1192"/>
      <c r="U473" s="1192"/>
      <c r="V473" s="1192"/>
      <c r="W473" s="1192"/>
      <c r="X473" s="1192"/>
      <c r="Y473" s="1192"/>
      <c r="Z473" s="1192"/>
    </row>
    <row r="474" spans="10:26" s="2287" customFormat="1" ht="21.75" customHeight="1">
      <c r="J474" s="1192"/>
      <c r="K474" s="1192"/>
      <c r="L474" s="1192"/>
      <c r="M474" s="1192"/>
      <c r="N474" s="1192"/>
      <c r="O474" s="1192"/>
      <c r="P474" s="1192"/>
      <c r="Q474" s="1192"/>
      <c r="R474" s="1192"/>
      <c r="S474" s="1192"/>
      <c r="T474" s="1192"/>
      <c r="U474" s="1192"/>
      <c r="V474" s="1192"/>
      <c r="W474" s="1192"/>
      <c r="X474" s="1192"/>
      <c r="Y474" s="1192"/>
      <c r="Z474" s="1192"/>
    </row>
    <row r="475" spans="10:26" s="2287" customFormat="1" ht="21.75" customHeight="1">
      <c r="J475" s="1192"/>
      <c r="K475" s="1192"/>
      <c r="L475" s="1192"/>
      <c r="M475" s="1192"/>
      <c r="N475" s="1192"/>
      <c r="O475" s="1192"/>
      <c r="P475" s="1192"/>
      <c r="Q475" s="1192"/>
      <c r="R475" s="1192"/>
      <c r="S475" s="1192"/>
      <c r="T475" s="1192"/>
      <c r="U475" s="1192"/>
      <c r="V475" s="1192"/>
      <c r="W475" s="1192"/>
      <c r="X475" s="1192"/>
      <c r="Y475" s="1192"/>
      <c r="Z475" s="1192"/>
    </row>
    <row r="476" spans="10:26" s="2287" customFormat="1" ht="21.75" customHeight="1">
      <c r="J476" s="1192"/>
      <c r="K476" s="1192"/>
      <c r="L476" s="1192"/>
      <c r="M476" s="1192"/>
      <c r="N476" s="1192"/>
      <c r="O476" s="1192"/>
      <c r="P476" s="1192"/>
      <c r="Q476" s="1192"/>
      <c r="R476" s="1192"/>
      <c r="S476" s="1192"/>
      <c r="T476" s="1192"/>
      <c r="U476" s="1192"/>
      <c r="V476" s="1192"/>
      <c r="W476" s="1192"/>
      <c r="X476" s="1192"/>
      <c r="Y476" s="1192"/>
      <c r="Z476" s="1192"/>
    </row>
    <row r="477" spans="10:26" s="2287" customFormat="1" ht="21.75" customHeight="1">
      <c r="J477" s="1192"/>
      <c r="K477" s="1192"/>
      <c r="L477" s="1192"/>
      <c r="M477" s="1192"/>
      <c r="N477" s="1192"/>
      <c r="O477" s="1192"/>
      <c r="P477" s="1192"/>
      <c r="Q477" s="1192"/>
      <c r="R477" s="1192"/>
      <c r="S477" s="1192"/>
      <c r="T477" s="1192"/>
      <c r="U477" s="1192"/>
      <c r="V477" s="1192"/>
      <c r="W477" s="1192"/>
      <c r="X477" s="1192"/>
      <c r="Y477" s="1192"/>
      <c r="Z477" s="1192"/>
    </row>
    <row r="478" spans="10:26" s="2287" customFormat="1" ht="21.75" customHeight="1">
      <c r="J478" s="1192"/>
      <c r="K478" s="1192"/>
      <c r="L478" s="1192"/>
      <c r="M478" s="1192"/>
      <c r="N478" s="1192"/>
      <c r="O478" s="1192"/>
      <c r="P478" s="1192"/>
      <c r="Q478" s="1192"/>
      <c r="R478" s="1192"/>
      <c r="S478" s="1192"/>
      <c r="T478" s="1192"/>
      <c r="U478" s="1192"/>
      <c r="V478" s="1192"/>
      <c r="W478" s="1192"/>
      <c r="X478" s="1192"/>
      <c r="Y478" s="1192"/>
      <c r="Z478" s="1192"/>
    </row>
    <row r="479" spans="10:26" s="2287" customFormat="1" ht="21.75" customHeight="1">
      <c r="J479" s="1192"/>
      <c r="K479" s="1192"/>
      <c r="L479" s="1192"/>
      <c r="M479" s="1192"/>
      <c r="N479" s="1192"/>
      <c r="O479" s="1192"/>
      <c r="P479" s="1192"/>
      <c r="Q479" s="1192"/>
      <c r="R479" s="1192"/>
      <c r="S479" s="1192"/>
      <c r="T479" s="1192"/>
      <c r="U479" s="1192"/>
      <c r="V479" s="1192"/>
      <c r="W479" s="1192"/>
      <c r="X479" s="1192"/>
      <c r="Y479" s="1192"/>
      <c r="Z479" s="1192"/>
    </row>
    <row r="480" spans="10:26" s="2287" customFormat="1" ht="21.75" customHeight="1">
      <c r="J480" s="1192"/>
      <c r="K480" s="1192"/>
      <c r="L480" s="1192"/>
      <c r="M480" s="1192"/>
      <c r="N480" s="1192"/>
      <c r="O480" s="1192"/>
      <c r="P480" s="1192"/>
      <c r="Q480" s="1192"/>
      <c r="R480" s="1192"/>
      <c r="S480" s="1192"/>
      <c r="T480" s="1192"/>
      <c r="U480" s="1192"/>
      <c r="V480" s="1192"/>
      <c r="W480" s="1192"/>
      <c r="X480" s="1192"/>
      <c r="Y480" s="1192"/>
      <c r="Z480" s="1192"/>
    </row>
    <row r="481" spans="10:26" s="2287" customFormat="1" ht="21.75" customHeight="1">
      <c r="J481" s="1192"/>
      <c r="K481" s="1192"/>
      <c r="L481" s="1192"/>
      <c r="M481" s="1192"/>
      <c r="N481" s="1192"/>
      <c r="O481" s="1192"/>
      <c r="P481" s="1192"/>
      <c r="Q481" s="1192"/>
      <c r="R481" s="1192"/>
      <c r="S481" s="1192"/>
      <c r="T481" s="1192"/>
      <c r="U481" s="1192"/>
      <c r="V481" s="1192"/>
      <c r="W481" s="1192"/>
      <c r="X481" s="1192"/>
      <c r="Y481" s="1192"/>
      <c r="Z481" s="1192"/>
    </row>
    <row r="482" spans="10:26" s="2287" customFormat="1" ht="21.75" customHeight="1">
      <c r="J482" s="1192"/>
      <c r="K482" s="1192"/>
      <c r="L482" s="1192"/>
      <c r="M482" s="1192"/>
      <c r="N482" s="1192"/>
      <c r="O482" s="1192"/>
      <c r="P482" s="1192"/>
      <c r="Q482" s="1192"/>
      <c r="R482" s="1192"/>
      <c r="S482" s="1192"/>
      <c r="T482" s="1192"/>
      <c r="U482" s="1192"/>
      <c r="V482" s="1192"/>
      <c r="W482" s="1192"/>
      <c r="X482" s="1192"/>
      <c r="Y482" s="1192"/>
      <c r="Z482" s="1192"/>
    </row>
    <row r="483" spans="10:26" s="2287" customFormat="1" ht="21.75" customHeight="1">
      <c r="J483" s="1192"/>
      <c r="K483" s="1192"/>
      <c r="L483" s="1192"/>
      <c r="M483" s="1192"/>
      <c r="N483" s="1192"/>
      <c r="O483" s="1192"/>
      <c r="P483" s="1192"/>
      <c r="Q483" s="1192"/>
      <c r="R483" s="1192"/>
      <c r="S483" s="1192"/>
      <c r="T483" s="1192"/>
      <c r="U483" s="1192"/>
      <c r="V483" s="1192"/>
      <c r="W483" s="1192"/>
      <c r="X483" s="1192"/>
      <c r="Y483" s="1192"/>
      <c r="Z483" s="1192"/>
    </row>
    <row r="484" spans="10:26" s="2287" customFormat="1" ht="21.75" customHeight="1">
      <c r="J484" s="1192"/>
      <c r="K484" s="1192"/>
      <c r="L484" s="1192"/>
      <c r="M484" s="1192"/>
      <c r="N484" s="1192"/>
      <c r="O484" s="1192"/>
      <c r="P484" s="1192"/>
      <c r="Q484" s="1192"/>
      <c r="R484" s="1192"/>
      <c r="S484" s="1192"/>
      <c r="T484" s="1192"/>
      <c r="U484" s="1192"/>
      <c r="V484" s="1192"/>
      <c r="W484" s="1192"/>
      <c r="X484" s="1192"/>
      <c r="Y484" s="1192"/>
      <c r="Z484" s="1192"/>
    </row>
    <row r="485" spans="10:26" s="2287" customFormat="1" ht="21.75" customHeight="1">
      <c r="J485" s="1192"/>
      <c r="K485" s="1192"/>
      <c r="L485" s="1192"/>
      <c r="M485" s="1192"/>
      <c r="N485" s="1192"/>
      <c r="O485" s="1192"/>
      <c r="P485" s="1192"/>
      <c r="Q485" s="1192"/>
      <c r="R485" s="1192"/>
      <c r="S485" s="1192"/>
      <c r="T485" s="1192"/>
      <c r="U485" s="1192"/>
      <c r="V485" s="1192"/>
      <c r="W485" s="1192"/>
      <c r="X485" s="1192"/>
      <c r="Y485" s="1192"/>
      <c r="Z485" s="1192"/>
    </row>
    <row r="486" spans="10:26" s="2287" customFormat="1" ht="21.75" customHeight="1">
      <c r="J486" s="1192"/>
      <c r="K486" s="1192"/>
      <c r="L486" s="1192"/>
      <c r="M486" s="1192"/>
      <c r="N486" s="1192"/>
      <c r="O486" s="1192"/>
      <c r="P486" s="1192"/>
      <c r="Q486" s="1192"/>
      <c r="R486" s="1192"/>
      <c r="S486" s="1192"/>
      <c r="T486" s="1192"/>
      <c r="U486" s="1192"/>
      <c r="V486" s="1192"/>
      <c r="W486" s="1192"/>
      <c r="X486" s="1192"/>
      <c r="Y486" s="1192"/>
      <c r="Z486" s="1192"/>
    </row>
    <row r="487" spans="10:26" s="2287" customFormat="1" ht="21.75" customHeight="1">
      <c r="J487" s="1192"/>
      <c r="K487" s="1192"/>
      <c r="L487" s="1192"/>
      <c r="M487" s="1192"/>
      <c r="N487" s="1192"/>
      <c r="O487" s="1192"/>
      <c r="P487" s="1192"/>
      <c r="Q487" s="1192"/>
      <c r="R487" s="1192"/>
      <c r="S487" s="1192"/>
      <c r="T487" s="1192"/>
      <c r="U487" s="1192"/>
      <c r="V487" s="1192"/>
      <c r="W487" s="1192"/>
      <c r="X487" s="1192"/>
      <c r="Y487" s="1192"/>
      <c r="Z487" s="1192"/>
    </row>
    <row r="488" spans="10:26" s="2287" customFormat="1" ht="21.75" customHeight="1">
      <c r="J488" s="1192"/>
      <c r="K488" s="1192"/>
      <c r="L488" s="1192"/>
      <c r="M488" s="1192"/>
      <c r="N488" s="1192"/>
      <c r="O488" s="1192"/>
      <c r="P488" s="1192"/>
      <c r="Q488" s="1192"/>
      <c r="R488" s="1192"/>
      <c r="S488" s="1192"/>
      <c r="T488" s="1192"/>
      <c r="U488" s="1192"/>
      <c r="V488" s="1192"/>
      <c r="W488" s="1192"/>
      <c r="X488" s="1192"/>
      <c r="Y488" s="1192"/>
      <c r="Z488" s="1192"/>
    </row>
    <row r="489" spans="10:26" s="2287" customFormat="1" ht="21.75" customHeight="1">
      <c r="J489" s="1192"/>
      <c r="K489" s="1192"/>
      <c r="L489" s="1192"/>
      <c r="M489" s="1192"/>
      <c r="N489" s="1192"/>
      <c r="O489" s="1192"/>
      <c r="P489" s="1192"/>
      <c r="Q489" s="1192"/>
      <c r="R489" s="1192"/>
      <c r="S489" s="1192"/>
      <c r="T489" s="1192"/>
      <c r="U489" s="1192"/>
      <c r="V489" s="1192"/>
      <c r="W489" s="1192"/>
      <c r="X489" s="1192"/>
      <c r="Y489" s="1192"/>
      <c r="Z489" s="1192"/>
    </row>
    <row r="490" spans="10:26" s="2287" customFormat="1" ht="21.75" customHeight="1">
      <c r="J490" s="1192"/>
      <c r="K490" s="1192"/>
      <c r="L490" s="1192"/>
      <c r="M490" s="1192"/>
      <c r="N490" s="1192"/>
      <c r="O490" s="1192"/>
      <c r="P490" s="1192"/>
      <c r="Q490" s="1192"/>
      <c r="R490" s="1192"/>
      <c r="S490" s="1192"/>
      <c r="T490" s="1192"/>
      <c r="U490" s="1192"/>
      <c r="V490" s="1192"/>
      <c r="W490" s="1192"/>
      <c r="X490" s="1192"/>
      <c r="Y490" s="1192"/>
      <c r="Z490" s="1192"/>
    </row>
    <row r="491" spans="10:26" s="2287" customFormat="1" ht="21.75" customHeight="1">
      <c r="J491" s="1192"/>
      <c r="K491" s="1192"/>
      <c r="L491" s="1192"/>
      <c r="M491" s="1192"/>
      <c r="N491" s="1192"/>
      <c r="O491" s="1192"/>
      <c r="P491" s="1192"/>
      <c r="Q491" s="1192"/>
      <c r="R491" s="1192"/>
      <c r="S491" s="1192"/>
      <c r="T491" s="1192"/>
      <c r="U491" s="1192"/>
      <c r="V491" s="1192"/>
      <c r="W491" s="1192"/>
      <c r="X491" s="1192"/>
      <c r="Y491" s="1192"/>
      <c r="Z491" s="1192"/>
    </row>
    <row r="492" spans="10:26" s="2287" customFormat="1" ht="21.75" customHeight="1">
      <c r="J492" s="1192"/>
      <c r="K492" s="1192"/>
      <c r="L492" s="1192"/>
      <c r="M492" s="1192"/>
      <c r="N492" s="1192"/>
      <c r="O492" s="1192"/>
      <c r="P492" s="1192"/>
      <c r="Q492" s="1192"/>
      <c r="R492" s="1192"/>
      <c r="S492" s="1192"/>
      <c r="T492" s="1192"/>
      <c r="U492" s="1192"/>
      <c r="V492" s="1192"/>
      <c r="W492" s="1192"/>
      <c r="X492" s="1192"/>
      <c r="Y492" s="1192"/>
      <c r="Z492" s="1192"/>
    </row>
    <row r="493" spans="10:26" s="2287" customFormat="1" ht="21.75" customHeight="1">
      <c r="J493" s="1192"/>
      <c r="K493" s="1192"/>
      <c r="L493" s="1192"/>
      <c r="M493" s="1192"/>
      <c r="N493" s="1192"/>
      <c r="O493" s="1192"/>
      <c r="P493" s="1192"/>
      <c r="Q493" s="1192"/>
      <c r="R493" s="1192"/>
      <c r="S493" s="1192"/>
      <c r="T493" s="1192"/>
      <c r="U493" s="1192"/>
      <c r="V493" s="1192"/>
      <c r="W493" s="1192"/>
      <c r="X493" s="1192"/>
      <c r="Y493" s="1192"/>
      <c r="Z493" s="1192"/>
    </row>
    <row r="494" spans="10:26" s="2287" customFormat="1" ht="21.75" customHeight="1">
      <c r="J494" s="1192"/>
      <c r="K494" s="1192"/>
      <c r="L494" s="1192"/>
      <c r="M494" s="1192"/>
      <c r="N494" s="1192"/>
      <c r="O494" s="1192"/>
      <c r="P494" s="1192"/>
      <c r="Q494" s="1192"/>
      <c r="R494" s="1192"/>
      <c r="S494" s="1192"/>
      <c r="T494" s="1192"/>
      <c r="U494" s="1192"/>
      <c r="V494" s="1192"/>
      <c r="W494" s="1192"/>
      <c r="X494" s="1192"/>
      <c r="Y494" s="1192"/>
      <c r="Z494" s="1192"/>
    </row>
    <row r="495" spans="10:26" s="2287" customFormat="1" ht="21.75" customHeight="1">
      <c r="J495" s="1192"/>
      <c r="K495" s="1192"/>
      <c r="L495" s="1192"/>
      <c r="M495" s="1192"/>
      <c r="N495" s="1192"/>
      <c r="O495" s="1192"/>
      <c r="P495" s="1192"/>
      <c r="Q495" s="1192"/>
      <c r="R495" s="1192"/>
      <c r="S495" s="1192"/>
      <c r="T495" s="1192"/>
      <c r="U495" s="1192"/>
      <c r="V495" s="1192"/>
      <c r="W495" s="1192"/>
      <c r="X495" s="1192"/>
      <c r="Y495" s="1192"/>
      <c r="Z495" s="1192"/>
    </row>
    <row r="496" spans="10:26" s="2287" customFormat="1" ht="21.75" customHeight="1">
      <c r="J496" s="1192"/>
      <c r="K496" s="1192"/>
      <c r="L496" s="1192"/>
      <c r="M496" s="1192"/>
      <c r="N496" s="1192"/>
      <c r="O496" s="1192"/>
      <c r="P496" s="1192"/>
      <c r="Q496" s="1192"/>
      <c r="R496" s="1192"/>
      <c r="S496" s="1192"/>
      <c r="T496" s="1192"/>
      <c r="U496" s="1192"/>
      <c r="V496" s="1192"/>
      <c r="W496" s="1192"/>
      <c r="X496" s="1192"/>
      <c r="Y496" s="1192"/>
      <c r="Z496" s="1192"/>
    </row>
    <row r="497" spans="10:26" s="2287" customFormat="1" ht="21.75" customHeight="1">
      <c r="J497" s="1192"/>
      <c r="K497" s="1192"/>
      <c r="L497" s="1192"/>
      <c r="M497" s="1192"/>
      <c r="N497" s="1192"/>
      <c r="O497" s="1192"/>
      <c r="P497" s="1192"/>
      <c r="Q497" s="1192"/>
      <c r="R497" s="1192"/>
      <c r="S497" s="1192"/>
      <c r="T497" s="1192"/>
      <c r="U497" s="1192"/>
      <c r="V497" s="1192"/>
      <c r="W497" s="1192"/>
      <c r="X497" s="1192"/>
      <c r="Y497" s="1192"/>
      <c r="Z497" s="1192"/>
    </row>
    <row r="498" spans="10:26" s="2287" customFormat="1" ht="21.75" customHeight="1">
      <c r="J498" s="1192"/>
      <c r="K498" s="1192"/>
      <c r="L498" s="1192"/>
      <c r="M498" s="1192"/>
      <c r="N498" s="1192"/>
      <c r="O498" s="1192"/>
      <c r="P498" s="1192"/>
      <c r="Q498" s="1192"/>
      <c r="R498" s="1192"/>
      <c r="S498" s="1192"/>
      <c r="T498" s="1192"/>
      <c r="U498" s="1192"/>
      <c r="V498" s="1192"/>
      <c r="W498" s="1192"/>
      <c r="X498" s="1192"/>
      <c r="Y498" s="1192"/>
      <c r="Z498" s="1192"/>
    </row>
    <row r="499" spans="10:26" s="2287" customFormat="1" ht="21.75" customHeight="1">
      <c r="J499" s="1192"/>
      <c r="K499" s="1192"/>
      <c r="L499" s="1192"/>
      <c r="M499" s="1192"/>
      <c r="N499" s="1192"/>
      <c r="O499" s="1192"/>
      <c r="P499" s="1192"/>
      <c r="Q499" s="1192"/>
      <c r="R499" s="1192"/>
      <c r="S499" s="1192"/>
      <c r="T499" s="1192"/>
      <c r="U499" s="1192"/>
      <c r="V499" s="1192"/>
      <c r="W499" s="1192"/>
      <c r="X499" s="1192"/>
      <c r="Y499" s="1192"/>
      <c r="Z499" s="1192"/>
    </row>
    <row r="500" spans="10:26" s="2287" customFormat="1" ht="21.75" customHeight="1">
      <c r="J500" s="1192"/>
      <c r="K500" s="1192"/>
      <c r="L500" s="1192"/>
      <c r="M500" s="1192"/>
      <c r="N500" s="1192"/>
      <c r="O500" s="1192"/>
      <c r="P500" s="1192"/>
      <c r="Q500" s="1192"/>
      <c r="R500" s="1192"/>
      <c r="S500" s="1192"/>
      <c r="T500" s="1192"/>
      <c r="U500" s="1192"/>
      <c r="V500" s="1192"/>
      <c r="W500" s="1192"/>
      <c r="X500" s="1192"/>
      <c r="Y500" s="1192"/>
      <c r="Z500" s="1192"/>
    </row>
    <row r="501" spans="10:26" s="2287" customFormat="1" ht="21.75" customHeight="1">
      <c r="J501" s="1192"/>
      <c r="K501" s="1192"/>
      <c r="L501" s="1192"/>
      <c r="M501" s="1192"/>
      <c r="N501" s="1192"/>
      <c r="O501" s="1192"/>
      <c r="P501" s="1192"/>
      <c r="Q501" s="1192"/>
      <c r="R501" s="1192"/>
      <c r="S501" s="1192"/>
      <c r="T501" s="1192"/>
      <c r="U501" s="1192"/>
      <c r="V501" s="1192"/>
      <c r="W501" s="1192"/>
      <c r="X501" s="1192"/>
      <c r="Y501" s="1192"/>
      <c r="Z501" s="1192"/>
    </row>
    <row r="502" spans="10:26" s="2287" customFormat="1" ht="21.75" customHeight="1">
      <c r="J502" s="1192"/>
      <c r="K502" s="1192"/>
      <c r="L502" s="1192"/>
      <c r="M502" s="1192"/>
      <c r="N502" s="1192"/>
      <c r="O502" s="1192"/>
      <c r="P502" s="1192"/>
      <c r="Q502" s="1192"/>
      <c r="R502" s="1192"/>
      <c r="S502" s="1192"/>
      <c r="T502" s="1192"/>
      <c r="U502" s="1192"/>
      <c r="V502" s="1192"/>
      <c r="W502" s="1192"/>
      <c r="X502" s="1192"/>
      <c r="Y502" s="1192"/>
      <c r="Z502" s="1192"/>
    </row>
    <row r="503" spans="10:26" s="2287" customFormat="1" ht="21.75" customHeight="1">
      <c r="J503" s="1192"/>
      <c r="K503" s="1192"/>
      <c r="L503" s="1192"/>
      <c r="M503" s="1192"/>
      <c r="N503" s="1192"/>
      <c r="O503" s="1192"/>
      <c r="P503" s="1192"/>
      <c r="Q503" s="1192"/>
      <c r="R503" s="1192"/>
      <c r="S503" s="1192"/>
      <c r="T503" s="1192"/>
      <c r="U503" s="1192"/>
      <c r="V503" s="1192"/>
      <c r="W503" s="1192"/>
      <c r="X503" s="1192"/>
      <c r="Y503" s="1192"/>
      <c r="Z503" s="1192"/>
    </row>
    <row r="504" spans="10:26" s="2287" customFormat="1" ht="21.75" customHeight="1">
      <c r="J504" s="1192"/>
      <c r="K504" s="1192"/>
      <c r="L504" s="1192"/>
      <c r="M504" s="1192"/>
      <c r="N504" s="1192"/>
      <c r="O504" s="1192"/>
      <c r="P504" s="1192"/>
      <c r="Q504" s="1192"/>
      <c r="R504" s="1192"/>
      <c r="S504" s="1192"/>
      <c r="T504" s="1192"/>
      <c r="U504" s="1192"/>
      <c r="V504" s="1192"/>
      <c r="W504" s="1192"/>
      <c r="X504" s="1192"/>
      <c r="Y504" s="1192"/>
      <c r="Z504" s="1192"/>
    </row>
    <row r="505" spans="10:26" s="2287" customFormat="1" ht="21.75" customHeight="1">
      <c r="J505" s="1192"/>
      <c r="K505" s="1192"/>
      <c r="L505" s="1192"/>
      <c r="M505" s="1192"/>
      <c r="N505" s="1192"/>
      <c r="O505" s="1192"/>
      <c r="P505" s="1192"/>
      <c r="Q505" s="1192"/>
      <c r="R505" s="1192"/>
      <c r="S505" s="1192"/>
      <c r="T505" s="1192"/>
      <c r="U505" s="1192"/>
      <c r="V505" s="1192"/>
      <c r="W505" s="1192"/>
      <c r="X505" s="1192"/>
      <c r="Y505" s="1192"/>
      <c r="Z505" s="1192"/>
    </row>
    <row r="506" spans="10:26" s="2287" customFormat="1" ht="21.75" customHeight="1">
      <c r="J506" s="1192"/>
      <c r="K506" s="1192"/>
      <c r="L506" s="1192"/>
      <c r="M506" s="1192"/>
      <c r="N506" s="1192"/>
      <c r="O506" s="1192"/>
      <c r="P506" s="1192"/>
      <c r="Q506" s="1192"/>
      <c r="R506" s="1192"/>
      <c r="S506" s="1192"/>
      <c r="T506" s="1192"/>
      <c r="U506" s="1192"/>
      <c r="V506" s="1192"/>
      <c r="W506" s="1192"/>
      <c r="X506" s="1192"/>
      <c r="Y506" s="1192"/>
      <c r="Z506" s="1192"/>
    </row>
    <row r="507" spans="10:26" s="2287" customFormat="1" ht="21.75" customHeight="1">
      <c r="J507" s="1192"/>
      <c r="K507" s="1192"/>
      <c r="L507" s="1192"/>
      <c r="M507" s="1192"/>
      <c r="N507" s="1192"/>
      <c r="O507" s="1192"/>
      <c r="P507" s="1192"/>
      <c r="Q507" s="1192"/>
      <c r="R507" s="1192"/>
      <c r="S507" s="1192"/>
      <c r="T507" s="1192"/>
      <c r="U507" s="1192"/>
      <c r="V507" s="1192"/>
      <c r="W507" s="1192"/>
      <c r="X507" s="1192"/>
      <c r="Y507" s="1192"/>
      <c r="Z507" s="1192"/>
    </row>
    <row r="508" spans="10:26" s="2287" customFormat="1" ht="21.75" customHeight="1">
      <c r="J508" s="1192"/>
      <c r="K508" s="1192"/>
      <c r="L508" s="1192"/>
      <c r="M508" s="1192"/>
      <c r="N508" s="1192"/>
      <c r="O508" s="1192"/>
      <c r="P508" s="1192"/>
      <c r="Q508" s="1192"/>
      <c r="R508" s="1192"/>
      <c r="S508" s="1192"/>
      <c r="T508" s="1192"/>
      <c r="U508" s="1192"/>
      <c r="V508" s="1192"/>
      <c r="W508" s="1192"/>
      <c r="X508" s="1192"/>
      <c r="Y508" s="1192"/>
      <c r="Z508" s="1192"/>
    </row>
    <row r="509" spans="10:26" s="2287" customFormat="1" ht="21.75" customHeight="1">
      <c r="J509" s="1192"/>
      <c r="K509" s="1192"/>
      <c r="L509" s="1192"/>
      <c r="M509" s="1192"/>
      <c r="N509" s="1192"/>
      <c r="O509" s="1192"/>
      <c r="P509" s="1192"/>
      <c r="Q509" s="1192"/>
      <c r="R509" s="1192"/>
      <c r="S509" s="1192"/>
      <c r="T509" s="1192"/>
      <c r="U509" s="1192"/>
      <c r="V509" s="1192"/>
      <c r="W509" s="1192"/>
      <c r="X509" s="1192"/>
      <c r="Y509" s="1192"/>
      <c r="Z509" s="1192"/>
    </row>
    <row r="510" spans="10:26" s="2287" customFormat="1" ht="21.75" customHeight="1">
      <c r="J510" s="1192"/>
      <c r="K510" s="1192"/>
      <c r="L510" s="1192"/>
      <c r="M510" s="1192"/>
      <c r="N510" s="1192"/>
      <c r="O510" s="1192"/>
      <c r="P510" s="1192"/>
      <c r="Q510" s="1192"/>
      <c r="R510" s="1192"/>
      <c r="S510" s="1192"/>
      <c r="T510" s="1192"/>
      <c r="U510" s="1192"/>
      <c r="V510" s="1192"/>
      <c r="W510" s="1192"/>
      <c r="X510" s="1192"/>
      <c r="Y510" s="1192"/>
      <c r="Z510" s="1192"/>
    </row>
    <row r="511" spans="10:26" s="2287" customFormat="1" ht="21.75" customHeight="1">
      <c r="J511" s="1192"/>
      <c r="K511" s="1192"/>
      <c r="L511" s="1192"/>
      <c r="M511" s="1192"/>
      <c r="N511" s="1192"/>
      <c r="O511" s="1192"/>
      <c r="P511" s="1192"/>
      <c r="Q511" s="1192"/>
      <c r="R511" s="1192"/>
      <c r="S511" s="1192"/>
      <c r="T511" s="1192"/>
      <c r="U511" s="1192"/>
      <c r="V511" s="1192"/>
      <c r="W511" s="1192"/>
      <c r="X511" s="1192"/>
      <c r="Y511" s="1192"/>
      <c r="Z511" s="1192"/>
    </row>
    <row r="512" spans="10:26" s="2287" customFormat="1" ht="21.75" customHeight="1">
      <c r="J512" s="1192"/>
      <c r="K512" s="1192"/>
      <c r="L512" s="1192"/>
      <c r="M512" s="1192"/>
      <c r="N512" s="1192"/>
      <c r="O512" s="1192"/>
      <c r="P512" s="1192"/>
      <c r="Q512" s="1192"/>
      <c r="R512" s="1192"/>
      <c r="S512" s="1192"/>
      <c r="T512" s="1192"/>
      <c r="U512" s="1192"/>
      <c r="V512" s="1192"/>
      <c r="W512" s="1192"/>
      <c r="X512" s="1192"/>
      <c r="Y512" s="1192"/>
      <c r="Z512" s="119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workbookViewId="0">
      <selection activeCell="A5" sqref="A5"/>
    </sheetView>
  </sheetViews>
  <sheetFormatPr defaultColWidth="9" defaultRowHeight="14.25"/>
  <cols>
    <col min="1" max="1" width="10.5" style="2284" customWidth="1"/>
    <col min="2" max="2" width="9.5" style="2284" customWidth="1"/>
    <col min="3" max="3" width="13.875" style="2284" customWidth="1"/>
    <col min="4" max="8" width="7.5" style="2284" customWidth="1"/>
    <col min="9" max="9" width="37.125" style="2284" customWidth="1"/>
    <col min="10" max="10" width="10.5" style="2284" customWidth="1"/>
    <col min="11" max="12" width="5.5" style="2284" customWidth="1"/>
    <col min="13" max="13" width="13.875" style="2284" customWidth="1"/>
    <col min="14" max="14" width="16.125" style="2284" customWidth="1"/>
    <col min="15" max="15" width="17.25" style="2284" customWidth="1"/>
    <col min="16" max="16" width="20" style="2284" customWidth="1"/>
    <col min="17" max="16384" width="9" style="2284"/>
  </cols>
  <sheetData>
    <row r="1" spans="1:15">
      <c r="A1" s="2284" t="s">
        <v>1031</v>
      </c>
      <c r="B1" s="2284" t="s">
        <v>1032</v>
      </c>
      <c r="C1" s="2284" t="s">
        <v>1033</v>
      </c>
      <c r="D1" s="2284" t="s">
        <v>1034</v>
      </c>
      <c r="E1" s="2284" t="s">
        <v>1035</v>
      </c>
      <c r="F1" s="2284" t="s">
        <v>1036</v>
      </c>
      <c r="G1" s="2284" t="s">
        <v>1037</v>
      </c>
      <c r="H1" s="2284" t="s">
        <v>1038</v>
      </c>
      <c r="I1" s="2284" t="s">
        <v>1039</v>
      </c>
      <c r="J1" s="2284" t="s">
        <v>1040</v>
      </c>
      <c r="K1" s="2284" t="s">
        <v>1041</v>
      </c>
      <c r="L1" s="2284" t="s">
        <v>1042</v>
      </c>
      <c r="M1" s="2284" t="s">
        <v>1043</v>
      </c>
      <c r="N1" s="2284" t="s">
        <v>1044</v>
      </c>
      <c r="O1" s="2284" t="s">
        <v>1045</v>
      </c>
    </row>
    <row r="2" spans="1:15">
      <c r="A2" s="2285">
        <v>45195.333831018499</v>
      </c>
      <c r="B2" s="2284" t="s">
        <v>1046</v>
      </c>
      <c r="C2" s="2284" t="s">
        <v>1046</v>
      </c>
      <c r="D2" s="2284" t="s">
        <v>1047</v>
      </c>
      <c r="E2" s="2284" t="s">
        <v>1046</v>
      </c>
      <c r="F2" s="2284" t="s">
        <v>1046</v>
      </c>
      <c r="G2" s="2284">
        <v>8</v>
      </c>
      <c r="H2" s="2284">
        <v>801</v>
      </c>
      <c r="I2" s="2284" t="s">
        <v>1048</v>
      </c>
      <c r="J2" s="2284" t="s">
        <v>230</v>
      </c>
      <c r="K2" s="2284" t="s">
        <v>1049</v>
      </c>
      <c r="L2" s="2284">
        <v>1</v>
      </c>
      <c r="M2" s="2284">
        <v>897.54</v>
      </c>
      <c r="N2" s="2284">
        <v>4487.7</v>
      </c>
      <c r="O2" s="2284">
        <v>50000</v>
      </c>
    </row>
    <row r="3" spans="1:15">
      <c r="A3" s="2285">
        <v>45195.333831018499</v>
      </c>
      <c r="B3" s="2284" t="s">
        <v>1046</v>
      </c>
      <c r="C3" s="2284" t="s">
        <v>1046</v>
      </c>
      <c r="D3" s="2284" t="s">
        <v>1047</v>
      </c>
      <c r="E3" s="2284" t="s">
        <v>1046</v>
      </c>
      <c r="F3" s="2284" t="s">
        <v>1046</v>
      </c>
      <c r="G3" s="2284">
        <v>6</v>
      </c>
      <c r="H3" s="2284">
        <v>601</v>
      </c>
      <c r="I3" s="2284" t="s">
        <v>1048</v>
      </c>
      <c r="J3" s="2284" t="s">
        <v>230</v>
      </c>
      <c r="K3" s="2284" t="s">
        <v>1049</v>
      </c>
      <c r="L3" s="2284">
        <v>1</v>
      </c>
      <c r="M3" s="2284">
        <v>897.54</v>
      </c>
      <c r="N3" s="2284">
        <v>4487.7</v>
      </c>
      <c r="O3" s="2284">
        <v>50000</v>
      </c>
    </row>
    <row r="4" spans="1:15">
      <c r="A4" s="2285">
        <v>45195.333831018499</v>
      </c>
      <c r="B4" s="2284" t="s">
        <v>1046</v>
      </c>
      <c r="C4" s="2284" t="s">
        <v>1046</v>
      </c>
      <c r="D4" s="2284" t="s">
        <v>1047</v>
      </c>
      <c r="E4" s="2284" t="s">
        <v>1046</v>
      </c>
      <c r="F4" s="2284" t="s">
        <v>1046</v>
      </c>
      <c r="G4" s="2284">
        <v>5</v>
      </c>
      <c r="H4" s="2284">
        <v>501</v>
      </c>
      <c r="I4" s="2284" t="s">
        <v>1048</v>
      </c>
      <c r="J4" s="2284" t="s">
        <v>230</v>
      </c>
      <c r="K4" s="2284" t="s">
        <v>1049</v>
      </c>
      <c r="L4" s="2284">
        <v>1</v>
      </c>
      <c r="M4" s="2284">
        <v>897.54</v>
      </c>
      <c r="N4" s="2284">
        <v>4487.7</v>
      </c>
      <c r="O4" s="2284">
        <v>50000</v>
      </c>
    </row>
    <row r="5" spans="1:15">
      <c r="A5" s="2285">
        <v>45195.333831018499</v>
      </c>
      <c r="B5" s="2284" t="s">
        <v>1046</v>
      </c>
      <c r="C5" s="2284" t="s">
        <v>1046</v>
      </c>
      <c r="D5" s="2284" t="s">
        <v>1047</v>
      </c>
      <c r="E5" s="2284" t="s">
        <v>1046</v>
      </c>
      <c r="F5" s="2284" t="s">
        <v>1046</v>
      </c>
      <c r="G5" s="2284">
        <v>4</v>
      </c>
      <c r="H5" s="2284">
        <v>401</v>
      </c>
      <c r="I5" s="2284" t="s">
        <v>1048</v>
      </c>
      <c r="J5" s="2284" t="s">
        <v>230</v>
      </c>
      <c r="K5" s="2284" t="s">
        <v>1049</v>
      </c>
      <c r="L5" s="2284">
        <v>1</v>
      </c>
      <c r="M5" s="2284">
        <v>897.54</v>
      </c>
      <c r="N5" s="2284">
        <v>4487.7</v>
      </c>
      <c r="O5" s="2284">
        <v>50000</v>
      </c>
    </row>
    <row r="6" spans="1:15">
      <c r="A6" s="2285">
        <v>45195.333831018499</v>
      </c>
      <c r="B6" s="2284" t="s">
        <v>1046</v>
      </c>
      <c r="C6" s="2284" t="s">
        <v>1046</v>
      </c>
      <c r="D6" s="2284" t="s">
        <v>1047</v>
      </c>
      <c r="E6" s="2284" t="s">
        <v>1046</v>
      </c>
      <c r="F6" s="2284" t="s">
        <v>1046</v>
      </c>
      <c r="G6" s="2284">
        <v>10</v>
      </c>
      <c r="H6" s="2284">
        <v>1001</v>
      </c>
      <c r="I6" s="2284" t="s">
        <v>1048</v>
      </c>
      <c r="J6" s="2284" t="s">
        <v>230</v>
      </c>
      <c r="K6" s="2284" t="s">
        <v>1049</v>
      </c>
      <c r="L6" s="2284">
        <v>1</v>
      </c>
      <c r="M6" s="2284">
        <v>897.54</v>
      </c>
      <c r="N6" s="2284">
        <v>4487.7</v>
      </c>
      <c r="O6" s="2284">
        <v>50000</v>
      </c>
    </row>
    <row r="7" spans="1:15">
      <c r="A7" s="2285">
        <v>45195.333831018499</v>
      </c>
      <c r="B7" s="2284" t="s">
        <v>1046</v>
      </c>
      <c r="C7" s="2284" t="s">
        <v>1046</v>
      </c>
      <c r="D7" s="2284" t="s">
        <v>1047</v>
      </c>
      <c r="E7" s="2284" t="s">
        <v>1046</v>
      </c>
      <c r="F7" s="2284" t="s">
        <v>1046</v>
      </c>
      <c r="G7" s="2284">
        <v>9</v>
      </c>
      <c r="H7" s="2284">
        <v>901</v>
      </c>
      <c r="I7" s="2284" t="s">
        <v>1048</v>
      </c>
      <c r="J7" s="2284" t="s">
        <v>230</v>
      </c>
      <c r="K7" s="2284" t="s">
        <v>1049</v>
      </c>
      <c r="L7" s="2284">
        <v>1</v>
      </c>
      <c r="M7" s="2284">
        <v>897.54</v>
      </c>
      <c r="N7" s="2284">
        <v>4487.7</v>
      </c>
      <c r="O7" s="2284">
        <v>50000</v>
      </c>
    </row>
    <row r="8" spans="1:15">
      <c r="A8" s="2285">
        <v>45195.333831018499</v>
      </c>
      <c r="B8" s="2284" t="s">
        <v>1046</v>
      </c>
      <c r="C8" s="2284" t="s">
        <v>1046</v>
      </c>
      <c r="D8" s="2284" t="s">
        <v>1047</v>
      </c>
      <c r="E8" s="2284" t="s">
        <v>1046</v>
      </c>
      <c r="F8" s="2284" t="s">
        <v>1046</v>
      </c>
      <c r="G8" s="2284">
        <v>1</v>
      </c>
      <c r="H8" s="2284">
        <v>101</v>
      </c>
      <c r="I8" s="2284" t="s">
        <v>1048</v>
      </c>
      <c r="J8" s="2284" t="s">
        <v>229</v>
      </c>
      <c r="K8" s="2284" t="s">
        <v>1049</v>
      </c>
      <c r="L8" s="2284">
        <v>1</v>
      </c>
      <c r="M8" s="2284">
        <v>801.28</v>
      </c>
      <c r="N8" s="2284">
        <v>4006.4</v>
      </c>
      <c r="O8" s="2284">
        <v>50000</v>
      </c>
    </row>
    <row r="9" spans="1:15">
      <c r="A9" s="2285">
        <v>45195.333831018499</v>
      </c>
      <c r="B9" s="2284" t="s">
        <v>1046</v>
      </c>
      <c r="C9" s="2284" t="s">
        <v>1046</v>
      </c>
      <c r="D9" s="2284" t="s">
        <v>1047</v>
      </c>
      <c r="E9" s="2284" t="s">
        <v>1046</v>
      </c>
      <c r="F9" s="2284" t="s">
        <v>1046</v>
      </c>
      <c r="G9" s="2284">
        <v>-1</v>
      </c>
      <c r="H9" s="2284">
        <v>-102</v>
      </c>
      <c r="I9" s="2284" t="s">
        <v>1048</v>
      </c>
      <c r="J9" s="2284" t="s">
        <v>229</v>
      </c>
      <c r="K9" s="2284" t="s">
        <v>1049</v>
      </c>
      <c r="L9" s="2284">
        <v>1</v>
      </c>
      <c r="M9" s="2284">
        <v>857.83</v>
      </c>
      <c r="N9" s="2284">
        <v>1286.75</v>
      </c>
      <c r="O9" s="2284">
        <v>15000</v>
      </c>
    </row>
    <row r="10" spans="1:15">
      <c r="A10" s="2285">
        <v>45195.333831018499</v>
      </c>
      <c r="B10" s="2284" t="s">
        <v>1046</v>
      </c>
      <c r="C10" s="2284" t="s">
        <v>1046</v>
      </c>
      <c r="D10" s="2284" t="s">
        <v>1047</v>
      </c>
      <c r="E10" s="2284" t="s">
        <v>1046</v>
      </c>
      <c r="F10" s="2284" t="s">
        <v>1046</v>
      </c>
      <c r="G10" s="2284">
        <v>3</v>
      </c>
      <c r="H10" s="2284">
        <v>301</v>
      </c>
      <c r="I10" s="2284" t="s">
        <v>1048</v>
      </c>
      <c r="J10" s="2284" t="s">
        <v>230</v>
      </c>
      <c r="K10" s="2284" t="s">
        <v>1049</v>
      </c>
      <c r="L10" s="2284">
        <v>1</v>
      </c>
      <c r="M10" s="2284">
        <v>897.54</v>
      </c>
      <c r="N10" s="2284">
        <v>4487.7</v>
      </c>
      <c r="O10" s="2284">
        <v>50000</v>
      </c>
    </row>
    <row r="11" spans="1:15">
      <c r="A11" s="2285">
        <v>45195.333831018499</v>
      </c>
      <c r="B11" s="2284" t="s">
        <v>1046</v>
      </c>
      <c r="C11" s="2284" t="s">
        <v>1046</v>
      </c>
      <c r="D11" s="2284" t="s">
        <v>1047</v>
      </c>
      <c r="E11" s="2284" t="s">
        <v>1046</v>
      </c>
      <c r="F11" s="2284" t="s">
        <v>1046</v>
      </c>
      <c r="G11" s="2284">
        <v>7</v>
      </c>
      <c r="H11" s="2284">
        <v>701</v>
      </c>
      <c r="I11" s="2284" t="s">
        <v>1048</v>
      </c>
      <c r="J11" s="2284" t="s">
        <v>230</v>
      </c>
      <c r="K11" s="2284" t="s">
        <v>1049</v>
      </c>
      <c r="L11" s="2284">
        <v>1</v>
      </c>
      <c r="M11" s="2284">
        <v>897.54</v>
      </c>
      <c r="N11" s="2284">
        <v>4487.7</v>
      </c>
      <c r="O11" s="2284">
        <v>50000</v>
      </c>
    </row>
    <row r="12" spans="1:15">
      <c r="A12" s="2285">
        <v>45195.333831018499</v>
      </c>
      <c r="B12" s="2284" t="s">
        <v>1046</v>
      </c>
      <c r="C12" s="2284" t="s">
        <v>1046</v>
      </c>
      <c r="D12" s="2284" t="s">
        <v>1047</v>
      </c>
      <c r="E12" s="2284" t="s">
        <v>1046</v>
      </c>
      <c r="F12" s="2284" t="s">
        <v>1046</v>
      </c>
      <c r="G12" s="2284">
        <v>2</v>
      </c>
      <c r="H12" s="2284">
        <v>201</v>
      </c>
      <c r="I12" s="2284" t="s">
        <v>1048</v>
      </c>
      <c r="J12" s="2284" t="s">
        <v>230</v>
      </c>
      <c r="K12" s="2284" t="s">
        <v>1049</v>
      </c>
      <c r="L12" s="2284">
        <v>1</v>
      </c>
      <c r="M12" s="2284">
        <v>897.54</v>
      </c>
      <c r="N12" s="2284">
        <v>4487.7</v>
      </c>
      <c r="O12" s="2284">
        <v>50000</v>
      </c>
    </row>
    <row r="13" spans="1:15">
      <c r="A13" s="2285">
        <v>45181.333831018499</v>
      </c>
      <c r="B13" s="2284" t="s">
        <v>1046</v>
      </c>
      <c r="C13" s="2284" t="s">
        <v>1046</v>
      </c>
      <c r="D13" s="2284" t="s">
        <v>1047</v>
      </c>
      <c r="E13" s="2284" t="s">
        <v>1046</v>
      </c>
      <c r="F13" s="2284" t="s">
        <v>1046</v>
      </c>
      <c r="G13" s="2284">
        <v>-1</v>
      </c>
      <c r="H13" s="2284">
        <v>-101</v>
      </c>
      <c r="I13" s="2284" t="s">
        <v>1048</v>
      </c>
      <c r="J13" s="2284" t="s">
        <v>229</v>
      </c>
      <c r="K13" s="2284" t="s">
        <v>1049</v>
      </c>
      <c r="L13" s="2284">
        <v>1</v>
      </c>
      <c r="M13" s="2284">
        <v>838.45</v>
      </c>
      <c r="N13" s="2284">
        <v>1257.68</v>
      </c>
      <c r="O13" s="2284">
        <v>15000</v>
      </c>
    </row>
    <row r="14" spans="1:15">
      <c r="M14" s="2284">
        <f>SUM(M2:M13)</f>
        <v>10575.420000000002</v>
      </c>
      <c r="N14" s="2284">
        <f>SUM(N2:N13)</f>
        <v>46940.13</v>
      </c>
      <c r="O14" s="2284">
        <f>ROUND(N14/M14*10000,0)</f>
        <v>44386</v>
      </c>
    </row>
    <row r="16" spans="1:15">
      <c r="M16" s="2284" t="s">
        <v>470</v>
      </c>
      <c r="N16" s="2284" t="s">
        <v>471</v>
      </c>
    </row>
    <row r="17" spans="12:14">
      <c r="L17" s="2284" t="s">
        <v>466</v>
      </c>
      <c r="M17" s="2284">
        <f>M14-N17</f>
        <v>8879.1400000000012</v>
      </c>
      <c r="N17" s="2284">
        <f>M9+M13</f>
        <v>1696.2800000000002</v>
      </c>
    </row>
    <row r="18" spans="12:14">
      <c r="L18" s="2284" t="s">
        <v>1050</v>
      </c>
      <c r="M18" s="2284">
        <f>ROUND(M17/M14,2)</f>
        <v>0.84</v>
      </c>
      <c r="N18" s="2284">
        <f>ROUND(N17/M14,2)</f>
        <v>0.16</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11" zoomScale="80" zoomScaleNormal="80" workbookViewId="0">
      <selection activeCell="B49" sqref="B49"/>
    </sheetView>
  </sheetViews>
  <sheetFormatPr defaultColWidth="9" defaultRowHeight="13.5"/>
  <cols>
    <col min="1" max="1" width="3.5" style="3219" customWidth="1"/>
    <col min="2" max="9" width="10" style="3219" customWidth="1"/>
    <col min="10" max="16384" width="9" style="3219"/>
  </cols>
  <sheetData>
    <row r="36" spans="1:9">
      <c r="A36" s="3218" t="s">
        <v>75</v>
      </c>
      <c r="B36" s="3218" t="s">
        <v>76</v>
      </c>
    </row>
    <row r="37" spans="1:9" ht="27.75" customHeight="1">
      <c r="A37" s="3218"/>
      <c r="B37" s="3245" t="str">
        <f>项目基本情况!B1</f>
        <v>北京市房地产抵押价值预评估</v>
      </c>
      <c r="C37" s="3245"/>
      <c r="D37" s="3245"/>
      <c r="E37" s="3245"/>
      <c r="F37" s="3245"/>
      <c r="G37" s="3245"/>
      <c r="H37" s="3245"/>
      <c r="I37" s="3245"/>
    </row>
    <row r="38" spans="1:9">
      <c r="A38" s="3220"/>
      <c r="B38" s="3220"/>
    </row>
    <row r="39" spans="1:9">
      <c r="A39" s="3218" t="s">
        <v>75</v>
      </c>
      <c r="B39" s="3218" t="s">
        <v>77</v>
      </c>
    </row>
    <row r="40" spans="1:9">
      <c r="A40" s="3218"/>
      <c r="B40" s="3221">
        <f>项目基本情况!B5</f>
        <v>0</v>
      </c>
    </row>
    <row r="41" spans="1:9">
      <c r="A41" s="3218"/>
      <c r="B41" s="3218"/>
    </row>
    <row r="42" spans="1:9">
      <c r="A42" s="3218" t="s">
        <v>75</v>
      </c>
      <c r="B42" s="3218" t="s">
        <v>78</v>
      </c>
    </row>
    <row r="43" spans="1:9">
      <c r="A43" s="3218"/>
      <c r="B43" s="3221" t="s">
        <v>79</v>
      </c>
    </row>
    <row r="44" spans="1:9">
      <c r="A44" s="3218"/>
      <c r="B44" s="3218"/>
    </row>
    <row r="45" spans="1:9">
      <c r="A45" s="3218" t="s">
        <v>75</v>
      </c>
      <c r="B45" s="3218" t="s">
        <v>80</v>
      </c>
    </row>
    <row r="46" spans="1:9" s="3218" customFormat="1" ht="12.75">
      <c r="B46" s="3221" t="str">
        <f>项目基本情况!K4</f>
        <v>（注册号：0)、（注册号：0)</v>
      </c>
    </row>
    <row r="47" spans="1:9">
      <c r="A47" s="3218"/>
      <c r="B47" s="3218" t="str">
        <f>项目基本情况!K5</f>
        <v>（注册号：0)、（注册号：0)</v>
      </c>
    </row>
    <row r="48" spans="1:9">
      <c r="A48" s="3218" t="s">
        <v>75</v>
      </c>
      <c r="B48" s="3218" t="s">
        <v>81</v>
      </c>
    </row>
    <row r="49" spans="2:2">
      <c r="B49" s="3221"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L34" sqref="L33:L34"/>
    </sheetView>
  </sheetViews>
  <sheetFormatPr defaultColWidth="9" defaultRowHeight="14.25"/>
  <cols>
    <col min="1" max="1" width="10.5" style="2284" customWidth="1"/>
    <col min="2" max="2" width="9.5" style="2284" customWidth="1"/>
    <col min="3" max="3" width="13.875" style="2284" customWidth="1"/>
    <col min="4" max="8" width="7.5" style="2284" customWidth="1"/>
    <col min="9" max="9" width="37.125" style="2284" customWidth="1"/>
    <col min="10" max="10" width="9.5" style="2284" customWidth="1"/>
    <col min="11" max="12" width="5.5" style="2284" customWidth="1"/>
    <col min="13" max="13" width="13.875" style="2284" customWidth="1"/>
    <col min="14" max="14" width="16.125" style="2284" customWidth="1"/>
    <col min="15" max="15" width="17.25" style="2284" customWidth="1"/>
    <col min="16" max="16" width="20" style="2284" customWidth="1"/>
    <col min="17" max="16384" width="9" style="2284"/>
  </cols>
  <sheetData>
    <row r="1" spans="1:15">
      <c r="A1" s="2284" t="s">
        <v>1031</v>
      </c>
      <c r="B1" s="2284" t="s">
        <v>1032</v>
      </c>
      <c r="C1" s="2284" t="s">
        <v>1033</v>
      </c>
      <c r="D1" s="2284" t="s">
        <v>1034</v>
      </c>
      <c r="E1" s="2284" t="s">
        <v>1035</v>
      </c>
      <c r="F1" s="2284" t="s">
        <v>1036</v>
      </c>
      <c r="G1" s="2284" t="s">
        <v>1037</v>
      </c>
      <c r="H1" s="2284" t="s">
        <v>1038</v>
      </c>
      <c r="I1" s="2284" t="s">
        <v>1039</v>
      </c>
      <c r="J1" s="2284" t="s">
        <v>1040</v>
      </c>
      <c r="K1" s="2284" t="s">
        <v>1041</v>
      </c>
      <c r="L1" s="2284" t="s">
        <v>1042</v>
      </c>
      <c r="M1" s="2284" t="s">
        <v>1043</v>
      </c>
      <c r="N1" s="2284" t="s">
        <v>1044</v>
      </c>
      <c r="O1" s="2284" t="s">
        <v>1045</v>
      </c>
    </row>
    <row r="2" spans="1:15">
      <c r="A2" s="2285">
        <v>45308.333831018499</v>
      </c>
      <c r="B2" s="2284" t="s">
        <v>1046</v>
      </c>
      <c r="C2" s="2284" t="s">
        <v>1046</v>
      </c>
      <c r="D2" s="2284" t="s">
        <v>1051</v>
      </c>
      <c r="E2" s="2284" t="s">
        <v>1046</v>
      </c>
      <c r="F2" s="2284" t="s">
        <v>1046</v>
      </c>
      <c r="G2" s="2284">
        <v>9</v>
      </c>
      <c r="H2" s="2284">
        <v>901</v>
      </c>
      <c r="I2" s="2284" t="s">
        <v>1052</v>
      </c>
      <c r="J2" s="2284" t="s">
        <v>230</v>
      </c>
      <c r="K2" s="2284" t="s">
        <v>1049</v>
      </c>
      <c r="L2" s="2284">
        <v>1</v>
      </c>
      <c r="M2" s="2284">
        <v>860.72</v>
      </c>
      <c r="N2" s="2284">
        <v>3649.45</v>
      </c>
      <c r="O2" s="2284">
        <v>42400</v>
      </c>
    </row>
    <row r="3" spans="1:15">
      <c r="A3" s="2285">
        <v>45308.333831018499</v>
      </c>
      <c r="B3" s="2284" t="s">
        <v>1046</v>
      </c>
      <c r="C3" s="2284" t="s">
        <v>1046</v>
      </c>
      <c r="D3" s="2284" t="s">
        <v>1051</v>
      </c>
      <c r="E3" s="2284" t="s">
        <v>1046</v>
      </c>
      <c r="F3" s="2284" t="s">
        <v>1046</v>
      </c>
      <c r="G3" s="2284">
        <v>4</v>
      </c>
      <c r="H3" s="2284">
        <v>402</v>
      </c>
      <c r="I3" s="2284" t="s">
        <v>1052</v>
      </c>
      <c r="J3" s="2284" t="s">
        <v>230</v>
      </c>
      <c r="K3" s="2284" t="s">
        <v>1049</v>
      </c>
      <c r="L3" s="2284">
        <v>1</v>
      </c>
      <c r="M3" s="2284">
        <v>935.99</v>
      </c>
      <c r="N3" s="2284">
        <v>3968.6</v>
      </c>
      <c r="O3" s="2284">
        <v>42400</v>
      </c>
    </row>
    <row r="4" spans="1:15">
      <c r="A4" s="2285">
        <v>45308.333831018499</v>
      </c>
      <c r="B4" s="2284" t="s">
        <v>1046</v>
      </c>
      <c r="C4" s="2284" t="s">
        <v>1046</v>
      </c>
      <c r="D4" s="2284" t="s">
        <v>1051</v>
      </c>
      <c r="E4" s="2284" t="s">
        <v>1046</v>
      </c>
      <c r="F4" s="2284" t="s">
        <v>1046</v>
      </c>
      <c r="G4" s="2284">
        <v>3</v>
      </c>
      <c r="H4" s="2284">
        <v>302</v>
      </c>
      <c r="I4" s="2284" t="s">
        <v>1052</v>
      </c>
      <c r="J4" s="2284" t="s">
        <v>230</v>
      </c>
      <c r="K4" s="2284" t="s">
        <v>1049</v>
      </c>
      <c r="L4" s="2284">
        <v>1</v>
      </c>
      <c r="M4" s="2284">
        <v>726.16</v>
      </c>
      <c r="N4" s="2284">
        <v>3078.9</v>
      </c>
      <c r="O4" s="2284">
        <v>42400</v>
      </c>
    </row>
    <row r="5" spans="1:15">
      <c r="A5" s="2285">
        <v>45308.333831018499</v>
      </c>
      <c r="B5" s="2284" t="s">
        <v>1046</v>
      </c>
      <c r="C5" s="2284" t="s">
        <v>1046</v>
      </c>
      <c r="D5" s="2284" t="s">
        <v>1051</v>
      </c>
      <c r="E5" s="2284" t="s">
        <v>1046</v>
      </c>
      <c r="F5" s="2284" t="s">
        <v>1046</v>
      </c>
      <c r="G5" s="2284">
        <v>10</v>
      </c>
      <c r="H5" s="2284">
        <v>1002</v>
      </c>
      <c r="I5" s="2284" t="s">
        <v>1052</v>
      </c>
      <c r="J5" s="2284" t="s">
        <v>230</v>
      </c>
      <c r="K5" s="2284" t="s">
        <v>1049</v>
      </c>
      <c r="L5" s="2284">
        <v>1</v>
      </c>
      <c r="M5" s="2284">
        <v>828.39</v>
      </c>
      <c r="N5" s="2284">
        <v>3512.37</v>
      </c>
      <c r="O5" s="2284">
        <v>42400</v>
      </c>
    </row>
    <row r="6" spans="1:15">
      <c r="A6" s="2285">
        <v>45308.333831018499</v>
      </c>
      <c r="B6" s="2284" t="s">
        <v>1046</v>
      </c>
      <c r="C6" s="2284" t="s">
        <v>1046</v>
      </c>
      <c r="D6" s="2284" t="s">
        <v>1051</v>
      </c>
      <c r="E6" s="2284" t="s">
        <v>1046</v>
      </c>
      <c r="F6" s="2284" t="s">
        <v>1046</v>
      </c>
      <c r="G6" s="2284">
        <v>4</v>
      </c>
      <c r="H6" s="2284">
        <v>401</v>
      </c>
      <c r="I6" s="2284" t="s">
        <v>1052</v>
      </c>
      <c r="J6" s="2284" t="s">
        <v>230</v>
      </c>
      <c r="K6" s="2284" t="s">
        <v>1049</v>
      </c>
      <c r="L6" s="2284">
        <v>1</v>
      </c>
      <c r="M6" s="2284">
        <v>958.04</v>
      </c>
      <c r="N6" s="2284">
        <v>4062.09</v>
      </c>
      <c r="O6" s="2284">
        <v>42400</v>
      </c>
    </row>
    <row r="7" spans="1:15">
      <c r="A7" s="2285">
        <v>45308.333831018499</v>
      </c>
      <c r="B7" s="2284" t="s">
        <v>1046</v>
      </c>
      <c r="C7" s="2284" t="s">
        <v>1046</v>
      </c>
      <c r="D7" s="2284" t="s">
        <v>1051</v>
      </c>
      <c r="E7" s="2284" t="s">
        <v>1046</v>
      </c>
      <c r="F7" s="2284" t="s">
        <v>1046</v>
      </c>
      <c r="G7" s="2284">
        <v>1</v>
      </c>
      <c r="H7" s="2284">
        <v>101</v>
      </c>
      <c r="I7" s="2284" t="s">
        <v>1052</v>
      </c>
      <c r="J7" s="2284" t="s">
        <v>229</v>
      </c>
      <c r="K7" s="2284" t="s">
        <v>1049</v>
      </c>
      <c r="L7" s="2284">
        <v>1</v>
      </c>
      <c r="M7" s="2284">
        <v>298.06</v>
      </c>
      <c r="N7" s="2284">
        <v>1561.83</v>
      </c>
      <c r="O7" s="2284">
        <v>52400</v>
      </c>
    </row>
    <row r="8" spans="1:15">
      <c r="A8" s="2285">
        <v>45308.333831018499</v>
      </c>
      <c r="B8" s="2284" t="s">
        <v>1046</v>
      </c>
      <c r="C8" s="2284" t="s">
        <v>1046</v>
      </c>
      <c r="D8" s="2284" t="s">
        <v>1051</v>
      </c>
      <c r="E8" s="2284" t="s">
        <v>1046</v>
      </c>
      <c r="F8" s="2284" t="s">
        <v>1046</v>
      </c>
      <c r="G8" s="2284">
        <v>10</v>
      </c>
      <c r="H8" s="2284">
        <v>1001</v>
      </c>
      <c r="I8" s="2284" t="s">
        <v>1052</v>
      </c>
      <c r="J8" s="2284" t="s">
        <v>230</v>
      </c>
      <c r="K8" s="2284" t="s">
        <v>1049</v>
      </c>
      <c r="L8" s="2284">
        <v>1</v>
      </c>
      <c r="M8" s="2284">
        <v>860.72</v>
      </c>
      <c r="N8" s="2284">
        <v>3649.45</v>
      </c>
      <c r="O8" s="2284">
        <v>42400</v>
      </c>
    </row>
    <row r="9" spans="1:15">
      <c r="A9" s="2285">
        <v>45308.333831018499</v>
      </c>
      <c r="B9" s="2284" t="s">
        <v>1046</v>
      </c>
      <c r="C9" s="2284" t="s">
        <v>1046</v>
      </c>
      <c r="D9" s="2284" t="s">
        <v>1051</v>
      </c>
      <c r="E9" s="2284" t="s">
        <v>1046</v>
      </c>
      <c r="F9" s="2284" t="s">
        <v>1046</v>
      </c>
      <c r="G9" s="2284">
        <v>7</v>
      </c>
      <c r="H9" s="2284">
        <v>701</v>
      </c>
      <c r="I9" s="2284" t="s">
        <v>1052</v>
      </c>
      <c r="J9" s="2284" t="s">
        <v>230</v>
      </c>
      <c r="K9" s="2284" t="s">
        <v>1049</v>
      </c>
      <c r="L9" s="2284">
        <v>1</v>
      </c>
      <c r="M9" s="2284">
        <v>791.29</v>
      </c>
      <c r="N9" s="2284">
        <v>3355.09</v>
      </c>
      <c r="O9" s="2284">
        <v>42400</v>
      </c>
    </row>
    <row r="10" spans="1:15">
      <c r="A10" s="2285">
        <v>45308.333831018499</v>
      </c>
      <c r="B10" s="2284" t="s">
        <v>1046</v>
      </c>
      <c r="C10" s="2284" t="s">
        <v>1046</v>
      </c>
      <c r="D10" s="2284" t="s">
        <v>1051</v>
      </c>
      <c r="E10" s="2284" t="s">
        <v>1046</v>
      </c>
      <c r="F10" s="2284" t="s">
        <v>1046</v>
      </c>
      <c r="G10" s="2284">
        <v>5</v>
      </c>
      <c r="H10" s="2284">
        <v>501</v>
      </c>
      <c r="I10" s="2284" t="s">
        <v>1052</v>
      </c>
      <c r="J10" s="2284" t="s">
        <v>230</v>
      </c>
      <c r="K10" s="2284" t="s">
        <v>1049</v>
      </c>
      <c r="L10" s="2284">
        <v>1</v>
      </c>
      <c r="M10" s="2284">
        <v>958.04</v>
      </c>
      <c r="N10" s="2284">
        <v>4062.09</v>
      </c>
      <c r="O10" s="2284">
        <v>42400</v>
      </c>
    </row>
    <row r="11" spans="1:15">
      <c r="A11" s="2285">
        <v>45308.333831018499</v>
      </c>
      <c r="B11" s="2284" t="s">
        <v>1046</v>
      </c>
      <c r="C11" s="2284" t="s">
        <v>1046</v>
      </c>
      <c r="D11" s="2284" t="s">
        <v>1051</v>
      </c>
      <c r="E11" s="2284" t="s">
        <v>1046</v>
      </c>
      <c r="F11" s="2284" t="s">
        <v>1046</v>
      </c>
      <c r="G11" s="2284">
        <v>3</v>
      </c>
      <c r="H11" s="2284">
        <v>301</v>
      </c>
      <c r="I11" s="2284" t="s">
        <v>1052</v>
      </c>
      <c r="J11" s="2284" t="s">
        <v>230</v>
      </c>
      <c r="K11" s="2284" t="s">
        <v>1049</v>
      </c>
      <c r="L11" s="2284">
        <v>1</v>
      </c>
      <c r="M11" s="2284">
        <v>767.09</v>
      </c>
      <c r="N11" s="2284">
        <v>3252.46</v>
      </c>
      <c r="O11" s="2284">
        <v>42400</v>
      </c>
    </row>
    <row r="12" spans="1:15">
      <c r="A12" s="2285">
        <v>45308.333831018499</v>
      </c>
      <c r="B12" s="2284" t="s">
        <v>1046</v>
      </c>
      <c r="C12" s="2284" t="s">
        <v>1046</v>
      </c>
      <c r="D12" s="2284" t="s">
        <v>1051</v>
      </c>
      <c r="E12" s="2284" t="s">
        <v>1046</v>
      </c>
      <c r="F12" s="2284" t="s">
        <v>1046</v>
      </c>
      <c r="G12" s="2284">
        <v>7</v>
      </c>
      <c r="H12" s="2284">
        <v>702</v>
      </c>
      <c r="I12" s="2284" t="s">
        <v>1052</v>
      </c>
      <c r="J12" s="2284" t="s">
        <v>230</v>
      </c>
      <c r="K12" s="2284" t="s">
        <v>1049</v>
      </c>
      <c r="L12" s="2284">
        <v>1</v>
      </c>
      <c r="M12" s="2284">
        <v>799.2</v>
      </c>
      <c r="N12" s="2284">
        <v>3388.59</v>
      </c>
      <c r="O12" s="2284">
        <v>42400</v>
      </c>
    </row>
    <row r="13" spans="1:15">
      <c r="A13" s="2285">
        <v>45308.333831018499</v>
      </c>
      <c r="B13" s="2284" t="s">
        <v>1046</v>
      </c>
      <c r="C13" s="2284" t="s">
        <v>1046</v>
      </c>
      <c r="D13" s="2284" t="s">
        <v>1051</v>
      </c>
      <c r="E13" s="2284" t="s">
        <v>1046</v>
      </c>
      <c r="F13" s="2284" t="s">
        <v>1046</v>
      </c>
      <c r="G13" s="2284">
        <v>2</v>
      </c>
      <c r="H13" s="2284">
        <v>201</v>
      </c>
      <c r="I13" s="2284" t="s">
        <v>1052</v>
      </c>
      <c r="J13" s="2284" t="s">
        <v>230</v>
      </c>
      <c r="K13" s="2284" t="s">
        <v>1049</v>
      </c>
      <c r="L13" s="2284">
        <v>1</v>
      </c>
      <c r="M13" s="2284">
        <v>787.52</v>
      </c>
      <c r="N13" s="2284">
        <v>3339.08</v>
      </c>
      <c r="O13" s="2284">
        <v>42400</v>
      </c>
    </row>
    <row r="14" spans="1:15">
      <c r="A14" s="2285">
        <v>45308.333831018499</v>
      </c>
      <c r="B14" s="2284" t="s">
        <v>1046</v>
      </c>
      <c r="C14" s="2284" t="s">
        <v>1046</v>
      </c>
      <c r="D14" s="2284" t="s">
        <v>1051</v>
      </c>
      <c r="E14" s="2284" t="s">
        <v>1046</v>
      </c>
      <c r="F14" s="2284" t="s">
        <v>1046</v>
      </c>
      <c r="G14" s="2284">
        <v>8</v>
      </c>
      <c r="H14" s="2284">
        <v>801</v>
      </c>
      <c r="I14" s="2284" t="s">
        <v>1052</v>
      </c>
      <c r="J14" s="2284" t="s">
        <v>230</v>
      </c>
      <c r="K14" s="2284" t="s">
        <v>1049</v>
      </c>
      <c r="L14" s="2284">
        <v>1</v>
      </c>
      <c r="M14" s="2284">
        <v>822.89</v>
      </c>
      <c r="N14" s="2284">
        <v>3489.02</v>
      </c>
      <c r="O14" s="2284">
        <v>42400</v>
      </c>
    </row>
    <row r="15" spans="1:15">
      <c r="A15" s="2285">
        <v>45308.333831018499</v>
      </c>
      <c r="B15" s="2284" t="s">
        <v>1046</v>
      </c>
      <c r="C15" s="2284" t="s">
        <v>1046</v>
      </c>
      <c r="D15" s="2284" t="s">
        <v>1051</v>
      </c>
      <c r="E15" s="2284" t="s">
        <v>1046</v>
      </c>
      <c r="F15" s="2284" t="s">
        <v>1046</v>
      </c>
      <c r="G15" s="2284">
        <v>5</v>
      </c>
      <c r="H15" s="2284">
        <v>502</v>
      </c>
      <c r="I15" s="2284" t="s">
        <v>1052</v>
      </c>
      <c r="J15" s="2284" t="s">
        <v>230</v>
      </c>
      <c r="K15" s="2284" t="s">
        <v>1049</v>
      </c>
      <c r="L15" s="2284">
        <v>1</v>
      </c>
      <c r="M15" s="2284">
        <v>935.99</v>
      </c>
      <c r="N15" s="2284">
        <v>3968.6</v>
      </c>
      <c r="O15" s="2284">
        <v>42400</v>
      </c>
    </row>
    <row r="16" spans="1:15">
      <c r="A16" s="2285">
        <v>45308.333831018499</v>
      </c>
      <c r="B16" s="2284" t="s">
        <v>1046</v>
      </c>
      <c r="C16" s="2284" t="s">
        <v>1046</v>
      </c>
      <c r="D16" s="2284" t="s">
        <v>1051</v>
      </c>
      <c r="E16" s="2284" t="s">
        <v>1046</v>
      </c>
      <c r="F16" s="2284" t="s">
        <v>1046</v>
      </c>
      <c r="G16" s="2284">
        <v>6</v>
      </c>
      <c r="H16" s="2284">
        <v>601</v>
      </c>
      <c r="I16" s="2284" t="s">
        <v>1052</v>
      </c>
      <c r="J16" s="2284" t="s">
        <v>230</v>
      </c>
      <c r="K16" s="2284" t="s">
        <v>1049</v>
      </c>
      <c r="L16" s="2284">
        <v>1</v>
      </c>
      <c r="M16" s="2284">
        <v>831.87</v>
      </c>
      <c r="N16" s="2284">
        <v>3527.15</v>
      </c>
      <c r="O16" s="2284">
        <v>42400</v>
      </c>
    </row>
    <row r="17" spans="1:15">
      <c r="A17" s="2285">
        <v>45308.333831018499</v>
      </c>
      <c r="B17" s="2284" t="s">
        <v>1046</v>
      </c>
      <c r="C17" s="2284" t="s">
        <v>1046</v>
      </c>
      <c r="D17" s="2284" t="s">
        <v>1051</v>
      </c>
      <c r="E17" s="2284" t="s">
        <v>1046</v>
      </c>
      <c r="F17" s="2284" t="s">
        <v>1046</v>
      </c>
      <c r="G17" s="2284">
        <v>8</v>
      </c>
      <c r="H17" s="2284">
        <v>802</v>
      </c>
      <c r="I17" s="2284" t="s">
        <v>1052</v>
      </c>
      <c r="J17" s="2284" t="s">
        <v>230</v>
      </c>
      <c r="K17" s="2284" t="s">
        <v>1049</v>
      </c>
      <c r="L17" s="2284">
        <v>1</v>
      </c>
      <c r="M17" s="2284">
        <v>1090.5</v>
      </c>
      <c r="N17" s="2284">
        <v>4623.75</v>
      </c>
      <c r="O17" s="2284">
        <v>42400</v>
      </c>
    </row>
    <row r="18" spans="1:15">
      <c r="A18" s="2285">
        <v>45308.333831018499</v>
      </c>
      <c r="B18" s="2284" t="s">
        <v>1046</v>
      </c>
      <c r="C18" s="2284" t="s">
        <v>1046</v>
      </c>
      <c r="D18" s="2284" t="s">
        <v>1051</v>
      </c>
      <c r="E18" s="2284" t="s">
        <v>1046</v>
      </c>
      <c r="F18" s="2284" t="s">
        <v>1046</v>
      </c>
      <c r="G18" s="2284">
        <v>6</v>
      </c>
      <c r="H18" s="2284">
        <v>602</v>
      </c>
      <c r="I18" s="2284" t="s">
        <v>1052</v>
      </c>
      <c r="J18" s="2284" t="s">
        <v>230</v>
      </c>
      <c r="K18" s="2284" t="s">
        <v>1049</v>
      </c>
      <c r="L18" s="2284">
        <v>1</v>
      </c>
      <c r="M18" s="2284">
        <v>1025.67</v>
      </c>
      <c r="N18" s="2284">
        <v>4348.84</v>
      </c>
      <c r="O18" s="2284">
        <v>42400</v>
      </c>
    </row>
    <row r="19" spans="1:15">
      <c r="A19" s="2285">
        <v>45308.333831018499</v>
      </c>
      <c r="B19" s="2284" t="s">
        <v>1046</v>
      </c>
      <c r="C19" s="2284" t="s">
        <v>1046</v>
      </c>
      <c r="D19" s="2284" t="s">
        <v>1051</v>
      </c>
      <c r="E19" s="2284" t="s">
        <v>1046</v>
      </c>
      <c r="F19" s="2284" t="s">
        <v>1046</v>
      </c>
      <c r="G19" s="2284">
        <v>9</v>
      </c>
      <c r="H19" s="2284">
        <v>902</v>
      </c>
      <c r="I19" s="2284" t="s">
        <v>1052</v>
      </c>
      <c r="J19" s="2284" t="s">
        <v>230</v>
      </c>
      <c r="K19" s="2284" t="s">
        <v>1049</v>
      </c>
      <c r="L19" s="2284">
        <v>1</v>
      </c>
      <c r="M19" s="2284">
        <v>828.39</v>
      </c>
      <c r="N19" s="2284">
        <v>3512.37</v>
      </c>
      <c r="O19" s="2284">
        <v>42400</v>
      </c>
    </row>
    <row r="20" spans="1:15">
      <c r="M20" s="2284">
        <f>SUM(M2:M19)</f>
        <v>15106.53</v>
      </c>
      <c r="N20" s="2284">
        <f>SUM(N2:N19)</f>
        <v>64349.73</v>
      </c>
      <c r="O20" s="2284">
        <f>ROUND(N20/M20*10000,0)</f>
        <v>42597</v>
      </c>
    </row>
    <row r="22" spans="1:15">
      <c r="M22" s="2284" t="s">
        <v>470</v>
      </c>
      <c r="N22" s="2284" t="s">
        <v>471</v>
      </c>
    </row>
    <row r="23" spans="1:15">
      <c r="L23" s="2284" t="s">
        <v>466</v>
      </c>
      <c r="M23" s="2284">
        <f>M20</f>
        <v>15106.53</v>
      </c>
    </row>
    <row r="24" spans="1:15">
      <c r="L24" s="2284" t="s">
        <v>1050</v>
      </c>
      <c r="M24" s="2284">
        <f>ROUND(M23/M20,2)</f>
        <v>1</v>
      </c>
      <c r="N24" s="2284">
        <f>ROUND(N23/M20,2)</f>
        <v>0</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99"/>
  <sheetViews>
    <sheetView zoomScale="85" zoomScaleNormal="85" workbookViewId="0">
      <selection activeCell="L98" sqref="L98"/>
    </sheetView>
  </sheetViews>
  <sheetFormatPr defaultColWidth="9" defaultRowHeight="14.25"/>
  <cols>
    <col min="1" max="1" width="11.625" style="2284" customWidth="1"/>
    <col min="2" max="2" width="9.5" style="2284" customWidth="1"/>
    <col min="3" max="3" width="13.875" style="2284" customWidth="1"/>
    <col min="4" max="8" width="7.5" style="2284" customWidth="1"/>
    <col min="9" max="9" width="37.125" style="2284" customWidth="1"/>
    <col min="10" max="10" width="10.5" style="2284" customWidth="1"/>
    <col min="11" max="11" width="5.5" style="2284" customWidth="1"/>
    <col min="12" max="12" width="10.125" style="2284" customWidth="1"/>
    <col min="13" max="13" width="13.875" style="2284" customWidth="1"/>
    <col min="14" max="14" width="16.125" style="2284" customWidth="1"/>
    <col min="15" max="15" width="17.25" style="2284" customWidth="1"/>
    <col min="16" max="16" width="20" style="2284" customWidth="1"/>
    <col min="17" max="16384" width="9" style="2284"/>
  </cols>
  <sheetData>
    <row r="1" spans="1:15">
      <c r="A1" s="2284" t="s">
        <v>1031</v>
      </c>
      <c r="B1" s="2284" t="s">
        <v>1032</v>
      </c>
      <c r="C1" s="2284" t="s">
        <v>1033</v>
      </c>
      <c r="D1" s="2284" t="s">
        <v>1034</v>
      </c>
      <c r="E1" s="2284" t="s">
        <v>1035</v>
      </c>
      <c r="F1" s="2284" t="s">
        <v>1036</v>
      </c>
      <c r="G1" s="2284" t="s">
        <v>1037</v>
      </c>
      <c r="H1" s="2284" t="s">
        <v>1038</v>
      </c>
      <c r="I1" s="2284" t="s">
        <v>1039</v>
      </c>
      <c r="J1" s="2284" t="s">
        <v>1040</v>
      </c>
      <c r="K1" s="2284" t="s">
        <v>1041</v>
      </c>
      <c r="L1" s="2284" t="s">
        <v>1042</v>
      </c>
      <c r="M1" s="2284" t="s">
        <v>1043</v>
      </c>
      <c r="N1" s="2284" t="s">
        <v>1044</v>
      </c>
      <c r="O1" s="2284" t="s">
        <v>1045</v>
      </c>
    </row>
    <row r="2" spans="1:15">
      <c r="A2" s="2285">
        <v>45611.333831018499</v>
      </c>
      <c r="B2" s="2284" t="s">
        <v>1046</v>
      </c>
      <c r="C2" s="2284" t="s">
        <v>1046</v>
      </c>
      <c r="D2" s="2284" t="s">
        <v>1079</v>
      </c>
      <c r="E2" s="2284" t="s">
        <v>1046</v>
      </c>
      <c r="F2" s="2284" t="s">
        <v>1046</v>
      </c>
      <c r="G2" s="2284">
        <v>-1</v>
      </c>
      <c r="H2" s="2284" t="s">
        <v>1080</v>
      </c>
      <c r="I2" s="2284" t="s">
        <v>1081</v>
      </c>
      <c r="J2" s="2284" t="s">
        <v>1055</v>
      </c>
      <c r="K2" s="2284" t="s">
        <v>1049</v>
      </c>
      <c r="L2" s="2284">
        <v>1</v>
      </c>
      <c r="O2" s="2284">
        <v>12568</v>
      </c>
    </row>
    <row r="3" spans="1:15">
      <c r="A3" s="2285">
        <v>45602.333831018499</v>
      </c>
      <c r="B3" s="2284" t="s">
        <v>1046</v>
      </c>
      <c r="C3" s="2284" t="s">
        <v>1046</v>
      </c>
      <c r="D3" s="2284" t="s">
        <v>1047</v>
      </c>
      <c r="E3" s="2284" t="s">
        <v>1046</v>
      </c>
      <c r="F3" s="2284" t="s">
        <v>1046</v>
      </c>
      <c r="G3" s="2284">
        <v>-2</v>
      </c>
      <c r="H3" s="2284" t="s">
        <v>1082</v>
      </c>
      <c r="I3" s="2284" t="s">
        <v>1083</v>
      </c>
      <c r="J3" s="2284" t="s">
        <v>1055</v>
      </c>
      <c r="K3" s="2284" t="s">
        <v>1049</v>
      </c>
      <c r="L3" s="2284">
        <v>1</v>
      </c>
      <c r="M3" s="2284">
        <v>46.43</v>
      </c>
      <c r="N3" s="2284">
        <v>16</v>
      </c>
      <c r="O3" s="2284">
        <v>3446</v>
      </c>
    </row>
    <row r="4" spans="1:15">
      <c r="A4" s="2285">
        <v>45602.333831018499</v>
      </c>
      <c r="B4" s="2284" t="s">
        <v>1046</v>
      </c>
      <c r="C4" s="2284" t="s">
        <v>1046</v>
      </c>
      <c r="D4" s="2284" t="s">
        <v>1047</v>
      </c>
      <c r="E4" s="2284" t="s">
        <v>1046</v>
      </c>
      <c r="F4" s="2284" t="s">
        <v>1046</v>
      </c>
      <c r="G4" s="2284">
        <v>-3</v>
      </c>
      <c r="H4" s="2284" t="s">
        <v>1084</v>
      </c>
      <c r="I4" s="2284" t="s">
        <v>1083</v>
      </c>
      <c r="J4" s="2284" t="s">
        <v>1055</v>
      </c>
      <c r="K4" s="2284" t="s">
        <v>1049</v>
      </c>
      <c r="L4" s="2284">
        <v>1</v>
      </c>
      <c r="M4" s="2284">
        <v>46.43</v>
      </c>
      <c r="N4" s="2284">
        <v>15</v>
      </c>
      <c r="O4" s="2284">
        <v>3231</v>
      </c>
    </row>
    <row r="5" spans="1:15">
      <c r="A5" s="2285">
        <v>45602.333831018499</v>
      </c>
      <c r="B5" s="2284" t="s">
        <v>1046</v>
      </c>
      <c r="C5" s="2284" t="s">
        <v>1046</v>
      </c>
      <c r="D5" s="2284" t="s">
        <v>1047</v>
      </c>
      <c r="E5" s="2284" t="s">
        <v>1046</v>
      </c>
      <c r="F5" s="2284" t="s">
        <v>1046</v>
      </c>
      <c r="G5" s="2284">
        <v>-2</v>
      </c>
      <c r="H5" s="2284" t="s">
        <v>1085</v>
      </c>
      <c r="I5" s="2284" t="s">
        <v>1083</v>
      </c>
      <c r="J5" s="2284" t="s">
        <v>1055</v>
      </c>
      <c r="K5" s="2284" t="s">
        <v>1049</v>
      </c>
      <c r="L5" s="2284">
        <v>1</v>
      </c>
      <c r="M5" s="2284">
        <v>46.43</v>
      </c>
      <c r="N5" s="2284">
        <v>16</v>
      </c>
      <c r="O5" s="2284">
        <v>3446</v>
      </c>
    </row>
    <row r="6" spans="1:15">
      <c r="A6" s="2285">
        <v>45602.333831018499</v>
      </c>
      <c r="B6" s="2284" t="s">
        <v>1046</v>
      </c>
      <c r="C6" s="2284" t="s">
        <v>1046</v>
      </c>
      <c r="D6" s="2284" t="s">
        <v>1047</v>
      </c>
      <c r="E6" s="2284" t="s">
        <v>1046</v>
      </c>
      <c r="F6" s="2284" t="s">
        <v>1046</v>
      </c>
      <c r="G6" s="2284">
        <v>-2</v>
      </c>
      <c r="H6" s="2284" t="s">
        <v>1086</v>
      </c>
      <c r="I6" s="2284" t="s">
        <v>1083</v>
      </c>
      <c r="J6" s="2284" t="s">
        <v>1055</v>
      </c>
      <c r="K6" s="2284" t="s">
        <v>1049</v>
      </c>
      <c r="L6" s="2284">
        <v>1</v>
      </c>
      <c r="M6" s="2284">
        <v>46.43</v>
      </c>
      <c r="N6" s="2284">
        <v>16</v>
      </c>
      <c r="O6" s="2284">
        <v>3446</v>
      </c>
    </row>
    <row r="7" spans="1:15">
      <c r="A7" s="2285">
        <v>45602.333831018499</v>
      </c>
      <c r="B7" s="2284" t="s">
        <v>1046</v>
      </c>
      <c r="C7" s="2284" t="s">
        <v>1046</v>
      </c>
      <c r="D7" s="2284" t="s">
        <v>1047</v>
      </c>
      <c r="E7" s="2284" t="s">
        <v>1046</v>
      </c>
      <c r="F7" s="2284" t="s">
        <v>1046</v>
      </c>
      <c r="G7" s="2284">
        <v>-2</v>
      </c>
      <c r="H7" s="2284" t="s">
        <v>1087</v>
      </c>
      <c r="I7" s="2284" t="s">
        <v>1083</v>
      </c>
      <c r="J7" s="2284" t="s">
        <v>1055</v>
      </c>
      <c r="K7" s="2284" t="s">
        <v>1049</v>
      </c>
      <c r="L7" s="2284">
        <v>1</v>
      </c>
      <c r="M7" s="2284">
        <v>46.43</v>
      </c>
      <c r="N7" s="2284">
        <v>16</v>
      </c>
      <c r="O7" s="2284">
        <v>3446</v>
      </c>
    </row>
    <row r="8" spans="1:15">
      <c r="A8" s="2285">
        <v>45602.333831018499</v>
      </c>
      <c r="B8" s="2284" t="s">
        <v>1046</v>
      </c>
      <c r="C8" s="2284" t="s">
        <v>1046</v>
      </c>
      <c r="D8" s="2284" t="s">
        <v>1047</v>
      </c>
      <c r="E8" s="2284" t="s">
        <v>1046</v>
      </c>
      <c r="F8" s="2284" t="s">
        <v>1046</v>
      </c>
      <c r="G8" s="2284">
        <v>7</v>
      </c>
      <c r="H8" s="2284">
        <v>702</v>
      </c>
      <c r="I8" s="2284" t="s">
        <v>1083</v>
      </c>
      <c r="J8" s="2284" t="s">
        <v>230</v>
      </c>
      <c r="K8" s="2284" t="s">
        <v>1049</v>
      </c>
      <c r="L8" s="2284">
        <v>1</v>
      </c>
      <c r="M8" s="2284">
        <v>869.47</v>
      </c>
      <c r="N8" s="2284">
        <v>4043.04</v>
      </c>
      <c r="O8" s="2284">
        <v>46500</v>
      </c>
    </row>
    <row r="9" spans="1:15">
      <c r="A9" s="2285">
        <v>45602.333831018499</v>
      </c>
      <c r="B9" s="2284" t="s">
        <v>1046</v>
      </c>
      <c r="C9" s="2284" t="s">
        <v>1046</v>
      </c>
      <c r="D9" s="2284" t="s">
        <v>1047</v>
      </c>
      <c r="E9" s="2284" t="s">
        <v>1046</v>
      </c>
      <c r="F9" s="2284" t="s">
        <v>1046</v>
      </c>
      <c r="G9" s="2284">
        <v>-3</v>
      </c>
      <c r="H9" s="2284" t="s">
        <v>1088</v>
      </c>
      <c r="I9" s="2284" t="s">
        <v>1083</v>
      </c>
      <c r="J9" s="2284" t="s">
        <v>1055</v>
      </c>
      <c r="K9" s="2284" t="s">
        <v>1049</v>
      </c>
      <c r="L9" s="2284">
        <v>1</v>
      </c>
      <c r="M9" s="2284">
        <v>46.43</v>
      </c>
      <c r="N9" s="2284">
        <v>15</v>
      </c>
      <c r="O9" s="2284">
        <v>3231</v>
      </c>
    </row>
    <row r="10" spans="1:15">
      <c r="A10" s="2285">
        <v>45602.333831018499</v>
      </c>
      <c r="B10" s="2284" t="s">
        <v>1046</v>
      </c>
      <c r="C10" s="2284" t="s">
        <v>1046</v>
      </c>
      <c r="D10" s="2284" t="s">
        <v>1047</v>
      </c>
      <c r="E10" s="2284" t="s">
        <v>1046</v>
      </c>
      <c r="F10" s="2284" t="s">
        <v>1046</v>
      </c>
      <c r="G10" s="2284">
        <v>-3</v>
      </c>
      <c r="H10" s="2284" t="s">
        <v>1089</v>
      </c>
      <c r="I10" s="2284" t="s">
        <v>1083</v>
      </c>
      <c r="J10" s="2284" t="s">
        <v>1055</v>
      </c>
      <c r="K10" s="2284" t="s">
        <v>1049</v>
      </c>
      <c r="L10" s="2284">
        <v>1</v>
      </c>
      <c r="M10" s="2284">
        <v>46.43</v>
      </c>
      <c r="N10" s="2284">
        <v>15</v>
      </c>
      <c r="O10" s="2284">
        <v>3231</v>
      </c>
    </row>
    <row r="11" spans="1:15">
      <c r="A11" s="2285">
        <v>45602.333831018499</v>
      </c>
      <c r="B11" s="2284" t="s">
        <v>1046</v>
      </c>
      <c r="C11" s="2284" t="s">
        <v>1046</v>
      </c>
      <c r="D11" s="2284" t="s">
        <v>1047</v>
      </c>
      <c r="E11" s="2284" t="s">
        <v>1046</v>
      </c>
      <c r="F11" s="2284" t="s">
        <v>1046</v>
      </c>
      <c r="G11" s="2284">
        <v>5</v>
      </c>
      <c r="H11" s="2284">
        <v>502</v>
      </c>
      <c r="I11" s="2284" t="s">
        <v>1083</v>
      </c>
      <c r="J11" s="2284" t="s">
        <v>230</v>
      </c>
      <c r="K11" s="2284" t="s">
        <v>1049</v>
      </c>
      <c r="L11" s="2284">
        <v>1</v>
      </c>
      <c r="M11" s="2284">
        <v>869.47</v>
      </c>
      <c r="N11" s="2284">
        <v>4043.04</v>
      </c>
      <c r="O11" s="2284">
        <v>46500</v>
      </c>
    </row>
    <row r="12" spans="1:15">
      <c r="A12" s="2285">
        <v>45602.333831018499</v>
      </c>
      <c r="B12" s="2284" t="s">
        <v>1046</v>
      </c>
      <c r="C12" s="2284" t="s">
        <v>1046</v>
      </c>
      <c r="D12" s="2284" t="s">
        <v>1047</v>
      </c>
      <c r="E12" s="2284" t="s">
        <v>1046</v>
      </c>
      <c r="F12" s="2284" t="s">
        <v>1046</v>
      </c>
      <c r="G12" s="2284">
        <v>-3</v>
      </c>
      <c r="H12" s="2284" t="s">
        <v>1090</v>
      </c>
      <c r="I12" s="2284" t="s">
        <v>1083</v>
      </c>
      <c r="J12" s="2284" t="s">
        <v>1055</v>
      </c>
      <c r="K12" s="2284" t="s">
        <v>1049</v>
      </c>
      <c r="L12" s="2284">
        <v>1</v>
      </c>
      <c r="M12" s="2284">
        <v>46.43</v>
      </c>
      <c r="N12" s="2284">
        <v>15</v>
      </c>
      <c r="O12" s="2284">
        <v>3231</v>
      </c>
    </row>
    <row r="13" spans="1:15">
      <c r="A13" s="2285">
        <v>45602.333831018499</v>
      </c>
      <c r="B13" s="2284" t="s">
        <v>1046</v>
      </c>
      <c r="C13" s="2284" t="s">
        <v>1046</v>
      </c>
      <c r="D13" s="2284" t="s">
        <v>1047</v>
      </c>
      <c r="E13" s="2284" t="s">
        <v>1046</v>
      </c>
      <c r="F13" s="2284" t="s">
        <v>1046</v>
      </c>
      <c r="G13" s="2284">
        <v>-3</v>
      </c>
      <c r="H13" s="2284" t="s">
        <v>1091</v>
      </c>
      <c r="I13" s="2284" t="s">
        <v>1083</v>
      </c>
      <c r="J13" s="2284" t="s">
        <v>1055</v>
      </c>
      <c r="K13" s="2284" t="s">
        <v>1049</v>
      </c>
      <c r="L13" s="2284">
        <v>1</v>
      </c>
      <c r="M13" s="2284">
        <v>46.43</v>
      </c>
      <c r="N13" s="2284">
        <v>15</v>
      </c>
      <c r="O13" s="2284">
        <v>3231</v>
      </c>
    </row>
    <row r="14" spans="1:15">
      <c r="A14" s="2285">
        <v>45602.333831018499</v>
      </c>
      <c r="B14" s="2284" t="s">
        <v>1046</v>
      </c>
      <c r="C14" s="2284" t="s">
        <v>1046</v>
      </c>
      <c r="D14" s="2284" t="s">
        <v>1047</v>
      </c>
      <c r="E14" s="2284" t="s">
        <v>1046</v>
      </c>
      <c r="F14" s="2284" t="s">
        <v>1046</v>
      </c>
      <c r="G14" s="2284">
        <v>11</v>
      </c>
      <c r="H14" s="2284">
        <v>1101</v>
      </c>
      <c r="I14" s="2284" t="s">
        <v>1083</v>
      </c>
      <c r="J14" s="2284" t="s">
        <v>230</v>
      </c>
      <c r="K14" s="2284" t="s">
        <v>1049</v>
      </c>
      <c r="L14" s="2284">
        <v>1</v>
      </c>
      <c r="M14" s="2284">
        <v>775.66</v>
      </c>
      <c r="N14" s="2284">
        <v>3606.82</v>
      </c>
      <c r="O14" s="2284">
        <v>46500</v>
      </c>
    </row>
    <row r="15" spans="1:15">
      <c r="A15" s="2285">
        <v>45602.333831018499</v>
      </c>
      <c r="B15" s="2284" t="s">
        <v>1046</v>
      </c>
      <c r="C15" s="2284" t="s">
        <v>1046</v>
      </c>
      <c r="D15" s="2284" t="s">
        <v>1047</v>
      </c>
      <c r="E15" s="2284" t="s">
        <v>1046</v>
      </c>
      <c r="F15" s="2284" t="s">
        <v>1046</v>
      </c>
      <c r="G15" s="2284">
        <v>-3</v>
      </c>
      <c r="H15" s="2284" t="s">
        <v>1092</v>
      </c>
      <c r="I15" s="2284" t="s">
        <v>1083</v>
      </c>
      <c r="J15" s="2284" t="s">
        <v>1055</v>
      </c>
      <c r="K15" s="2284" t="s">
        <v>1049</v>
      </c>
      <c r="L15" s="2284">
        <v>1</v>
      </c>
      <c r="M15" s="2284">
        <v>46.43</v>
      </c>
      <c r="N15" s="2284">
        <v>15</v>
      </c>
      <c r="O15" s="2284">
        <v>3231</v>
      </c>
    </row>
    <row r="16" spans="1:15">
      <c r="A16" s="2285">
        <v>45602.333831018499</v>
      </c>
      <c r="B16" s="2284" t="s">
        <v>1046</v>
      </c>
      <c r="C16" s="2284" t="s">
        <v>1046</v>
      </c>
      <c r="D16" s="2284" t="s">
        <v>1047</v>
      </c>
      <c r="E16" s="2284" t="s">
        <v>1046</v>
      </c>
      <c r="F16" s="2284" t="s">
        <v>1046</v>
      </c>
      <c r="G16" s="2284">
        <v>-3</v>
      </c>
      <c r="H16" s="2284" t="s">
        <v>1093</v>
      </c>
      <c r="I16" s="2284" t="s">
        <v>1083</v>
      </c>
      <c r="J16" s="2284" t="s">
        <v>1055</v>
      </c>
      <c r="K16" s="2284" t="s">
        <v>1049</v>
      </c>
      <c r="L16" s="2284">
        <v>1</v>
      </c>
      <c r="M16" s="2284">
        <v>46.43</v>
      </c>
      <c r="N16" s="2284">
        <v>15</v>
      </c>
      <c r="O16" s="2284">
        <v>3231</v>
      </c>
    </row>
    <row r="17" spans="1:15">
      <c r="A17" s="2285">
        <v>45602.333831018499</v>
      </c>
      <c r="B17" s="2284" t="s">
        <v>1046</v>
      </c>
      <c r="C17" s="2284" t="s">
        <v>1046</v>
      </c>
      <c r="D17" s="2284" t="s">
        <v>1047</v>
      </c>
      <c r="E17" s="2284" t="s">
        <v>1046</v>
      </c>
      <c r="F17" s="2284" t="s">
        <v>1046</v>
      </c>
      <c r="G17" s="2284">
        <v>-2</v>
      </c>
      <c r="H17" s="2284" t="s">
        <v>1094</v>
      </c>
      <c r="I17" s="2284" t="s">
        <v>1083</v>
      </c>
      <c r="J17" s="2284" t="s">
        <v>1055</v>
      </c>
      <c r="K17" s="2284" t="s">
        <v>1049</v>
      </c>
      <c r="L17" s="2284">
        <v>1</v>
      </c>
      <c r="M17" s="2284">
        <v>46.43</v>
      </c>
      <c r="N17" s="2284">
        <v>16</v>
      </c>
      <c r="O17" s="2284">
        <v>3446</v>
      </c>
    </row>
    <row r="18" spans="1:15">
      <c r="A18" s="2285">
        <v>45602.333831018499</v>
      </c>
      <c r="B18" s="2284" t="s">
        <v>1046</v>
      </c>
      <c r="C18" s="2284" t="s">
        <v>1046</v>
      </c>
      <c r="D18" s="2284" t="s">
        <v>1047</v>
      </c>
      <c r="E18" s="2284" t="s">
        <v>1046</v>
      </c>
      <c r="F18" s="2284" t="s">
        <v>1046</v>
      </c>
      <c r="G18" s="2284">
        <v>-3</v>
      </c>
      <c r="H18" s="2284" t="s">
        <v>1095</v>
      </c>
      <c r="I18" s="2284" t="s">
        <v>1083</v>
      </c>
      <c r="J18" s="2284" t="s">
        <v>1055</v>
      </c>
      <c r="K18" s="2284" t="s">
        <v>1049</v>
      </c>
      <c r="L18" s="2284">
        <v>1</v>
      </c>
      <c r="M18" s="2284">
        <v>46.43</v>
      </c>
      <c r="N18" s="2284">
        <v>15</v>
      </c>
      <c r="O18" s="2284">
        <v>3231</v>
      </c>
    </row>
    <row r="19" spans="1:15">
      <c r="A19" s="2285">
        <v>45602.333831018499</v>
      </c>
      <c r="B19" s="2284" t="s">
        <v>1046</v>
      </c>
      <c r="C19" s="2284" t="s">
        <v>1046</v>
      </c>
      <c r="D19" s="2284" t="s">
        <v>1047</v>
      </c>
      <c r="E19" s="2284" t="s">
        <v>1046</v>
      </c>
      <c r="F19" s="2284" t="s">
        <v>1046</v>
      </c>
      <c r="G19" s="2284">
        <v>7</v>
      </c>
      <c r="H19" s="2284">
        <v>701</v>
      </c>
      <c r="I19" s="2284" t="s">
        <v>1083</v>
      </c>
      <c r="J19" s="2284" t="s">
        <v>230</v>
      </c>
      <c r="K19" s="2284" t="s">
        <v>1049</v>
      </c>
      <c r="L19" s="2284">
        <v>1</v>
      </c>
      <c r="M19" s="2284">
        <v>775.66</v>
      </c>
      <c r="N19" s="2284">
        <v>3606.82</v>
      </c>
      <c r="O19" s="2284">
        <v>46500</v>
      </c>
    </row>
    <row r="20" spans="1:15">
      <c r="A20" s="2285">
        <v>45602.333831018499</v>
      </c>
      <c r="B20" s="2284" t="s">
        <v>1046</v>
      </c>
      <c r="C20" s="2284" t="s">
        <v>1046</v>
      </c>
      <c r="D20" s="2284" t="s">
        <v>1047</v>
      </c>
      <c r="E20" s="2284" t="s">
        <v>1046</v>
      </c>
      <c r="F20" s="2284" t="s">
        <v>1046</v>
      </c>
      <c r="G20" s="2284">
        <v>-3</v>
      </c>
      <c r="H20" s="2284" t="s">
        <v>1096</v>
      </c>
      <c r="I20" s="2284" t="s">
        <v>1083</v>
      </c>
      <c r="J20" s="2284" t="s">
        <v>1055</v>
      </c>
      <c r="K20" s="2284" t="s">
        <v>1049</v>
      </c>
      <c r="L20" s="2284">
        <v>1</v>
      </c>
      <c r="M20" s="2284">
        <v>46.43</v>
      </c>
      <c r="N20" s="2284">
        <v>15</v>
      </c>
      <c r="O20" s="2284">
        <v>3231</v>
      </c>
    </row>
    <row r="21" spans="1:15">
      <c r="A21" s="2285">
        <v>45602.333831018499</v>
      </c>
      <c r="B21" s="2284" t="s">
        <v>1046</v>
      </c>
      <c r="C21" s="2284" t="s">
        <v>1046</v>
      </c>
      <c r="D21" s="2284" t="s">
        <v>1047</v>
      </c>
      <c r="E21" s="2284" t="s">
        <v>1046</v>
      </c>
      <c r="F21" s="2284" t="s">
        <v>1046</v>
      </c>
      <c r="G21" s="2284">
        <v>-2</v>
      </c>
      <c r="H21" s="2284" t="s">
        <v>1097</v>
      </c>
      <c r="I21" s="2284" t="s">
        <v>1083</v>
      </c>
      <c r="J21" s="2284" t="s">
        <v>1055</v>
      </c>
      <c r="K21" s="2284" t="s">
        <v>1049</v>
      </c>
      <c r="L21" s="2284">
        <v>1</v>
      </c>
      <c r="M21" s="2284">
        <v>46.43</v>
      </c>
      <c r="N21" s="2284">
        <v>16</v>
      </c>
      <c r="O21" s="2284">
        <v>3446</v>
      </c>
    </row>
    <row r="22" spans="1:15">
      <c r="A22" s="2285">
        <v>45602.333831018499</v>
      </c>
      <c r="B22" s="2284" t="s">
        <v>1046</v>
      </c>
      <c r="C22" s="2284" t="s">
        <v>1046</v>
      </c>
      <c r="D22" s="2284" t="s">
        <v>1047</v>
      </c>
      <c r="E22" s="2284" t="s">
        <v>1046</v>
      </c>
      <c r="F22" s="2284" t="s">
        <v>1046</v>
      </c>
      <c r="G22" s="2284">
        <v>6</v>
      </c>
      <c r="H22" s="2284">
        <v>602</v>
      </c>
      <c r="I22" s="2284" t="s">
        <v>1083</v>
      </c>
      <c r="J22" s="2284" t="s">
        <v>230</v>
      </c>
      <c r="K22" s="2284" t="s">
        <v>1049</v>
      </c>
      <c r="L22" s="2284">
        <v>1</v>
      </c>
      <c r="M22" s="2284">
        <v>869.47</v>
      </c>
      <c r="N22" s="2284">
        <v>4043.04</v>
      </c>
      <c r="O22" s="2284">
        <v>46500</v>
      </c>
    </row>
    <row r="23" spans="1:15">
      <c r="A23" s="2285">
        <v>45602.333831018499</v>
      </c>
      <c r="B23" s="2284" t="s">
        <v>1046</v>
      </c>
      <c r="C23" s="2284" t="s">
        <v>1046</v>
      </c>
      <c r="D23" s="2284" t="s">
        <v>1047</v>
      </c>
      <c r="E23" s="2284" t="s">
        <v>1046</v>
      </c>
      <c r="F23" s="2284" t="s">
        <v>1046</v>
      </c>
      <c r="G23" s="2284">
        <v>-3</v>
      </c>
      <c r="H23" s="2284" t="s">
        <v>1098</v>
      </c>
      <c r="I23" s="2284" t="s">
        <v>1083</v>
      </c>
      <c r="J23" s="2284" t="s">
        <v>1055</v>
      </c>
      <c r="K23" s="2284" t="s">
        <v>1049</v>
      </c>
      <c r="L23" s="2284">
        <v>1</v>
      </c>
      <c r="M23" s="2284">
        <v>46.43</v>
      </c>
      <c r="N23" s="2284">
        <v>15</v>
      </c>
      <c r="O23" s="2284">
        <v>3231</v>
      </c>
    </row>
    <row r="24" spans="1:15">
      <c r="A24" s="2285">
        <v>45602.333831018499</v>
      </c>
      <c r="B24" s="2284" t="s">
        <v>1046</v>
      </c>
      <c r="C24" s="2284" t="s">
        <v>1046</v>
      </c>
      <c r="D24" s="2284" t="s">
        <v>1047</v>
      </c>
      <c r="E24" s="2284" t="s">
        <v>1046</v>
      </c>
      <c r="F24" s="2284" t="s">
        <v>1046</v>
      </c>
      <c r="G24" s="2284">
        <v>-3</v>
      </c>
      <c r="H24" s="2284" t="s">
        <v>1099</v>
      </c>
      <c r="I24" s="2284" t="s">
        <v>1083</v>
      </c>
      <c r="J24" s="2284" t="s">
        <v>1055</v>
      </c>
      <c r="K24" s="2284" t="s">
        <v>1049</v>
      </c>
      <c r="L24" s="2284">
        <v>1</v>
      </c>
      <c r="M24" s="2284">
        <v>46.43</v>
      </c>
      <c r="N24" s="2284">
        <v>15</v>
      </c>
      <c r="O24" s="2284">
        <v>3231</v>
      </c>
    </row>
    <row r="25" spans="1:15">
      <c r="A25" s="2285">
        <v>45602.333831018499</v>
      </c>
      <c r="B25" s="2284" t="s">
        <v>1046</v>
      </c>
      <c r="C25" s="2284" t="s">
        <v>1046</v>
      </c>
      <c r="D25" s="2284" t="s">
        <v>1047</v>
      </c>
      <c r="E25" s="2284" t="s">
        <v>1046</v>
      </c>
      <c r="F25" s="2284" t="s">
        <v>1046</v>
      </c>
      <c r="G25" s="2284">
        <v>-2</v>
      </c>
      <c r="H25" s="2284" t="s">
        <v>1100</v>
      </c>
      <c r="I25" s="2284" t="s">
        <v>1083</v>
      </c>
      <c r="J25" s="2284" t="s">
        <v>1055</v>
      </c>
      <c r="K25" s="2284" t="s">
        <v>1049</v>
      </c>
      <c r="L25" s="2284">
        <v>1</v>
      </c>
      <c r="M25" s="2284">
        <v>46.43</v>
      </c>
      <c r="N25" s="2284">
        <v>16</v>
      </c>
      <c r="O25" s="2284">
        <v>3446</v>
      </c>
    </row>
    <row r="26" spans="1:15">
      <c r="A26" s="2285">
        <v>45602.333831018499</v>
      </c>
      <c r="B26" s="2284" t="s">
        <v>1046</v>
      </c>
      <c r="C26" s="2284" t="s">
        <v>1046</v>
      </c>
      <c r="D26" s="2284" t="s">
        <v>1047</v>
      </c>
      <c r="E26" s="2284" t="s">
        <v>1046</v>
      </c>
      <c r="F26" s="2284" t="s">
        <v>1046</v>
      </c>
      <c r="G26" s="2284">
        <v>-2</v>
      </c>
      <c r="H26" s="2284" t="s">
        <v>1101</v>
      </c>
      <c r="I26" s="2284" t="s">
        <v>1083</v>
      </c>
      <c r="J26" s="2284" t="s">
        <v>1055</v>
      </c>
      <c r="K26" s="2284" t="s">
        <v>1049</v>
      </c>
      <c r="L26" s="2284">
        <v>1</v>
      </c>
      <c r="M26" s="2284">
        <v>43.73</v>
      </c>
      <c r="N26" s="2284">
        <v>16</v>
      </c>
      <c r="O26" s="2284">
        <v>3659</v>
      </c>
    </row>
    <row r="27" spans="1:15">
      <c r="A27" s="2285">
        <v>45602.333831018499</v>
      </c>
      <c r="B27" s="2284" t="s">
        <v>1046</v>
      </c>
      <c r="C27" s="2284" t="s">
        <v>1046</v>
      </c>
      <c r="D27" s="2284" t="s">
        <v>1047</v>
      </c>
      <c r="E27" s="2284" t="s">
        <v>1046</v>
      </c>
      <c r="F27" s="2284" t="s">
        <v>1046</v>
      </c>
      <c r="G27" s="2284">
        <v>8</v>
      </c>
      <c r="H27" s="2284">
        <v>802</v>
      </c>
      <c r="I27" s="2284" t="s">
        <v>1083</v>
      </c>
      <c r="J27" s="2284" t="s">
        <v>230</v>
      </c>
      <c r="K27" s="2284" t="s">
        <v>1049</v>
      </c>
      <c r="L27" s="2284">
        <v>1</v>
      </c>
      <c r="M27" s="2284">
        <v>869.47</v>
      </c>
      <c r="N27" s="2284">
        <v>4043.04</v>
      </c>
      <c r="O27" s="2284">
        <v>46500</v>
      </c>
    </row>
    <row r="28" spans="1:15">
      <c r="A28" s="2285">
        <v>45602.333831018499</v>
      </c>
      <c r="B28" s="2284" t="s">
        <v>1046</v>
      </c>
      <c r="C28" s="2284" t="s">
        <v>1046</v>
      </c>
      <c r="D28" s="2284" t="s">
        <v>1047</v>
      </c>
      <c r="E28" s="2284" t="s">
        <v>1046</v>
      </c>
      <c r="F28" s="2284" t="s">
        <v>1046</v>
      </c>
      <c r="G28" s="2284">
        <v>9</v>
      </c>
      <c r="H28" s="2284">
        <v>902</v>
      </c>
      <c r="I28" s="2284" t="s">
        <v>1083</v>
      </c>
      <c r="J28" s="2284" t="s">
        <v>230</v>
      </c>
      <c r="K28" s="2284" t="s">
        <v>1049</v>
      </c>
      <c r="L28" s="2284">
        <v>1</v>
      </c>
      <c r="M28" s="2284">
        <v>869.47</v>
      </c>
      <c r="N28" s="2284">
        <v>4043.04</v>
      </c>
      <c r="O28" s="2284">
        <v>46500</v>
      </c>
    </row>
    <row r="29" spans="1:15">
      <c r="A29" s="2285">
        <v>45602.333831018499</v>
      </c>
      <c r="B29" s="2284" t="s">
        <v>1046</v>
      </c>
      <c r="C29" s="2284" t="s">
        <v>1046</v>
      </c>
      <c r="D29" s="2284" t="s">
        <v>1047</v>
      </c>
      <c r="E29" s="2284" t="s">
        <v>1046</v>
      </c>
      <c r="F29" s="2284" t="s">
        <v>1046</v>
      </c>
      <c r="G29" s="2284">
        <v>5</v>
      </c>
      <c r="H29" s="2284">
        <v>501</v>
      </c>
      <c r="I29" s="2284" t="s">
        <v>1083</v>
      </c>
      <c r="J29" s="2284" t="s">
        <v>230</v>
      </c>
      <c r="K29" s="2284" t="s">
        <v>1049</v>
      </c>
      <c r="L29" s="2284">
        <v>1</v>
      </c>
      <c r="M29" s="2284">
        <v>775.66</v>
      </c>
      <c r="N29" s="2284">
        <v>3606.82</v>
      </c>
      <c r="O29" s="2284">
        <v>46500</v>
      </c>
    </row>
    <row r="30" spans="1:15">
      <c r="A30" s="2285">
        <v>45602.333831018499</v>
      </c>
      <c r="B30" s="2284" t="s">
        <v>1046</v>
      </c>
      <c r="C30" s="2284" t="s">
        <v>1046</v>
      </c>
      <c r="D30" s="2284" t="s">
        <v>1047</v>
      </c>
      <c r="E30" s="2284" t="s">
        <v>1046</v>
      </c>
      <c r="F30" s="2284" t="s">
        <v>1046</v>
      </c>
      <c r="G30" s="2284">
        <v>-3</v>
      </c>
      <c r="H30" s="2284" t="s">
        <v>1102</v>
      </c>
      <c r="I30" s="2284" t="s">
        <v>1083</v>
      </c>
      <c r="J30" s="2284" t="s">
        <v>1055</v>
      </c>
      <c r="K30" s="2284" t="s">
        <v>1049</v>
      </c>
      <c r="L30" s="2284">
        <v>1</v>
      </c>
      <c r="M30" s="2284">
        <v>46.43</v>
      </c>
      <c r="N30" s="2284">
        <v>15</v>
      </c>
      <c r="O30" s="2284">
        <v>3231</v>
      </c>
    </row>
    <row r="31" spans="1:15">
      <c r="A31" s="2285">
        <v>45602.333831018499</v>
      </c>
      <c r="B31" s="2284" t="s">
        <v>1046</v>
      </c>
      <c r="C31" s="2284" t="s">
        <v>1046</v>
      </c>
      <c r="D31" s="2284" t="s">
        <v>1047</v>
      </c>
      <c r="E31" s="2284" t="s">
        <v>1046</v>
      </c>
      <c r="F31" s="2284" t="s">
        <v>1046</v>
      </c>
      <c r="G31" s="2284">
        <v>-2</v>
      </c>
      <c r="H31" s="2284" t="s">
        <v>1103</v>
      </c>
      <c r="I31" s="2284" t="s">
        <v>1083</v>
      </c>
      <c r="J31" s="2284" t="s">
        <v>1055</v>
      </c>
      <c r="K31" s="2284" t="s">
        <v>1049</v>
      </c>
      <c r="L31" s="2284">
        <v>1</v>
      </c>
      <c r="M31" s="2284">
        <v>46.43</v>
      </c>
      <c r="N31" s="2284">
        <v>16</v>
      </c>
      <c r="O31" s="2284">
        <v>3446</v>
      </c>
    </row>
    <row r="32" spans="1:15">
      <c r="A32" s="2285">
        <v>45602.333831018499</v>
      </c>
      <c r="B32" s="2284" t="s">
        <v>1046</v>
      </c>
      <c r="C32" s="2284" t="s">
        <v>1046</v>
      </c>
      <c r="D32" s="2284" t="s">
        <v>1047</v>
      </c>
      <c r="E32" s="2284" t="s">
        <v>1046</v>
      </c>
      <c r="F32" s="2284" t="s">
        <v>1046</v>
      </c>
      <c r="G32" s="2284">
        <v>-3</v>
      </c>
      <c r="H32" s="2284" t="s">
        <v>1104</v>
      </c>
      <c r="I32" s="2284" t="s">
        <v>1083</v>
      </c>
      <c r="J32" s="2284" t="s">
        <v>1055</v>
      </c>
      <c r="K32" s="2284" t="s">
        <v>1049</v>
      </c>
      <c r="L32" s="2284">
        <v>1</v>
      </c>
      <c r="M32" s="2284">
        <v>46.43</v>
      </c>
      <c r="N32" s="2284">
        <v>15</v>
      </c>
      <c r="O32" s="2284">
        <v>3231</v>
      </c>
    </row>
    <row r="33" spans="1:15">
      <c r="A33" s="2285">
        <v>45602.333831018499</v>
      </c>
      <c r="B33" s="2284" t="s">
        <v>1046</v>
      </c>
      <c r="C33" s="2284" t="s">
        <v>1046</v>
      </c>
      <c r="D33" s="2284" t="s">
        <v>1047</v>
      </c>
      <c r="E33" s="2284" t="s">
        <v>1046</v>
      </c>
      <c r="F33" s="2284" t="s">
        <v>1046</v>
      </c>
      <c r="G33" s="2284">
        <v>-3</v>
      </c>
      <c r="H33" s="2284" t="s">
        <v>1105</v>
      </c>
      <c r="I33" s="2284" t="s">
        <v>1083</v>
      </c>
      <c r="J33" s="2284" t="s">
        <v>1055</v>
      </c>
      <c r="K33" s="2284" t="s">
        <v>1049</v>
      </c>
      <c r="L33" s="2284">
        <v>1</v>
      </c>
      <c r="M33" s="2284">
        <v>46.43</v>
      </c>
      <c r="N33" s="2284">
        <v>15</v>
      </c>
      <c r="O33" s="2284">
        <v>3231</v>
      </c>
    </row>
    <row r="34" spans="1:15">
      <c r="A34" s="2285">
        <v>45602.333831018499</v>
      </c>
      <c r="B34" s="2284" t="s">
        <v>1046</v>
      </c>
      <c r="C34" s="2284" t="s">
        <v>1046</v>
      </c>
      <c r="D34" s="2284" t="s">
        <v>1047</v>
      </c>
      <c r="E34" s="2284" t="s">
        <v>1046</v>
      </c>
      <c r="F34" s="2284" t="s">
        <v>1046</v>
      </c>
      <c r="G34" s="2284">
        <v>-3</v>
      </c>
      <c r="H34" s="2284" t="s">
        <v>1106</v>
      </c>
      <c r="I34" s="2284" t="s">
        <v>1083</v>
      </c>
      <c r="J34" s="2284" t="s">
        <v>1055</v>
      </c>
      <c r="K34" s="2284" t="s">
        <v>1049</v>
      </c>
      <c r="L34" s="2284">
        <v>1</v>
      </c>
      <c r="M34" s="2284">
        <v>46.43</v>
      </c>
      <c r="N34" s="2284">
        <v>15</v>
      </c>
      <c r="O34" s="2284">
        <v>3231</v>
      </c>
    </row>
    <row r="35" spans="1:15">
      <c r="A35" s="2285">
        <v>45602.333831018499</v>
      </c>
      <c r="B35" s="2284" t="s">
        <v>1046</v>
      </c>
      <c r="C35" s="2284" t="s">
        <v>1046</v>
      </c>
      <c r="D35" s="2284" t="s">
        <v>1047</v>
      </c>
      <c r="E35" s="2284" t="s">
        <v>1046</v>
      </c>
      <c r="F35" s="2284" t="s">
        <v>1046</v>
      </c>
      <c r="G35" s="2284">
        <v>-3</v>
      </c>
      <c r="H35" s="2284" t="s">
        <v>1107</v>
      </c>
      <c r="I35" s="2284" t="s">
        <v>1083</v>
      </c>
      <c r="J35" s="2284" t="s">
        <v>1055</v>
      </c>
      <c r="K35" s="2284" t="s">
        <v>1049</v>
      </c>
      <c r="L35" s="2284">
        <v>1</v>
      </c>
      <c r="M35" s="2284">
        <v>46.43</v>
      </c>
      <c r="N35" s="2284">
        <v>15</v>
      </c>
      <c r="O35" s="2284">
        <v>3231</v>
      </c>
    </row>
    <row r="36" spans="1:15">
      <c r="A36" s="2285">
        <v>45602.333831018499</v>
      </c>
      <c r="B36" s="2284" t="s">
        <v>1046</v>
      </c>
      <c r="C36" s="2284" t="s">
        <v>1046</v>
      </c>
      <c r="D36" s="2284" t="s">
        <v>1047</v>
      </c>
      <c r="E36" s="2284" t="s">
        <v>1046</v>
      </c>
      <c r="F36" s="2284" t="s">
        <v>1046</v>
      </c>
      <c r="G36" s="2284">
        <v>-3</v>
      </c>
      <c r="H36" s="2284" t="s">
        <v>1108</v>
      </c>
      <c r="I36" s="2284" t="s">
        <v>1083</v>
      </c>
      <c r="J36" s="2284" t="s">
        <v>1055</v>
      </c>
      <c r="K36" s="2284" t="s">
        <v>1049</v>
      </c>
      <c r="L36" s="2284">
        <v>1</v>
      </c>
      <c r="M36" s="2284">
        <v>46.43</v>
      </c>
      <c r="N36" s="2284">
        <v>15</v>
      </c>
      <c r="O36" s="2284">
        <v>3231</v>
      </c>
    </row>
    <row r="37" spans="1:15">
      <c r="A37" s="2285">
        <v>45602.333831018499</v>
      </c>
      <c r="B37" s="2284" t="s">
        <v>1046</v>
      </c>
      <c r="C37" s="2284" t="s">
        <v>1046</v>
      </c>
      <c r="D37" s="2284" t="s">
        <v>1047</v>
      </c>
      <c r="E37" s="2284" t="s">
        <v>1046</v>
      </c>
      <c r="F37" s="2284" t="s">
        <v>1046</v>
      </c>
      <c r="G37" s="2284">
        <v>9</v>
      </c>
      <c r="H37" s="2284">
        <v>901</v>
      </c>
      <c r="I37" s="2284" t="s">
        <v>1083</v>
      </c>
      <c r="J37" s="2284" t="s">
        <v>230</v>
      </c>
      <c r="K37" s="2284" t="s">
        <v>1049</v>
      </c>
      <c r="L37" s="2284">
        <v>1</v>
      </c>
      <c r="M37" s="2284">
        <v>775.66</v>
      </c>
      <c r="N37" s="2284">
        <v>3606.82</v>
      </c>
      <c r="O37" s="2284">
        <v>46500</v>
      </c>
    </row>
    <row r="38" spans="1:15">
      <c r="A38" s="2285">
        <v>45602.333831018499</v>
      </c>
      <c r="B38" s="2284" t="s">
        <v>1046</v>
      </c>
      <c r="C38" s="2284" t="s">
        <v>1046</v>
      </c>
      <c r="D38" s="2284" t="s">
        <v>1047</v>
      </c>
      <c r="E38" s="2284" t="s">
        <v>1046</v>
      </c>
      <c r="F38" s="2284" t="s">
        <v>1046</v>
      </c>
      <c r="G38" s="2284">
        <v>-2</v>
      </c>
      <c r="H38" s="2284" t="s">
        <v>1109</v>
      </c>
      <c r="I38" s="2284" t="s">
        <v>1083</v>
      </c>
      <c r="J38" s="2284" t="s">
        <v>1055</v>
      </c>
      <c r="K38" s="2284" t="s">
        <v>1049</v>
      </c>
      <c r="L38" s="2284">
        <v>1</v>
      </c>
      <c r="M38" s="2284">
        <v>46.43</v>
      </c>
      <c r="N38" s="2284">
        <v>16</v>
      </c>
      <c r="O38" s="2284">
        <v>3446</v>
      </c>
    </row>
    <row r="39" spans="1:15">
      <c r="A39" s="2285">
        <v>45602.333831018499</v>
      </c>
      <c r="B39" s="2284" t="s">
        <v>1046</v>
      </c>
      <c r="C39" s="2284" t="s">
        <v>1046</v>
      </c>
      <c r="D39" s="2284" t="s">
        <v>1047</v>
      </c>
      <c r="E39" s="2284" t="s">
        <v>1046</v>
      </c>
      <c r="F39" s="2284" t="s">
        <v>1046</v>
      </c>
      <c r="G39" s="2284">
        <v>-2</v>
      </c>
      <c r="H39" s="2284" t="s">
        <v>1110</v>
      </c>
      <c r="I39" s="2284" t="s">
        <v>1083</v>
      </c>
      <c r="J39" s="2284" t="s">
        <v>1055</v>
      </c>
      <c r="K39" s="2284" t="s">
        <v>1049</v>
      </c>
      <c r="L39" s="2284">
        <v>1</v>
      </c>
      <c r="M39" s="2284">
        <v>46.43</v>
      </c>
      <c r="N39" s="2284">
        <v>16</v>
      </c>
      <c r="O39" s="2284">
        <v>3446</v>
      </c>
    </row>
    <row r="40" spans="1:15">
      <c r="A40" s="2285">
        <v>45602.333831018499</v>
      </c>
      <c r="B40" s="2284" t="s">
        <v>1046</v>
      </c>
      <c r="C40" s="2284" t="s">
        <v>1046</v>
      </c>
      <c r="D40" s="2284" t="s">
        <v>1047</v>
      </c>
      <c r="E40" s="2284" t="s">
        <v>1046</v>
      </c>
      <c r="F40" s="2284" t="s">
        <v>1046</v>
      </c>
      <c r="G40" s="2284">
        <v>-3</v>
      </c>
      <c r="H40" s="2284" t="s">
        <v>1111</v>
      </c>
      <c r="I40" s="2284" t="s">
        <v>1083</v>
      </c>
      <c r="J40" s="2284" t="s">
        <v>1055</v>
      </c>
      <c r="K40" s="2284" t="s">
        <v>1049</v>
      </c>
      <c r="L40" s="2284">
        <v>1</v>
      </c>
      <c r="M40" s="2284">
        <v>46.43</v>
      </c>
      <c r="N40" s="2284">
        <v>15</v>
      </c>
      <c r="O40" s="2284">
        <v>3231</v>
      </c>
    </row>
    <row r="41" spans="1:15">
      <c r="A41" s="2285">
        <v>45602.333831018499</v>
      </c>
      <c r="B41" s="2284" t="s">
        <v>1046</v>
      </c>
      <c r="C41" s="2284" t="s">
        <v>1046</v>
      </c>
      <c r="D41" s="2284" t="s">
        <v>1047</v>
      </c>
      <c r="E41" s="2284" t="s">
        <v>1046</v>
      </c>
      <c r="F41" s="2284" t="s">
        <v>1046</v>
      </c>
      <c r="G41" s="2284">
        <v>-3</v>
      </c>
      <c r="H41" s="2284" t="s">
        <v>1112</v>
      </c>
      <c r="I41" s="2284" t="s">
        <v>1083</v>
      </c>
      <c r="J41" s="2284" t="s">
        <v>1055</v>
      </c>
      <c r="K41" s="2284" t="s">
        <v>1049</v>
      </c>
      <c r="L41" s="2284">
        <v>1</v>
      </c>
      <c r="M41" s="2284">
        <v>46.43</v>
      </c>
      <c r="N41" s="2284">
        <v>15</v>
      </c>
      <c r="O41" s="2284">
        <v>3231</v>
      </c>
    </row>
    <row r="42" spans="1:15">
      <c r="A42" s="2285">
        <v>45602.333831018499</v>
      </c>
      <c r="B42" s="2284" t="s">
        <v>1046</v>
      </c>
      <c r="C42" s="2284" t="s">
        <v>1046</v>
      </c>
      <c r="D42" s="2284" t="s">
        <v>1047</v>
      </c>
      <c r="E42" s="2284" t="s">
        <v>1046</v>
      </c>
      <c r="F42" s="2284" t="s">
        <v>1046</v>
      </c>
      <c r="G42" s="2284">
        <v>-3</v>
      </c>
      <c r="H42" s="2284" t="s">
        <v>1113</v>
      </c>
      <c r="I42" s="2284" t="s">
        <v>1083</v>
      </c>
      <c r="J42" s="2284" t="s">
        <v>1055</v>
      </c>
      <c r="K42" s="2284" t="s">
        <v>1049</v>
      </c>
      <c r="L42" s="2284">
        <v>1</v>
      </c>
      <c r="M42" s="2284">
        <v>46.43</v>
      </c>
      <c r="N42" s="2284">
        <v>16</v>
      </c>
      <c r="O42" s="2284">
        <v>3446</v>
      </c>
    </row>
    <row r="43" spans="1:15">
      <c r="A43" s="2285">
        <v>45602.333831018499</v>
      </c>
      <c r="B43" s="2284" t="s">
        <v>1046</v>
      </c>
      <c r="C43" s="2284" t="s">
        <v>1046</v>
      </c>
      <c r="D43" s="2284" t="s">
        <v>1047</v>
      </c>
      <c r="E43" s="2284" t="s">
        <v>1046</v>
      </c>
      <c r="F43" s="2284" t="s">
        <v>1046</v>
      </c>
      <c r="G43" s="2284">
        <v>-2</v>
      </c>
      <c r="H43" s="2284" t="s">
        <v>1114</v>
      </c>
      <c r="I43" s="2284" t="s">
        <v>1083</v>
      </c>
      <c r="J43" s="2284" t="s">
        <v>1055</v>
      </c>
      <c r="K43" s="2284" t="s">
        <v>1049</v>
      </c>
      <c r="L43" s="2284">
        <v>1</v>
      </c>
      <c r="M43" s="2284">
        <v>46.43</v>
      </c>
      <c r="N43" s="2284">
        <v>16</v>
      </c>
      <c r="O43" s="2284">
        <v>3446</v>
      </c>
    </row>
    <row r="44" spans="1:15">
      <c r="A44" s="2285">
        <v>45602.333831018499</v>
      </c>
      <c r="B44" s="2284" t="s">
        <v>1046</v>
      </c>
      <c r="C44" s="2284" t="s">
        <v>1046</v>
      </c>
      <c r="D44" s="2284" t="s">
        <v>1047</v>
      </c>
      <c r="E44" s="2284" t="s">
        <v>1046</v>
      </c>
      <c r="F44" s="2284" t="s">
        <v>1046</v>
      </c>
      <c r="G44" s="2284">
        <v>3</v>
      </c>
      <c r="H44" s="2284">
        <v>302</v>
      </c>
      <c r="I44" s="2284" t="s">
        <v>1083</v>
      </c>
      <c r="J44" s="2284" t="s">
        <v>230</v>
      </c>
      <c r="K44" s="2284" t="s">
        <v>1049</v>
      </c>
      <c r="L44" s="2284">
        <v>1</v>
      </c>
      <c r="M44" s="2284">
        <v>869.47</v>
      </c>
      <c r="N44" s="2284">
        <v>4043.04</v>
      </c>
      <c r="O44" s="2284">
        <v>46500</v>
      </c>
    </row>
    <row r="45" spans="1:15">
      <c r="A45" s="2285">
        <v>45602.333831018499</v>
      </c>
      <c r="B45" s="2284" t="s">
        <v>1046</v>
      </c>
      <c r="C45" s="2284" t="s">
        <v>1046</v>
      </c>
      <c r="D45" s="2284" t="s">
        <v>1047</v>
      </c>
      <c r="E45" s="2284" t="s">
        <v>1046</v>
      </c>
      <c r="F45" s="2284" t="s">
        <v>1046</v>
      </c>
      <c r="G45" s="2284">
        <v>-1</v>
      </c>
      <c r="H45" s="2284">
        <v>-102</v>
      </c>
      <c r="I45" s="2284" t="s">
        <v>1083</v>
      </c>
      <c r="J45" s="2284" t="s">
        <v>229</v>
      </c>
      <c r="K45" s="2284" t="s">
        <v>1049</v>
      </c>
      <c r="L45" s="2284">
        <v>1</v>
      </c>
      <c r="M45" s="2284">
        <v>22.23</v>
      </c>
      <c r="N45" s="2284">
        <v>33.35</v>
      </c>
      <c r="O45" s="2284">
        <v>15000</v>
      </c>
    </row>
    <row r="46" spans="1:15">
      <c r="A46" s="2285">
        <v>45602.333831018499</v>
      </c>
      <c r="B46" s="2284" t="s">
        <v>1046</v>
      </c>
      <c r="C46" s="2284" t="s">
        <v>1046</v>
      </c>
      <c r="D46" s="2284" t="s">
        <v>1047</v>
      </c>
      <c r="E46" s="2284" t="s">
        <v>1046</v>
      </c>
      <c r="F46" s="2284" t="s">
        <v>1046</v>
      </c>
      <c r="G46" s="2284">
        <v>-3</v>
      </c>
      <c r="H46" s="2284" t="s">
        <v>1115</v>
      </c>
      <c r="I46" s="2284" t="s">
        <v>1083</v>
      </c>
      <c r="J46" s="2284" t="s">
        <v>1055</v>
      </c>
      <c r="K46" s="2284" t="s">
        <v>1049</v>
      </c>
      <c r="L46" s="2284">
        <v>1</v>
      </c>
      <c r="M46" s="2284">
        <v>46.43</v>
      </c>
      <c r="N46" s="2284">
        <v>15</v>
      </c>
      <c r="O46" s="2284">
        <v>3231</v>
      </c>
    </row>
    <row r="47" spans="1:15">
      <c r="A47" s="2285">
        <v>45602.333831018499</v>
      </c>
      <c r="B47" s="2284" t="s">
        <v>1046</v>
      </c>
      <c r="C47" s="2284" t="s">
        <v>1046</v>
      </c>
      <c r="D47" s="2284" t="s">
        <v>1047</v>
      </c>
      <c r="E47" s="2284" t="s">
        <v>1046</v>
      </c>
      <c r="F47" s="2284" t="s">
        <v>1046</v>
      </c>
      <c r="G47" s="2284">
        <v>-3</v>
      </c>
      <c r="H47" s="2284" t="s">
        <v>1116</v>
      </c>
      <c r="I47" s="2284" t="s">
        <v>1083</v>
      </c>
      <c r="J47" s="2284" t="s">
        <v>1055</v>
      </c>
      <c r="K47" s="2284" t="s">
        <v>1049</v>
      </c>
      <c r="L47" s="2284">
        <v>1</v>
      </c>
      <c r="M47" s="2284">
        <v>46.43</v>
      </c>
      <c r="N47" s="2284">
        <v>15</v>
      </c>
      <c r="O47" s="2284">
        <v>3231</v>
      </c>
    </row>
    <row r="48" spans="1:15">
      <c r="A48" s="2285">
        <v>45602.333831018499</v>
      </c>
      <c r="B48" s="2284" t="s">
        <v>1046</v>
      </c>
      <c r="C48" s="2284" t="s">
        <v>1046</v>
      </c>
      <c r="D48" s="2284" t="s">
        <v>1047</v>
      </c>
      <c r="E48" s="2284" t="s">
        <v>1046</v>
      </c>
      <c r="F48" s="2284" t="s">
        <v>1046</v>
      </c>
      <c r="G48" s="2284">
        <v>-3</v>
      </c>
      <c r="H48" s="2284" t="s">
        <v>1117</v>
      </c>
      <c r="I48" s="2284" t="s">
        <v>1083</v>
      </c>
      <c r="J48" s="2284" t="s">
        <v>1055</v>
      </c>
      <c r="K48" s="2284" t="s">
        <v>1049</v>
      </c>
      <c r="L48" s="2284">
        <v>1</v>
      </c>
      <c r="M48" s="2284">
        <v>46.43</v>
      </c>
      <c r="N48" s="2284">
        <v>15</v>
      </c>
      <c r="O48" s="2284">
        <v>3231</v>
      </c>
    </row>
    <row r="49" spans="1:15">
      <c r="A49" s="2285">
        <v>45602.333831018499</v>
      </c>
      <c r="B49" s="2284" t="s">
        <v>1046</v>
      </c>
      <c r="C49" s="2284" t="s">
        <v>1046</v>
      </c>
      <c r="D49" s="2284" t="s">
        <v>1047</v>
      </c>
      <c r="E49" s="2284" t="s">
        <v>1046</v>
      </c>
      <c r="F49" s="2284" t="s">
        <v>1046</v>
      </c>
      <c r="G49" s="2284">
        <v>3</v>
      </c>
      <c r="H49" s="2284">
        <v>301</v>
      </c>
      <c r="I49" s="2284" t="s">
        <v>1083</v>
      </c>
      <c r="J49" s="2284" t="s">
        <v>230</v>
      </c>
      <c r="K49" s="2284" t="s">
        <v>1049</v>
      </c>
      <c r="L49" s="2284">
        <v>1</v>
      </c>
      <c r="M49" s="2284">
        <v>775.66</v>
      </c>
      <c r="N49" s="2284">
        <v>3606.82</v>
      </c>
      <c r="O49" s="2284">
        <v>46500</v>
      </c>
    </row>
    <row r="50" spans="1:15">
      <c r="A50" s="2285">
        <v>45602.333831018499</v>
      </c>
      <c r="B50" s="2284" t="s">
        <v>1046</v>
      </c>
      <c r="C50" s="2284" t="s">
        <v>1046</v>
      </c>
      <c r="D50" s="2284" t="s">
        <v>1047</v>
      </c>
      <c r="E50" s="2284" t="s">
        <v>1046</v>
      </c>
      <c r="F50" s="2284" t="s">
        <v>1046</v>
      </c>
      <c r="G50" s="2284">
        <v>-3</v>
      </c>
      <c r="H50" s="2284" t="s">
        <v>1118</v>
      </c>
      <c r="I50" s="2284" t="s">
        <v>1083</v>
      </c>
      <c r="J50" s="2284" t="s">
        <v>1055</v>
      </c>
      <c r="K50" s="2284" t="s">
        <v>1049</v>
      </c>
      <c r="L50" s="2284">
        <v>1</v>
      </c>
      <c r="M50" s="2284">
        <v>46.43</v>
      </c>
      <c r="N50" s="2284">
        <v>15</v>
      </c>
      <c r="O50" s="2284">
        <v>3231</v>
      </c>
    </row>
    <row r="51" spans="1:15">
      <c r="A51" s="2285">
        <v>45602.333831018499</v>
      </c>
      <c r="B51" s="2284" t="s">
        <v>1046</v>
      </c>
      <c r="C51" s="2284" t="s">
        <v>1046</v>
      </c>
      <c r="D51" s="2284" t="s">
        <v>1047</v>
      </c>
      <c r="E51" s="2284" t="s">
        <v>1046</v>
      </c>
      <c r="F51" s="2284" t="s">
        <v>1046</v>
      </c>
      <c r="G51" s="2284">
        <v>4</v>
      </c>
      <c r="H51" s="2284">
        <v>402</v>
      </c>
      <c r="I51" s="2284" t="s">
        <v>1083</v>
      </c>
      <c r="J51" s="2284" t="s">
        <v>230</v>
      </c>
      <c r="K51" s="2284" t="s">
        <v>1049</v>
      </c>
      <c r="L51" s="2284">
        <v>1</v>
      </c>
      <c r="M51" s="2284">
        <v>869.47</v>
      </c>
      <c r="N51" s="2284">
        <v>4043.04</v>
      </c>
      <c r="O51" s="2284">
        <v>46500</v>
      </c>
    </row>
    <row r="52" spans="1:15">
      <c r="A52" s="2285">
        <v>45602.333831018499</v>
      </c>
      <c r="B52" s="2284" t="s">
        <v>1046</v>
      </c>
      <c r="C52" s="2284" t="s">
        <v>1046</v>
      </c>
      <c r="D52" s="2284" t="s">
        <v>1047</v>
      </c>
      <c r="E52" s="2284" t="s">
        <v>1046</v>
      </c>
      <c r="F52" s="2284" t="s">
        <v>1046</v>
      </c>
      <c r="G52" s="2284">
        <v>8</v>
      </c>
      <c r="H52" s="2284">
        <v>801</v>
      </c>
      <c r="I52" s="2284" t="s">
        <v>1083</v>
      </c>
      <c r="J52" s="2284" t="s">
        <v>230</v>
      </c>
      <c r="K52" s="2284" t="s">
        <v>1049</v>
      </c>
      <c r="L52" s="2284">
        <v>1</v>
      </c>
      <c r="M52" s="2284">
        <v>775.66</v>
      </c>
      <c r="N52" s="2284">
        <v>3606.82</v>
      </c>
      <c r="O52" s="2284">
        <v>46500</v>
      </c>
    </row>
    <row r="53" spans="1:15">
      <c r="A53" s="2285">
        <v>45602.333831018499</v>
      </c>
      <c r="B53" s="2284" t="s">
        <v>1046</v>
      </c>
      <c r="C53" s="2284" t="s">
        <v>1046</v>
      </c>
      <c r="D53" s="2284" t="s">
        <v>1047</v>
      </c>
      <c r="E53" s="2284" t="s">
        <v>1046</v>
      </c>
      <c r="F53" s="2284" t="s">
        <v>1046</v>
      </c>
      <c r="G53" s="2284">
        <v>-3</v>
      </c>
      <c r="H53" s="2284" t="s">
        <v>1119</v>
      </c>
      <c r="I53" s="2284" t="s">
        <v>1083</v>
      </c>
      <c r="J53" s="2284" t="s">
        <v>1055</v>
      </c>
      <c r="K53" s="2284" t="s">
        <v>1049</v>
      </c>
      <c r="L53" s="2284">
        <v>1</v>
      </c>
      <c r="M53" s="2284">
        <v>46.43</v>
      </c>
      <c r="N53" s="2284">
        <v>15</v>
      </c>
      <c r="O53" s="2284">
        <v>3231</v>
      </c>
    </row>
    <row r="54" spans="1:15">
      <c r="A54" s="2285">
        <v>45602.333831018499</v>
      </c>
      <c r="B54" s="2284" t="s">
        <v>1046</v>
      </c>
      <c r="C54" s="2284" t="s">
        <v>1046</v>
      </c>
      <c r="D54" s="2284" t="s">
        <v>1047</v>
      </c>
      <c r="E54" s="2284" t="s">
        <v>1046</v>
      </c>
      <c r="F54" s="2284" t="s">
        <v>1046</v>
      </c>
      <c r="G54" s="2284">
        <v>-2</v>
      </c>
      <c r="H54" s="2284" t="s">
        <v>1120</v>
      </c>
      <c r="I54" s="2284" t="s">
        <v>1083</v>
      </c>
      <c r="J54" s="2284" t="s">
        <v>1055</v>
      </c>
      <c r="K54" s="2284" t="s">
        <v>1049</v>
      </c>
      <c r="L54" s="2284">
        <v>1</v>
      </c>
      <c r="M54" s="2284">
        <v>46.43</v>
      </c>
      <c r="N54" s="2284">
        <v>16</v>
      </c>
      <c r="O54" s="2284">
        <v>3446</v>
      </c>
    </row>
    <row r="55" spans="1:15">
      <c r="A55" s="2285">
        <v>45602.333831018499</v>
      </c>
      <c r="B55" s="2284" t="s">
        <v>1046</v>
      </c>
      <c r="C55" s="2284" t="s">
        <v>1046</v>
      </c>
      <c r="D55" s="2284" t="s">
        <v>1047</v>
      </c>
      <c r="E55" s="2284" t="s">
        <v>1046</v>
      </c>
      <c r="F55" s="2284" t="s">
        <v>1046</v>
      </c>
      <c r="G55" s="2284">
        <v>-3</v>
      </c>
      <c r="H55" s="2284" t="s">
        <v>1121</v>
      </c>
      <c r="I55" s="2284" t="s">
        <v>1083</v>
      </c>
      <c r="J55" s="2284" t="s">
        <v>1055</v>
      </c>
      <c r="K55" s="2284" t="s">
        <v>1049</v>
      </c>
      <c r="L55" s="2284">
        <v>1</v>
      </c>
      <c r="M55" s="2284">
        <v>46.43</v>
      </c>
      <c r="N55" s="2284">
        <v>16</v>
      </c>
      <c r="O55" s="2284">
        <v>3446</v>
      </c>
    </row>
    <row r="56" spans="1:15">
      <c r="A56" s="2285">
        <v>45602.333831018499</v>
      </c>
      <c r="B56" s="2284" t="s">
        <v>1046</v>
      </c>
      <c r="C56" s="2284" t="s">
        <v>1046</v>
      </c>
      <c r="D56" s="2284" t="s">
        <v>1047</v>
      </c>
      <c r="E56" s="2284" t="s">
        <v>1046</v>
      </c>
      <c r="F56" s="2284" t="s">
        <v>1046</v>
      </c>
      <c r="G56" s="2284">
        <v>-3</v>
      </c>
      <c r="H56" s="2284" t="s">
        <v>1122</v>
      </c>
      <c r="I56" s="2284" t="s">
        <v>1083</v>
      </c>
      <c r="J56" s="2284" t="s">
        <v>1055</v>
      </c>
      <c r="K56" s="2284" t="s">
        <v>1049</v>
      </c>
      <c r="L56" s="2284">
        <v>1</v>
      </c>
      <c r="M56" s="2284">
        <v>46.43</v>
      </c>
      <c r="N56" s="2284">
        <v>15</v>
      </c>
      <c r="O56" s="2284">
        <v>3231</v>
      </c>
    </row>
    <row r="57" spans="1:15">
      <c r="A57" s="2285">
        <v>45602.333831018499</v>
      </c>
      <c r="B57" s="2284" t="s">
        <v>1046</v>
      </c>
      <c r="C57" s="2284" t="s">
        <v>1046</v>
      </c>
      <c r="D57" s="2284" t="s">
        <v>1047</v>
      </c>
      <c r="E57" s="2284" t="s">
        <v>1046</v>
      </c>
      <c r="F57" s="2284" t="s">
        <v>1046</v>
      </c>
      <c r="G57" s="2284">
        <v>11</v>
      </c>
      <c r="H57" s="2284">
        <v>1102</v>
      </c>
      <c r="I57" s="2284" t="s">
        <v>1083</v>
      </c>
      <c r="J57" s="2284" t="s">
        <v>230</v>
      </c>
      <c r="K57" s="2284" t="s">
        <v>1049</v>
      </c>
      <c r="L57" s="2284">
        <v>1</v>
      </c>
      <c r="M57" s="2284">
        <v>869.47</v>
      </c>
      <c r="N57" s="2284">
        <v>4043.04</v>
      </c>
      <c r="O57" s="2284">
        <v>46500</v>
      </c>
    </row>
    <row r="58" spans="1:15">
      <c r="A58" s="2285">
        <v>45602.333831018499</v>
      </c>
      <c r="B58" s="2284" t="s">
        <v>1046</v>
      </c>
      <c r="C58" s="2284" t="s">
        <v>1046</v>
      </c>
      <c r="D58" s="2284" t="s">
        <v>1047</v>
      </c>
      <c r="E58" s="2284" t="s">
        <v>1046</v>
      </c>
      <c r="F58" s="2284" t="s">
        <v>1046</v>
      </c>
      <c r="G58" s="2284">
        <v>-2</v>
      </c>
      <c r="H58" s="2284" t="s">
        <v>1123</v>
      </c>
      <c r="I58" s="2284" t="s">
        <v>1083</v>
      </c>
      <c r="J58" s="2284" t="s">
        <v>1055</v>
      </c>
      <c r="K58" s="2284" t="s">
        <v>1049</v>
      </c>
      <c r="L58" s="2284">
        <v>1</v>
      </c>
      <c r="M58" s="2284">
        <v>46.43</v>
      </c>
      <c r="N58" s="2284">
        <v>16</v>
      </c>
      <c r="O58" s="2284">
        <v>3446</v>
      </c>
    </row>
    <row r="59" spans="1:15">
      <c r="A59" s="2285">
        <v>45602.333831018499</v>
      </c>
      <c r="B59" s="2284" t="s">
        <v>1046</v>
      </c>
      <c r="C59" s="2284" t="s">
        <v>1046</v>
      </c>
      <c r="D59" s="2284" t="s">
        <v>1047</v>
      </c>
      <c r="E59" s="2284" t="s">
        <v>1046</v>
      </c>
      <c r="F59" s="2284" t="s">
        <v>1046</v>
      </c>
      <c r="G59" s="2284">
        <v>-2</v>
      </c>
      <c r="H59" s="2284" t="s">
        <v>1124</v>
      </c>
      <c r="I59" s="2284" t="s">
        <v>1083</v>
      </c>
      <c r="J59" s="2284" t="s">
        <v>1055</v>
      </c>
      <c r="K59" s="2284" t="s">
        <v>1049</v>
      </c>
      <c r="L59" s="2284">
        <v>1</v>
      </c>
      <c r="M59" s="2284">
        <v>46.43</v>
      </c>
      <c r="N59" s="2284">
        <v>14.91</v>
      </c>
      <c r="O59" s="2284">
        <v>3210</v>
      </c>
    </row>
    <row r="60" spans="1:15">
      <c r="A60" s="2285">
        <v>45602.333831018499</v>
      </c>
      <c r="B60" s="2284" t="s">
        <v>1046</v>
      </c>
      <c r="C60" s="2284" t="s">
        <v>1046</v>
      </c>
      <c r="D60" s="2284" t="s">
        <v>1047</v>
      </c>
      <c r="E60" s="2284" t="s">
        <v>1046</v>
      </c>
      <c r="F60" s="2284" t="s">
        <v>1046</v>
      </c>
      <c r="G60" s="2284">
        <v>-3</v>
      </c>
      <c r="H60" s="2284" t="s">
        <v>1125</v>
      </c>
      <c r="I60" s="2284" t="s">
        <v>1083</v>
      </c>
      <c r="J60" s="2284" t="s">
        <v>1055</v>
      </c>
      <c r="K60" s="2284" t="s">
        <v>1049</v>
      </c>
      <c r="L60" s="2284">
        <v>1</v>
      </c>
      <c r="M60" s="2284">
        <v>46.43</v>
      </c>
      <c r="N60" s="2284">
        <v>15</v>
      </c>
      <c r="O60" s="2284">
        <v>3231</v>
      </c>
    </row>
    <row r="61" spans="1:15">
      <c r="A61" s="2285">
        <v>45602.333831018499</v>
      </c>
      <c r="B61" s="2284" t="s">
        <v>1046</v>
      </c>
      <c r="C61" s="2284" t="s">
        <v>1046</v>
      </c>
      <c r="D61" s="2284" t="s">
        <v>1047</v>
      </c>
      <c r="E61" s="2284" t="s">
        <v>1046</v>
      </c>
      <c r="F61" s="2284" t="s">
        <v>1046</v>
      </c>
      <c r="G61" s="2284">
        <v>-2</v>
      </c>
      <c r="H61" s="2284" t="s">
        <v>1126</v>
      </c>
      <c r="I61" s="2284" t="s">
        <v>1083</v>
      </c>
      <c r="J61" s="2284" t="s">
        <v>1055</v>
      </c>
      <c r="K61" s="2284" t="s">
        <v>1049</v>
      </c>
      <c r="L61" s="2284">
        <v>1</v>
      </c>
      <c r="M61" s="2284">
        <v>46.43</v>
      </c>
      <c r="N61" s="2284">
        <v>16</v>
      </c>
      <c r="O61" s="2284">
        <v>3446</v>
      </c>
    </row>
    <row r="62" spans="1:15">
      <c r="A62" s="2285">
        <v>45602.333831018499</v>
      </c>
      <c r="B62" s="2284" t="s">
        <v>1046</v>
      </c>
      <c r="C62" s="2284" t="s">
        <v>1046</v>
      </c>
      <c r="D62" s="2284" t="s">
        <v>1047</v>
      </c>
      <c r="E62" s="2284" t="s">
        <v>1046</v>
      </c>
      <c r="F62" s="2284" t="s">
        <v>1046</v>
      </c>
      <c r="G62" s="2284">
        <v>10</v>
      </c>
      <c r="H62" s="2284">
        <v>1002</v>
      </c>
      <c r="I62" s="2284" t="s">
        <v>1083</v>
      </c>
      <c r="J62" s="2284" t="s">
        <v>230</v>
      </c>
      <c r="K62" s="2284" t="s">
        <v>1049</v>
      </c>
      <c r="L62" s="2284">
        <v>1</v>
      </c>
      <c r="M62" s="2284">
        <v>869.47</v>
      </c>
      <c r="N62" s="2284">
        <v>4043.04</v>
      </c>
      <c r="O62" s="2284">
        <v>46500</v>
      </c>
    </row>
    <row r="63" spans="1:15">
      <c r="A63" s="2285">
        <v>45602.333831018499</v>
      </c>
      <c r="B63" s="2284" t="s">
        <v>1046</v>
      </c>
      <c r="C63" s="2284" t="s">
        <v>1046</v>
      </c>
      <c r="D63" s="2284" t="s">
        <v>1047</v>
      </c>
      <c r="E63" s="2284" t="s">
        <v>1046</v>
      </c>
      <c r="F63" s="2284" t="s">
        <v>1046</v>
      </c>
      <c r="G63" s="2284">
        <v>-2</v>
      </c>
      <c r="H63" s="2284" t="s">
        <v>1127</v>
      </c>
      <c r="I63" s="2284" t="s">
        <v>1083</v>
      </c>
      <c r="J63" s="2284" t="s">
        <v>1055</v>
      </c>
      <c r="K63" s="2284" t="s">
        <v>1049</v>
      </c>
      <c r="L63" s="2284">
        <v>1</v>
      </c>
      <c r="M63" s="2284">
        <v>46.43</v>
      </c>
      <c r="N63" s="2284">
        <v>16</v>
      </c>
      <c r="O63" s="2284">
        <v>3446</v>
      </c>
    </row>
    <row r="64" spans="1:15">
      <c r="A64" s="2285">
        <v>45602.333831018499</v>
      </c>
      <c r="B64" s="2284" t="s">
        <v>1046</v>
      </c>
      <c r="C64" s="2284" t="s">
        <v>1046</v>
      </c>
      <c r="D64" s="2284" t="s">
        <v>1047</v>
      </c>
      <c r="E64" s="2284" t="s">
        <v>1046</v>
      </c>
      <c r="F64" s="2284" t="s">
        <v>1046</v>
      </c>
      <c r="G64" s="2284">
        <v>12</v>
      </c>
      <c r="H64" s="2284">
        <v>1201</v>
      </c>
      <c r="I64" s="2284" t="s">
        <v>1083</v>
      </c>
      <c r="J64" s="2284" t="s">
        <v>230</v>
      </c>
      <c r="K64" s="2284" t="s">
        <v>1049</v>
      </c>
      <c r="L64" s="2284">
        <v>1</v>
      </c>
      <c r="M64" s="2284">
        <v>1176.73</v>
      </c>
      <c r="N64" s="2284">
        <v>5471.79</v>
      </c>
      <c r="O64" s="2284">
        <v>46500</v>
      </c>
    </row>
    <row r="65" spans="1:15">
      <c r="A65" s="2285">
        <v>45602.333831018499</v>
      </c>
      <c r="B65" s="2284" t="s">
        <v>1046</v>
      </c>
      <c r="C65" s="2284" t="s">
        <v>1046</v>
      </c>
      <c r="D65" s="2284" t="s">
        <v>1047</v>
      </c>
      <c r="E65" s="2284" t="s">
        <v>1046</v>
      </c>
      <c r="F65" s="2284" t="s">
        <v>1046</v>
      </c>
      <c r="G65" s="2284">
        <v>-2</v>
      </c>
      <c r="H65" s="2284" t="s">
        <v>1128</v>
      </c>
      <c r="I65" s="2284" t="s">
        <v>1083</v>
      </c>
      <c r="J65" s="2284" t="s">
        <v>1055</v>
      </c>
      <c r="K65" s="2284" t="s">
        <v>1049</v>
      </c>
      <c r="L65" s="2284">
        <v>1</v>
      </c>
      <c r="M65" s="2284">
        <v>46.43</v>
      </c>
      <c r="N65" s="2284">
        <v>16</v>
      </c>
      <c r="O65" s="2284">
        <v>3446</v>
      </c>
    </row>
    <row r="66" spans="1:15">
      <c r="A66" s="2285">
        <v>45602.333831018499</v>
      </c>
      <c r="B66" s="2284" t="s">
        <v>1046</v>
      </c>
      <c r="C66" s="2284" t="s">
        <v>1046</v>
      </c>
      <c r="D66" s="2284" t="s">
        <v>1047</v>
      </c>
      <c r="E66" s="2284" t="s">
        <v>1046</v>
      </c>
      <c r="F66" s="2284" t="s">
        <v>1046</v>
      </c>
      <c r="G66" s="2284">
        <v>-2</v>
      </c>
      <c r="H66" s="2284" t="s">
        <v>1129</v>
      </c>
      <c r="I66" s="2284" t="s">
        <v>1083</v>
      </c>
      <c r="J66" s="2284" t="s">
        <v>1055</v>
      </c>
      <c r="K66" s="2284" t="s">
        <v>1049</v>
      </c>
      <c r="L66" s="2284">
        <v>1</v>
      </c>
      <c r="M66" s="2284">
        <v>46.43</v>
      </c>
      <c r="N66" s="2284">
        <v>16</v>
      </c>
      <c r="O66" s="2284">
        <v>3446</v>
      </c>
    </row>
    <row r="67" spans="1:15">
      <c r="A67" s="2285">
        <v>45602.333831018499</v>
      </c>
      <c r="B67" s="2284" t="s">
        <v>1046</v>
      </c>
      <c r="C67" s="2284" t="s">
        <v>1046</v>
      </c>
      <c r="D67" s="2284" t="s">
        <v>1047</v>
      </c>
      <c r="E67" s="2284" t="s">
        <v>1046</v>
      </c>
      <c r="F67" s="2284" t="s">
        <v>1046</v>
      </c>
      <c r="G67" s="2284">
        <v>-1</v>
      </c>
      <c r="H67" s="2284">
        <v>-101</v>
      </c>
      <c r="I67" s="2284" t="s">
        <v>1083</v>
      </c>
      <c r="J67" s="2284" t="s">
        <v>229</v>
      </c>
      <c r="K67" s="2284" t="s">
        <v>1049</v>
      </c>
      <c r="L67" s="2284">
        <v>1</v>
      </c>
      <c r="M67" s="2284">
        <v>1604.25</v>
      </c>
      <c r="N67" s="2284">
        <v>2406.38</v>
      </c>
      <c r="O67" s="2284">
        <v>15000</v>
      </c>
    </row>
    <row r="68" spans="1:15">
      <c r="A68" s="2285">
        <v>45602.333831018499</v>
      </c>
      <c r="B68" s="2284" t="s">
        <v>1046</v>
      </c>
      <c r="C68" s="2284" t="s">
        <v>1046</v>
      </c>
      <c r="D68" s="2284" t="s">
        <v>1047</v>
      </c>
      <c r="E68" s="2284" t="s">
        <v>1046</v>
      </c>
      <c r="F68" s="2284" t="s">
        <v>1046</v>
      </c>
      <c r="G68" s="2284">
        <v>6</v>
      </c>
      <c r="H68" s="2284">
        <v>601</v>
      </c>
      <c r="I68" s="2284" t="s">
        <v>1083</v>
      </c>
      <c r="J68" s="2284" t="s">
        <v>230</v>
      </c>
      <c r="K68" s="2284" t="s">
        <v>1049</v>
      </c>
      <c r="L68" s="2284">
        <v>1</v>
      </c>
      <c r="M68" s="2284">
        <v>775.66</v>
      </c>
      <c r="N68" s="2284">
        <v>3606.82</v>
      </c>
      <c r="O68" s="2284">
        <v>46500</v>
      </c>
    </row>
    <row r="69" spans="1:15">
      <c r="A69" s="2285">
        <v>45602.333831018499</v>
      </c>
      <c r="B69" s="2284" t="s">
        <v>1046</v>
      </c>
      <c r="C69" s="2284" t="s">
        <v>1046</v>
      </c>
      <c r="D69" s="2284" t="s">
        <v>1047</v>
      </c>
      <c r="E69" s="2284" t="s">
        <v>1046</v>
      </c>
      <c r="F69" s="2284" t="s">
        <v>1046</v>
      </c>
      <c r="G69" s="2284">
        <v>2</v>
      </c>
      <c r="H69" s="2284">
        <v>201</v>
      </c>
      <c r="I69" s="2284" t="s">
        <v>1083</v>
      </c>
      <c r="J69" s="2284" t="s">
        <v>230</v>
      </c>
      <c r="K69" s="2284" t="s">
        <v>1049</v>
      </c>
      <c r="L69" s="2284">
        <v>1</v>
      </c>
      <c r="M69" s="2284">
        <v>894.6</v>
      </c>
      <c r="N69" s="2284">
        <v>4159.8900000000003</v>
      </c>
      <c r="O69" s="2284">
        <v>46500</v>
      </c>
    </row>
    <row r="70" spans="1:15">
      <c r="A70" s="2285">
        <v>45602.333831018499</v>
      </c>
      <c r="B70" s="2284" t="s">
        <v>1046</v>
      </c>
      <c r="C70" s="2284" t="s">
        <v>1046</v>
      </c>
      <c r="D70" s="2284" t="s">
        <v>1047</v>
      </c>
      <c r="E70" s="2284" t="s">
        <v>1046</v>
      </c>
      <c r="F70" s="2284" t="s">
        <v>1046</v>
      </c>
      <c r="G70" s="2284">
        <v>-3</v>
      </c>
      <c r="H70" s="2284" t="s">
        <v>1130</v>
      </c>
      <c r="I70" s="2284" t="s">
        <v>1083</v>
      </c>
      <c r="J70" s="2284" t="s">
        <v>1055</v>
      </c>
      <c r="K70" s="2284" t="s">
        <v>1049</v>
      </c>
      <c r="L70" s="2284">
        <v>1</v>
      </c>
      <c r="M70" s="2284">
        <v>46.43</v>
      </c>
      <c r="N70" s="2284">
        <v>15</v>
      </c>
      <c r="O70" s="2284">
        <v>3231</v>
      </c>
    </row>
    <row r="71" spans="1:15">
      <c r="A71" s="2285">
        <v>45602.333831018499</v>
      </c>
      <c r="B71" s="2284" t="s">
        <v>1046</v>
      </c>
      <c r="C71" s="2284" t="s">
        <v>1046</v>
      </c>
      <c r="D71" s="2284" t="s">
        <v>1047</v>
      </c>
      <c r="E71" s="2284" t="s">
        <v>1046</v>
      </c>
      <c r="F71" s="2284" t="s">
        <v>1046</v>
      </c>
      <c r="G71" s="2284">
        <v>-2</v>
      </c>
      <c r="H71" s="2284" t="s">
        <v>1131</v>
      </c>
      <c r="I71" s="2284" t="s">
        <v>1083</v>
      </c>
      <c r="J71" s="2284" t="s">
        <v>1055</v>
      </c>
      <c r="K71" s="2284" t="s">
        <v>1049</v>
      </c>
      <c r="L71" s="2284">
        <v>1</v>
      </c>
      <c r="M71" s="2284">
        <v>46.43</v>
      </c>
      <c r="N71" s="2284">
        <v>16</v>
      </c>
      <c r="O71" s="2284">
        <v>3446</v>
      </c>
    </row>
    <row r="72" spans="1:15">
      <c r="A72" s="2285">
        <v>45602.333831018499</v>
      </c>
      <c r="B72" s="2284" t="s">
        <v>1046</v>
      </c>
      <c r="C72" s="2284" t="s">
        <v>1046</v>
      </c>
      <c r="D72" s="2284" t="s">
        <v>1047</v>
      </c>
      <c r="E72" s="2284" t="s">
        <v>1046</v>
      </c>
      <c r="F72" s="2284" t="s">
        <v>1046</v>
      </c>
      <c r="G72" s="2284">
        <v>-2</v>
      </c>
      <c r="H72" s="2284" t="s">
        <v>1132</v>
      </c>
      <c r="I72" s="2284" t="s">
        <v>1083</v>
      </c>
      <c r="J72" s="2284" t="s">
        <v>1055</v>
      </c>
      <c r="K72" s="2284" t="s">
        <v>1049</v>
      </c>
      <c r="L72" s="2284">
        <v>1</v>
      </c>
      <c r="M72" s="2284">
        <v>46.43</v>
      </c>
      <c r="N72" s="2284">
        <v>16</v>
      </c>
      <c r="O72" s="2284">
        <v>3446</v>
      </c>
    </row>
    <row r="73" spans="1:15">
      <c r="A73" s="2285">
        <v>45602.333831018499</v>
      </c>
      <c r="B73" s="2284" t="s">
        <v>1046</v>
      </c>
      <c r="C73" s="2284" t="s">
        <v>1046</v>
      </c>
      <c r="D73" s="2284" t="s">
        <v>1047</v>
      </c>
      <c r="E73" s="2284" t="s">
        <v>1046</v>
      </c>
      <c r="F73" s="2284" t="s">
        <v>1046</v>
      </c>
      <c r="G73" s="2284">
        <v>4</v>
      </c>
      <c r="H73" s="2284">
        <v>401</v>
      </c>
      <c r="I73" s="2284" t="s">
        <v>1083</v>
      </c>
      <c r="J73" s="2284" t="s">
        <v>230</v>
      </c>
      <c r="K73" s="2284" t="s">
        <v>1049</v>
      </c>
      <c r="L73" s="2284">
        <v>1</v>
      </c>
      <c r="M73" s="2284">
        <v>775.66</v>
      </c>
      <c r="N73" s="2284">
        <v>3606.82</v>
      </c>
      <c r="O73" s="2284">
        <v>46500</v>
      </c>
    </row>
    <row r="74" spans="1:15">
      <c r="A74" s="2285">
        <v>45602.333831018499</v>
      </c>
      <c r="B74" s="2284" t="s">
        <v>1046</v>
      </c>
      <c r="C74" s="2284" t="s">
        <v>1046</v>
      </c>
      <c r="D74" s="2284" t="s">
        <v>1047</v>
      </c>
      <c r="E74" s="2284" t="s">
        <v>1046</v>
      </c>
      <c r="F74" s="2284" t="s">
        <v>1046</v>
      </c>
      <c r="G74" s="2284">
        <v>-3</v>
      </c>
      <c r="H74" s="2284" t="s">
        <v>1133</v>
      </c>
      <c r="I74" s="2284" t="s">
        <v>1083</v>
      </c>
      <c r="J74" s="2284" t="s">
        <v>1055</v>
      </c>
      <c r="K74" s="2284" t="s">
        <v>1049</v>
      </c>
      <c r="L74" s="2284">
        <v>1</v>
      </c>
      <c r="M74" s="2284">
        <v>46.43</v>
      </c>
      <c r="N74" s="2284">
        <v>15</v>
      </c>
      <c r="O74" s="2284">
        <v>3231</v>
      </c>
    </row>
    <row r="75" spans="1:15">
      <c r="A75" s="2285">
        <v>45602.333831018499</v>
      </c>
      <c r="B75" s="2284" t="s">
        <v>1046</v>
      </c>
      <c r="C75" s="2284" t="s">
        <v>1046</v>
      </c>
      <c r="D75" s="2284" t="s">
        <v>1047</v>
      </c>
      <c r="E75" s="2284" t="s">
        <v>1046</v>
      </c>
      <c r="F75" s="2284" t="s">
        <v>1046</v>
      </c>
      <c r="G75" s="2284">
        <v>-3</v>
      </c>
      <c r="H75" s="2284" t="s">
        <v>1134</v>
      </c>
      <c r="I75" s="2284" t="s">
        <v>1083</v>
      </c>
      <c r="J75" s="2284" t="s">
        <v>1055</v>
      </c>
      <c r="K75" s="2284" t="s">
        <v>1049</v>
      </c>
      <c r="L75" s="2284">
        <v>1</v>
      </c>
      <c r="M75" s="2284">
        <v>46.43</v>
      </c>
      <c r="N75" s="2284">
        <v>15</v>
      </c>
      <c r="O75" s="2284">
        <v>3231</v>
      </c>
    </row>
    <row r="76" spans="1:15">
      <c r="A76" s="2285">
        <v>45602.333831018499</v>
      </c>
      <c r="B76" s="2284" t="s">
        <v>1046</v>
      </c>
      <c r="C76" s="2284" t="s">
        <v>1046</v>
      </c>
      <c r="D76" s="2284" t="s">
        <v>1047</v>
      </c>
      <c r="E76" s="2284" t="s">
        <v>1046</v>
      </c>
      <c r="F76" s="2284" t="s">
        <v>1046</v>
      </c>
      <c r="G76" s="2284">
        <v>-3</v>
      </c>
      <c r="H76" s="2284" t="s">
        <v>1135</v>
      </c>
      <c r="I76" s="2284" t="s">
        <v>1083</v>
      </c>
      <c r="J76" s="2284" t="s">
        <v>1055</v>
      </c>
      <c r="K76" s="2284" t="s">
        <v>1049</v>
      </c>
      <c r="L76" s="2284">
        <v>1</v>
      </c>
      <c r="M76" s="2284">
        <v>46.43</v>
      </c>
      <c r="N76" s="2284">
        <v>15</v>
      </c>
      <c r="O76" s="2284">
        <v>3231</v>
      </c>
    </row>
    <row r="77" spans="1:15">
      <c r="A77" s="2285">
        <v>45602.333831018499</v>
      </c>
      <c r="B77" s="2284" t="s">
        <v>1046</v>
      </c>
      <c r="C77" s="2284" t="s">
        <v>1046</v>
      </c>
      <c r="D77" s="2284" t="s">
        <v>1047</v>
      </c>
      <c r="E77" s="2284" t="s">
        <v>1046</v>
      </c>
      <c r="F77" s="2284" t="s">
        <v>1046</v>
      </c>
      <c r="G77" s="2284">
        <v>-3</v>
      </c>
      <c r="H77" s="2284" t="s">
        <v>1136</v>
      </c>
      <c r="I77" s="2284" t="s">
        <v>1083</v>
      </c>
      <c r="J77" s="2284" t="s">
        <v>1055</v>
      </c>
      <c r="K77" s="2284" t="s">
        <v>1049</v>
      </c>
      <c r="L77" s="2284">
        <v>1</v>
      </c>
      <c r="M77" s="2284">
        <v>46.43</v>
      </c>
      <c r="N77" s="2284">
        <v>16</v>
      </c>
      <c r="O77" s="2284">
        <v>3446</v>
      </c>
    </row>
    <row r="78" spans="1:15">
      <c r="A78" s="2285">
        <v>45602.333831018499</v>
      </c>
      <c r="B78" s="2284" t="s">
        <v>1046</v>
      </c>
      <c r="C78" s="2284" t="s">
        <v>1046</v>
      </c>
      <c r="D78" s="2284" t="s">
        <v>1047</v>
      </c>
      <c r="E78" s="2284" t="s">
        <v>1046</v>
      </c>
      <c r="F78" s="2284" t="s">
        <v>1046</v>
      </c>
      <c r="G78" s="2284">
        <v>-2</v>
      </c>
      <c r="H78" s="2284" t="s">
        <v>1137</v>
      </c>
      <c r="I78" s="2284" t="s">
        <v>1083</v>
      </c>
      <c r="J78" s="2284" t="s">
        <v>1055</v>
      </c>
      <c r="K78" s="2284" t="s">
        <v>1049</v>
      </c>
      <c r="L78" s="2284">
        <v>1</v>
      </c>
      <c r="M78" s="2284">
        <v>46.43</v>
      </c>
      <c r="N78" s="2284">
        <v>16</v>
      </c>
      <c r="O78" s="2284">
        <v>3446</v>
      </c>
    </row>
    <row r="79" spans="1:15">
      <c r="A79" s="2285">
        <v>45602.333831018499</v>
      </c>
      <c r="B79" s="2284" t="s">
        <v>1046</v>
      </c>
      <c r="C79" s="2284" t="s">
        <v>1046</v>
      </c>
      <c r="D79" s="2284" t="s">
        <v>1047</v>
      </c>
      <c r="E79" s="2284" t="s">
        <v>1046</v>
      </c>
      <c r="F79" s="2284" t="s">
        <v>1046</v>
      </c>
      <c r="G79" s="2284">
        <v>10</v>
      </c>
      <c r="H79" s="2284">
        <v>1001</v>
      </c>
      <c r="I79" s="2284" t="s">
        <v>1083</v>
      </c>
      <c r="J79" s="2284" t="s">
        <v>230</v>
      </c>
      <c r="K79" s="2284" t="s">
        <v>1049</v>
      </c>
      <c r="L79" s="2284">
        <v>1</v>
      </c>
      <c r="M79" s="2284">
        <v>775.66</v>
      </c>
      <c r="N79" s="2284">
        <v>3606.82</v>
      </c>
      <c r="O79" s="2284">
        <v>46500</v>
      </c>
    </row>
    <row r="80" spans="1:15">
      <c r="A80" s="2285">
        <v>45602.333831018499</v>
      </c>
      <c r="B80" s="2284" t="s">
        <v>1046</v>
      </c>
      <c r="C80" s="2284" t="s">
        <v>1046</v>
      </c>
      <c r="D80" s="2284" t="s">
        <v>1047</v>
      </c>
      <c r="E80" s="2284" t="s">
        <v>1046</v>
      </c>
      <c r="F80" s="2284" t="s">
        <v>1046</v>
      </c>
      <c r="G80" s="2284">
        <v>-3</v>
      </c>
      <c r="H80" s="2284" t="s">
        <v>1138</v>
      </c>
      <c r="I80" s="2284" t="s">
        <v>1083</v>
      </c>
      <c r="J80" s="2284" t="s">
        <v>1055</v>
      </c>
      <c r="K80" s="2284" t="s">
        <v>1049</v>
      </c>
      <c r="L80" s="2284">
        <v>1</v>
      </c>
      <c r="M80" s="2284">
        <v>46.43</v>
      </c>
      <c r="N80" s="2284">
        <v>15</v>
      </c>
      <c r="O80" s="2284">
        <v>3231</v>
      </c>
    </row>
    <row r="81" spans="1:15">
      <c r="A81" s="2285">
        <v>45602.333831018499</v>
      </c>
      <c r="B81" s="2284" t="s">
        <v>1046</v>
      </c>
      <c r="C81" s="2284" t="s">
        <v>1046</v>
      </c>
      <c r="D81" s="2284" t="s">
        <v>1047</v>
      </c>
      <c r="E81" s="2284" t="s">
        <v>1046</v>
      </c>
      <c r="F81" s="2284" t="s">
        <v>1046</v>
      </c>
      <c r="G81" s="2284">
        <v>-3</v>
      </c>
      <c r="H81" s="2284" t="s">
        <v>1139</v>
      </c>
      <c r="I81" s="2284" t="s">
        <v>1083</v>
      </c>
      <c r="J81" s="2284" t="s">
        <v>1055</v>
      </c>
      <c r="K81" s="2284" t="s">
        <v>1049</v>
      </c>
      <c r="L81" s="2284">
        <v>1</v>
      </c>
      <c r="M81" s="2284">
        <v>46.43</v>
      </c>
      <c r="N81" s="2284">
        <v>15</v>
      </c>
      <c r="O81" s="2284">
        <v>3231</v>
      </c>
    </row>
    <row r="82" spans="1:15">
      <c r="A82" s="2285">
        <v>45602.333831018499</v>
      </c>
      <c r="B82" s="2284" t="s">
        <v>1046</v>
      </c>
      <c r="C82" s="2284" t="s">
        <v>1046</v>
      </c>
      <c r="D82" s="2284" t="s">
        <v>1047</v>
      </c>
      <c r="E82" s="2284" t="s">
        <v>1046</v>
      </c>
      <c r="F82" s="2284" t="s">
        <v>1046</v>
      </c>
      <c r="G82" s="2284">
        <v>-2</v>
      </c>
      <c r="H82" s="2284" t="s">
        <v>1140</v>
      </c>
      <c r="I82" s="2284" t="s">
        <v>1083</v>
      </c>
      <c r="J82" s="2284" t="s">
        <v>1055</v>
      </c>
      <c r="K82" s="2284" t="s">
        <v>1049</v>
      </c>
      <c r="L82" s="2284">
        <v>1</v>
      </c>
      <c r="M82" s="2284">
        <v>46.43</v>
      </c>
      <c r="N82" s="2284">
        <v>16</v>
      </c>
      <c r="O82" s="2284">
        <v>3446</v>
      </c>
    </row>
    <row r="83" spans="1:15">
      <c r="A83" s="2285">
        <v>45602.333831018499</v>
      </c>
      <c r="B83" s="2284" t="s">
        <v>1046</v>
      </c>
      <c r="C83" s="2284" t="s">
        <v>1046</v>
      </c>
      <c r="D83" s="2284" t="s">
        <v>1047</v>
      </c>
      <c r="E83" s="2284" t="s">
        <v>1046</v>
      </c>
      <c r="F83" s="2284" t="s">
        <v>1046</v>
      </c>
      <c r="G83" s="2284">
        <v>-3</v>
      </c>
      <c r="H83" s="2284" t="s">
        <v>1141</v>
      </c>
      <c r="I83" s="2284" t="s">
        <v>1083</v>
      </c>
      <c r="J83" s="2284" t="s">
        <v>1055</v>
      </c>
      <c r="K83" s="2284" t="s">
        <v>1049</v>
      </c>
      <c r="L83" s="2284">
        <v>1</v>
      </c>
      <c r="M83" s="2284">
        <v>46.43</v>
      </c>
      <c r="N83" s="2284">
        <v>15</v>
      </c>
      <c r="O83" s="2284">
        <v>3231</v>
      </c>
    </row>
    <row r="84" spans="1:15">
      <c r="A84" s="2285">
        <v>45602.333831018499</v>
      </c>
      <c r="B84" s="2284" t="s">
        <v>1046</v>
      </c>
      <c r="C84" s="2284" t="s">
        <v>1046</v>
      </c>
      <c r="D84" s="2284" t="s">
        <v>1047</v>
      </c>
      <c r="E84" s="2284" t="s">
        <v>1046</v>
      </c>
      <c r="F84" s="2284" t="s">
        <v>1046</v>
      </c>
      <c r="G84" s="2284">
        <v>-3</v>
      </c>
      <c r="H84" s="2284" t="s">
        <v>1142</v>
      </c>
      <c r="I84" s="2284" t="s">
        <v>1083</v>
      </c>
      <c r="J84" s="2284" t="s">
        <v>1055</v>
      </c>
      <c r="K84" s="2284" t="s">
        <v>1049</v>
      </c>
      <c r="L84" s="2284">
        <v>1</v>
      </c>
      <c r="M84" s="2284">
        <v>46.43</v>
      </c>
      <c r="N84" s="2284">
        <v>15</v>
      </c>
      <c r="O84" s="2284">
        <v>3231</v>
      </c>
    </row>
    <row r="85" spans="1:15">
      <c r="A85" s="2285">
        <v>45602.333831018499</v>
      </c>
      <c r="B85" s="2284" t="s">
        <v>1046</v>
      </c>
      <c r="C85" s="2284" t="s">
        <v>1046</v>
      </c>
      <c r="D85" s="2284" t="s">
        <v>1047</v>
      </c>
      <c r="E85" s="2284" t="s">
        <v>1046</v>
      </c>
      <c r="F85" s="2284" t="s">
        <v>1046</v>
      </c>
      <c r="G85" s="2284">
        <v>-3</v>
      </c>
      <c r="H85" s="2284" t="s">
        <v>1143</v>
      </c>
      <c r="I85" s="2284" t="s">
        <v>1083</v>
      </c>
      <c r="J85" s="2284" t="s">
        <v>1055</v>
      </c>
      <c r="K85" s="2284" t="s">
        <v>1049</v>
      </c>
      <c r="L85" s="2284">
        <v>1</v>
      </c>
      <c r="M85" s="2284">
        <v>46.43</v>
      </c>
      <c r="N85" s="2284">
        <v>15</v>
      </c>
      <c r="O85" s="2284">
        <v>3231</v>
      </c>
    </row>
    <row r="86" spans="1:15">
      <c r="A86" s="2285">
        <v>45602.333831018499</v>
      </c>
      <c r="B86" s="2284" t="s">
        <v>1046</v>
      </c>
      <c r="C86" s="2284" t="s">
        <v>1046</v>
      </c>
      <c r="D86" s="2284" t="s">
        <v>1047</v>
      </c>
      <c r="E86" s="2284" t="s">
        <v>1046</v>
      </c>
      <c r="F86" s="2284" t="s">
        <v>1046</v>
      </c>
      <c r="G86" s="2284">
        <v>-3</v>
      </c>
      <c r="H86" s="2284" t="s">
        <v>1144</v>
      </c>
      <c r="I86" s="2284" t="s">
        <v>1083</v>
      </c>
      <c r="J86" s="2284" t="s">
        <v>1055</v>
      </c>
      <c r="K86" s="2284" t="s">
        <v>1049</v>
      </c>
      <c r="L86" s="2284">
        <v>1</v>
      </c>
      <c r="M86" s="2284">
        <v>46.43</v>
      </c>
      <c r="N86" s="2284">
        <v>15</v>
      </c>
      <c r="O86" s="2284">
        <v>3231</v>
      </c>
    </row>
    <row r="87" spans="1:15">
      <c r="A87" s="2285">
        <v>45602.333831018499</v>
      </c>
      <c r="B87" s="2284" t="s">
        <v>1046</v>
      </c>
      <c r="C87" s="2284" t="s">
        <v>1046</v>
      </c>
      <c r="D87" s="2284" t="s">
        <v>1047</v>
      </c>
      <c r="E87" s="2284" t="s">
        <v>1046</v>
      </c>
      <c r="F87" s="2284" t="s">
        <v>1046</v>
      </c>
      <c r="G87" s="2284">
        <v>-2</v>
      </c>
      <c r="H87" s="2284" t="s">
        <v>1145</v>
      </c>
      <c r="I87" s="2284" t="s">
        <v>1083</v>
      </c>
      <c r="J87" s="2284" t="s">
        <v>1055</v>
      </c>
      <c r="K87" s="2284" t="s">
        <v>1049</v>
      </c>
      <c r="L87" s="2284">
        <v>1</v>
      </c>
      <c r="M87" s="2284">
        <v>46.43</v>
      </c>
      <c r="N87" s="2284">
        <v>16</v>
      </c>
      <c r="O87" s="2284">
        <v>3446</v>
      </c>
    </row>
    <row r="88" spans="1:15">
      <c r="A88" s="2285">
        <v>45602.333831018499</v>
      </c>
      <c r="B88" s="2284" t="s">
        <v>1046</v>
      </c>
      <c r="C88" s="2284" t="s">
        <v>1046</v>
      </c>
      <c r="D88" s="2284" t="s">
        <v>1047</v>
      </c>
      <c r="E88" s="2284" t="s">
        <v>1046</v>
      </c>
      <c r="F88" s="2284" t="s">
        <v>1046</v>
      </c>
      <c r="G88" s="2284">
        <v>-3</v>
      </c>
      <c r="H88" s="2284" t="s">
        <v>1146</v>
      </c>
      <c r="I88" s="2284" t="s">
        <v>1083</v>
      </c>
      <c r="J88" s="2284" t="s">
        <v>1055</v>
      </c>
      <c r="K88" s="2284" t="s">
        <v>1049</v>
      </c>
      <c r="L88" s="2284">
        <v>1</v>
      </c>
      <c r="M88" s="2284">
        <v>45.52</v>
      </c>
      <c r="N88" s="2284">
        <v>15</v>
      </c>
      <c r="O88" s="2284">
        <v>3295</v>
      </c>
    </row>
    <row r="89" spans="1:15">
      <c r="A89" s="2285">
        <v>45602.333831018499</v>
      </c>
      <c r="B89" s="2284" t="s">
        <v>1046</v>
      </c>
      <c r="C89" s="2284" t="s">
        <v>1046</v>
      </c>
      <c r="D89" s="2284" t="s">
        <v>1047</v>
      </c>
      <c r="E89" s="2284" t="s">
        <v>1046</v>
      </c>
      <c r="F89" s="2284" t="s">
        <v>1046</v>
      </c>
      <c r="G89" s="2284">
        <v>-3</v>
      </c>
      <c r="H89" s="2284" t="s">
        <v>1147</v>
      </c>
      <c r="I89" s="2284" t="s">
        <v>1083</v>
      </c>
      <c r="J89" s="2284" t="s">
        <v>1055</v>
      </c>
      <c r="K89" s="2284" t="s">
        <v>1049</v>
      </c>
      <c r="L89" s="2284">
        <v>1</v>
      </c>
      <c r="M89" s="2284">
        <v>46.43</v>
      </c>
      <c r="N89" s="2284">
        <v>15</v>
      </c>
      <c r="O89" s="2284">
        <v>3231</v>
      </c>
    </row>
    <row r="90" spans="1:15">
      <c r="A90" s="2285">
        <v>45602.333831018499</v>
      </c>
      <c r="B90" s="2284" t="s">
        <v>1046</v>
      </c>
      <c r="C90" s="2284" t="s">
        <v>1046</v>
      </c>
      <c r="D90" s="2284" t="s">
        <v>1047</v>
      </c>
      <c r="E90" s="2284" t="s">
        <v>1046</v>
      </c>
      <c r="F90" s="2284" t="s">
        <v>1046</v>
      </c>
      <c r="G90" s="2284">
        <v>-2</v>
      </c>
      <c r="H90" s="2284" t="s">
        <v>1148</v>
      </c>
      <c r="I90" s="2284" t="s">
        <v>1083</v>
      </c>
      <c r="J90" s="2284" t="s">
        <v>1055</v>
      </c>
      <c r="K90" s="2284" t="s">
        <v>1049</v>
      </c>
      <c r="L90" s="2284">
        <v>1</v>
      </c>
      <c r="M90" s="2284">
        <v>46.43</v>
      </c>
      <c r="N90" s="2284">
        <v>16</v>
      </c>
      <c r="O90" s="2284">
        <v>3446</v>
      </c>
    </row>
    <row r="91" spans="1:15">
      <c r="A91" s="2285">
        <v>45602.333831018499</v>
      </c>
      <c r="B91" s="2284" t="s">
        <v>1046</v>
      </c>
      <c r="C91" s="2284" t="s">
        <v>1046</v>
      </c>
      <c r="D91" s="2284" t="s">
        <v>1047</v>
      </c>
      <c r="E91" s="2284" t="s">
        <v>1046</v>
      </c>
      <c r="F91" s="2284" t="s">
        <v>1046</v>
      </c>
      <c r="G91" s="2284">
        <v>-3</v>
      </c>
      <c r="H91" s="2284" t="s">
        <v>1149</v>
      </c>
      <c r="I91" s="2284" t="s">
        <v>1083</v>
      </c>
      <c r="J91" s="2284" t="s">
        <v>1055</v>
      </c>
      <c r="K91" s="2284" t="s">
        <v>1049</v>
      </c>
      <c r="L91" s="2284">
        <v>1</v>
      </c>
      <c r="M91" s="2284">
        <v>46.43</v>
      </c>
      <c r="N91" s="2284">
        <v>15</v>
      </c>
      <c r="O91" s="2284">
        <v>3231</v>
      </c>
    </row>
    <row r="92" spans="1:15">
      <c r="A92" s="2285">
        <v>45602.333831018499</v>
      </c>
      <c r="B92" s="2284" t="s">
        <v>1046</v>
      </c>
      <c r="C92" s="2284" t="s">
        <v>1046</v>
      </c>
      <c r="D92" s="2284" t="s">
        <v>1047</v>
      </c>
      <c r="E92" s="2284" t="s">
        <v>1046</v>
      </c>
      <c r="F92" s="2284" t="s">
        <v>1046</v>
      </c>
      <c r="G92" s="2284">
        <v>-2</v>
      </c>
      <c r="H92" s="2284" t="s">
        <v>1150</v>
      </c>
      <c r="I92" s="2284" t="s">
        <v>1083</v>
      </c>
      <c r="J92" s="2284" t="s">
        <v>1055</v>
      </c>
      <c r="K92" s="2284" t="s">
        <v>1049</v>
      </c>
      <c r="L92" s="2284">
        <v>1</v>
      </c>
      <c r="M92" s="2284">
        <v>46.43</v>
      </c>
      <c r="N92" s="2284">
        <v>16</v>
      </c>
      <c r="O92" s="2284">
        <v>3446</v>
      </c>
    </row>
    <row r="93" spans="1:15">
      <c r="A93" s="2285">
        <v>45602.333831018499</v>
      </c>
      <c r="B93" s="2284" t="s">
        <v>1046</v>
      </c>
      <c r="C93" s="2284" t="s">
        <v>1046</v>
      </c>
      <c r="D93" s="2284" t="s">
        <v>1047</v>
      </c>
      <c r="E93" s="2284" t="s">
        <v>1046</v>
      </c>
      <c r="F93" s="2284" t="s">
        <v>1046</v>
      </c>
      <c r="G93" s="2284">
        <v>-2</v>
      </c>
      <c r="H93" s="2284" t="s">
        <v>1151</v>
      </c>
      <c r="I93" s="2284" t="s">
        <v>1083</v>
      </c>
      <c r="J93" s="2284" t="s">
        <v>1055</v>
      </c>
      <c r="K93" s="2284" t="s">
        <v>1049</v>
      </c>
      <c r="L93" s="2284">
        <v>1</v>
      </c>
      <c r="M93" s="2284">
        <v>46.43</v>
      </c>
      <c r="N93" s="2284">
        <v>16</v>
      </c>
      <c r="O93" s="2284">
        <v>3446</v>
      </c>
    </row>
    <row r="94" spans="1:15">
      <c r="A94" s="2285">
        <v>45602.333831018499</v>
      </c>
      <c r="B94" s="2284" t="s">
        <v>1046</v>
      </c>
      <c r="C94" s="2284" t="s">
        <v>1046</v>
      </c>
      <c r="D94" s="2284" t="s">
        <v>1047</v>
      </c>
      <c r="E94" s="2284" t="s">
        <v>1046</v>
      </c>
      <c r="F94" s="2284" t="s">
        <v>1046</v>
      </c>
      <c r="G94" s="2284">
        <v>-2</v>
      </c>
      <c r="H94" s="2284" t="s">
        <v>1152</v>
      </c>
      <c r="I94" s="2284" t="s">
        <v>1083</v>
      </c>
      <c r="J94" s="2284" t="s">
        <v>1055</v>
      </c>
      <c r="K94" s="2284" t="s">
        <v>1049</v>
      </c>
      <c r="L94" s="2284">
        <v>1</v>
      </c>
      <c r="M94" s="2284">
        <v>46.43</v>
      </c>
      <c r="N94" s="2284">
        <v>16</v>
      </c>
      <c r="O94" s="2284">
        <v>3446</v>
      </c>
    </row>
    <row r="95" spans="1:15">
      <c r="M95" s="2284">
        <f>SUM(M3:M94)</f>
        <v>21750.470000000008</v>
      </c>
      <c r="N95" s="2284">
        <f>SUM(N2:N94)</f>
        <v>82000.060000000027</v>
      </c>
      <c r="O95" s="2284">
        <f>ROUND(N95/M95*10000,0)</f>
        <v>37700</v>
      </c>
    </row>
    <row r="97" spans="11:13">
      <c r="L97" s="2284" t="s">
        <v>470</v>
      </c>
      <c r="M97" s="2284" t="s">
        <v>471</v>
      </c>
    </row>
    <row r="98" spans="11:13">
      <c r="K98" s="2284" t="s">
        <v>466</v>
      </c>
      <c r="L98" s="2284">
        <f>M8+M11+M14+M19+M22+M27+M28+M29+M37+M44+M49+M51+M52+M57+M62+M64+M68+M69+M73+M79</f>
        <v>16877.499999999996</v>
      </c>
      <c r="M98" s="2284">
        <f>M95-L98</f>
        <v>4872.9700000000121</v>
      </c>
    </row>
    <row r="99" spans="11:13">
      <c r="K99" s="2284" t="s">
        <v>1050</v>
      </c>
      <c r="L99" s="2284">
        <f>ROUND(L98/M95,2)</f>
        <v>0.78</v>
      </c>
      <c r="M99" s="2284">
        <f>ROUND(M98/M95,2)</f>
        <v>0.22</v>
      </c>
    </row>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48"/>
  <sheetViews>
    <sheetView zoomScale="85" zoomScaleNormal="85" workbookViewId="0">
      <selection activeCell="P43" sqref="P43"/>
    </sheetView>
  </sheetViews>
  <sheetFormatPr defaultColWidth="9" defaultRowHeight="14.25"/>
  <cols>
    <col min="1" max="1" width="10.5" style="2284" customWidth="1"/>
    <col min="2" max="2" width="9.5" style="2284" customWidth="1"/>
    <col min="3" max="3" width="13.875" style="2284" customWidth="1"/>
    <col min="4" max="7" width="7.5" style="2284" customWidth="1"/>
    <col min="8" max="8" width="10.5" style="2284" customWidth="1"/>
    <col min="9" max="9" width="37.125" style="2284" customWidth="1"/>
    <col min="10" max="10" width="10.5" style="2284" customWidth="1"/>
    <col min="11" max="11" width="5.5" style="2284" customWidth="1"/>
    <col min="12" max="12" width="10.125" style="2284" customWidth="1"/>
    <col min="13" max="13" width="13.875" style="2284" customWidth="1"/>
    <col min="14" max="14" width="16.125" style="2284" customWidth="1"/>
    <col min="15" max="15" width="17.25" style="2284" customWidth="1"/>
    <col min="16" max="16" width="20" style="2284" customWidth="1"/>
    <col min="17" max="16384" width="9" style="2284"/>
  </cols>
  <sheetData>
    <row r="1" spans="1:15">
      <c r="A1" s="2284" t="s">
        <v>1031</v>
      </c>
      <c r="B1" s="2284" t="s">
        <v>1032</v>
      </c>
      <c r="C1" s="2284" t="s">
        <v>1033</v>
      </c>
      <c r="D1" s="2284" t="s">
        <v>1034</v>
      </c>
      <c r="E1" s="2284" t="s">
        <v>1035</v>
      </c>
      <c r="F1" s="2284" t="s">
        <v>1036</v>
      </c>
      <c r="G1" s="2284" t="s">
        <v>1037</v>
      </c>
      <c r="H1" s="2284" t="s">
        <v>1038</v>
      </c>
      <c r="I1" s="2284" t="s">
        <v>1039</v>
      </c>
      <c r="J1" s="2284" t="s">
        <v>1040</v>
      </c>
      <c r="K1" s="2284" t="s">
        <v>1041</v>
      </c>
      <c r="L1" s="2284" t="s">
        <v>1042</v>
      </c>
      <c r="M1" s="2284" t="s">
        <v>1043</v>
      </c>
      <c r="N1" s="2284" t="s">
        <v>1044</v>
      </c>
      <c r="O1" s="2284" t="s">
        <v>1045</v>
      </c>
    </row>
    <row r="2" spans="1:15">
      <c r="A2" s="2285">
        <v>45545.333831018499</v>
      </c>
      <c r="B2" s="2284" t="s">
        <v>1046</v>
      </c>
      <c r="C2" s="2284" t="s">
        <v>1046</v>
      </c>
      <c r="D2" s="2284" t="s">
        <v>1047</v>
      </c>
      <c r="E2" s="2284" t="s">
        <v>1046</v>
      </c>
      <c r="F2" s="2284" t="s">
        <v>1046</v>
      </c>
      <c r="G2" s="2284">
        <v>4</v>
      </c>
      <c r="H2" s="2284">
        <v>403</v>
      </c>
      <c r="I2" s="2284" t="s">
        <v>1053</v>
      </c>
      <c r="J2" s="2284" t="s">
        <v>230</v>
      </c>
      <c r="K2" s="2284" t="s">
        <v>1049</v>
      </c>
      <c r="L2" s="2284">
        <v>1</v>
      </c>
      <c r="M2" s="2284">
        <v>1781.89</v>
      </c>
      <c r="N2" s="2284">
        <v>10402.950000000001</v>
      </c>
      <c r="O2" s="2284">
        <v>58382</v>
      </c>
    </row>
    <row r="3" spans="1:15">
      <c r="A3" s="2285">
        <v>45545.333831018499</v>
      </c>
      <c r="B3" s="2284" t="s">
        <v>1046</v>
      </c>
      <c r="C3" s="2284" t="s">
        <v>1046</v>
      </c>
      <c r="D3" s="2284" t="s">
        <v>1047</v>
      </c>
      <c r="E3" s="2284" t="s">
        <v>1046</v>
      </c>
      <c r="F3" s="2284" t="s">
        <v>1046</v>
      </c>
      <c r="G3" s="2284">
        <v>-2</v>
      </c>
      <c r="H3" s="2284" t="s">
        <v>1054</v>
      </c>
      <c r="I3" s="2284" t="s">
        <v>1053</v>
      </c>
      <c r="J3" s="2284" t="s">
        <v>1055</v>
      </c>
      <c r="K3" s="2284" t="s">
        <v>1049</v>
      </c>
      <c r="L3" s="2284">
        <v>1</v>
      </c>
      <c r="M3" s="2284">
        <v>292.45999999999998</v>
      </c>
      <c r="N3" s="2284">
        <v>161.94</v>
      </c>
      <c r="O3" s="2284">
        <v>5537</v>
      </c>
    </row>
    <row r="4" spans="1:15">
      <c r="A4" s="2285">
        <v>45545.333831018499</v>
      </c>
      <c r="B4" s="2284" t="s">
        <v>1046</v>
      </c>
      <c r="C4" s="2284" t="s">
        <v>1046</v>
      </c>
      <c r="D4" s="2284" t="s">
        <v>1047</v>
      </c>
      <c r="E4" s="2284" t="s">
        <v>1046</v>
      </c>
      <c r="F4" s="2284" t="s">
        <v>1046</v>
      </c>
      <c r="G4" s="2284">
        <v>-2</v>
      </c>
      <c r="H4" s="2284" t="s">
        <v>1056</v>
      </c>
      <c r="I4" s="2284" t="s">
        <v>1053</v>
      </c>
      <c r="J4" s="2284" t="s">
        <v>1055</v>
      </c>
      <c r="K4" s="2284" t="s">
        <v>1049</v>
      </c>
      <c r="L4" s="2284">
        <v>1</v>
      </c>
      <c r="M4" s="2284">
        <v>94.42</v>
      </c>
      <c r="N4" s="2284">
        <v>55.04</v>
      </c>
      <c r="O4" s="2284">
        <v>5829</v>
      </c>
    </row>
    <row r="5" spans="1:15">
      <c r="A5" s="2285">
        <v>45545.333831018499</v>
      </c>
      <c r="B5" s="2284" t="s">
        <v>1046</v>
      </c>
      <c r="C5" s="2284" t="s">
        <v>1046</v>
      </c>
      <c r="D5" s="2284" t="s">
        <v>1047</v>
      </c>
      <c r="E5" s="2284" t="s">
        <v>1046</v>
      </c>
      <c r="F5" s="2284" t="s">
        <v>1046</v>
      </c>
      <c r="G5" s="2284">
        <v>-2</v>
      </c>
      <c r="H5" s="2284" t="s">
        <v>1057</v>
      </c>
      <c r="I5" s="2284" t="s">
        <v>1053</v>
      </c>
      <c r="J5" s="2284" t="s">
        <v>1055</v>
      </c>
      <c r="K5" s="2284" t="s">
        <v>1049</v>
      </c>
      <c r="L5" s="2284">
        <v>1</v>
      </c>
      <c r="M5" s="2284">
        <v>292.45999999999998</v>
      </c>
      <c r="N5" s="2284">
        <v>165.11</v>
      </c>
      <c r="O5" s="2284">
        <v>5646</v>
      </c>
    </row>
    <row r="6" spans="1:15">
      <c r="A6" s="2285">
        <v>45545.333831018499</v>
      </c>
      <c r="B6" s="2284" t="s">
        <v>1046</v>
      </c>
      <c r="C6" s="2284" t="s">
        <v>1046</v>
      </c>
      <c r="D6" s="2284" t="s">
        <v>1047</v>
      </c>
      <c r="E6" s="2284" t="s">
        <v>1046</v>
      </c>
      <c r="F6" s="2284" t="s">
        <v>1046</v>
      </c>
      <c r="G6" s="2284">
        <v>4</v>
      </c>
      <c r="H6" s="2284">
        <v>405</v>
      </c>
      <c r="I6" s="2284" t="s">
        <v>1053</v>
      </c>
      <c r="J6" s="2284" t="s">
        <v>230</v>
      </c>
      <c r="K6" s="2284" t="s">
        <v>1049</v>
      </c>
      <c r="L6" s="2284">
        <v>1</v>
      </c>
      <c r="M6" s="2284">
        <v>563.51</v>
      </c>
      <c r="N6" s="2284">
        <v>3102.81</v>
      </c>
      <c r="O6" s="2284">
        <v>55062</v>
      </c>
    </row>
    <row r="7" spans="1:15">
      <c r="A7" s="2285">
        <v>45545.333831018499</v>
      </c>
      <c r="B7" s="2284" t="s">
        <v>1046</v>
      </c>
      <c r="C7" s="2284" t="s">
        <v>1046</v>
      </c>
      <c r="D7" s="2284" t="s">
        <v>1047</v>
      </c>
      <c r="E7" s="2284" t="s">
        <v>1046</v>
      </c>
      <c r="F7" s="2284" t="s">
        <v>1046</v>
      </c>
      <c r="G7" s="2284">
        <v>-2</v>
      </c>
      <c r="H7" s="2284" t="s">
        <v>1058</v>
      </c>
      <c r="I7" s="2284" t="s">
        <v>1053</v>
      </c>
      <c r="J7" s="2284" t="s">
        <v>1055</v>
      </c>
      <c r="K7" s="2284" t="s">
        <v>1049</v>
      </c>
      <c r="L7" s="2284">
        <v>1</v>
      </c>
      <c r="M7" s="2284">
        <v>292.45999999999998</v>
      </c>
      <c r="N7" s="2284">
        <v>158.76</v>
      </c>
      <c r="O7" s="2284">
        <v>5428</v>
      </c>
    </row>
    <row r="8" spans="1:15">
      <c r="A8" s="2285">
        <v>45545.333831018499</v>
      </c>
      <c r="B8" s="2284" t="s">
        <v>1046</v>
      </c>
      <c r="C8" s="2284" t="s">
        <v>1046</v>
      </c>
      <c r="D8" s="2284" t="s">
        <v>1047</v>
      </c>
      <c r="E8" s="2284" t="s">
        <v>1046</v>
      </c>
      <c r="F8" s="2284" t="s">
        <v>1046</v>
      </c>
      <c r="G8" s="2284">
        <v>-2</v>
      </c>
      <c r="H8" s="2284" t="s">
        <v>1059</v>
      </c>
      <c r="I8" s="2284" t="s">
        <v>1053</v>
      </c>
      <c r="J8" s="2284" t="s">
        <v>1055</v>
      </c>
      <c r="K8" s="2284" t="s">
        <v>1049</v>
      </c>
      <c r="L8" s="2284">
        <v>1</v>
      </c>
      <c r="M8" s="2284">
        <v>94.42</v>
      </c>
      <c r="N8" s="2284">
        <v>52.92</v>
      </c>
      <c r="O8" s="2284">
        <v>5605</v>
      </c>
    </row>
    <row r="9" spans="1:15">
      <c r="A9" s="2285">
        <v>45545.333831018499</v>
      </c>
      <c r="B9" s="2284" t="s">
        <v>1046</v>
      </c>
      <c r="C9" s="2284" t="s">
        <v>1046</v>
      </c>
      <c r="D9" s="2284" t="s">
        <v>1047</v>
      </c>
      <c r="E9" s="2284" t="s">
        <v>1046</v>
      </c>
      <c r="F9" s="2284" t="s">
        <v>1046</v>
      </c>
      <c r="G9" s="2284">
        <v>-2</v>
      </c>
      <c r="H9" s="2284" t="s">
        <v>1060</v>
      </c>
      <c r="I9" s="2284" t="s">
        <v>1053</v>
      </c>
      <c r="J9" s="2284" t="s">
        <v>1055</v>
      </c>
      <c r="K9" s="2284" t="s">
        <v>1049</v>
      </c>
      <c r="L9" s="2284">
        <v>1</v>
      </c>
      <c r="M9" s="2284">
        <v>94.42</v>
      </c>
      <c r="N9" s="2284">
        <v>55.04</v>
      </c>
      <c r="O9" s="2284">
        <v>5829</v>
      </c>
    </row>
    <row r="10" spans="1:15">
      <c r="A10" s="2285">
        <v>45545.333831018499</v>
      </c>
      <c r="B10" s="2284" t="s">
        <v>1046</v>
      </c>
      <c r="C10" s="2284" t="s">
        <v>1046</v>
      </c>
      <c r="D10" s="2284" t="s">
        <v>1047</v>
      </c>
      <c r="E10" s="2284" t="s">
        <v>1046</v>
      </c>
      <c r="F10" s="2284" t="s">
        <v>1046</v>
      </c>
      <c r="G10" s="2284">
        <v>1</v>
      </c>
      <c r="H10" s="2284">
        <v>102</v>
      </c>
      <c r="I10" s="2284" t="s">
        <v>1053</v>
      </c>
      <c r="J10" s="2284" t="s">
        <v>229</v>
      </c>
      <c r="K10" s="2284" t="s">
        <v>1049</v>
      </c>
      <c r="L10" s="2284">
        <v>1</v>
      </c>
      <c r="M10" s="2284">
        <v>35.299999999999997</v>
      </c>
      <c r="N10" s="2284">
        <v>310.95</v>
      </c>
      <c r="O10" s="2284">
        <v>88088</v>
      </c>
    </row>
    <row r="11" spans="1:15">
      <c r="A11" s="2285">
        <v>45545.333831018499</v>
      </c>
      <c r="B11" s="2284" t="s">
        <v>1046</v>
      </c>
      <c r="C11" s="2284" t="s">
        <v>1046</v>
      </c>
      <c r="D11" s="2284" t="s">
        <v>1047</v>
      </c>
      <c r="E11" s="2284" t="s">
        <v>1046</v>
      </c>
      <c r="F11" s="2284" t="s">
        <v>1046</v>
      </c>
      <c r="G11" s="2284">
        <v>-2</v>
      </c>
      <c r="H11" s="2284" t="s">
        <v>1061</v>
      </c>
      <c r="I11" s="2284" t="s">
        <v>1053</v>
      </c>
      <c r="J11" s="2284" t="s">
        <v>1055</v>
      </c>
      <c r="K11" s="2284" t="s">
        <v>1049</v>
      </c>
      <c r="L11" s="2284">
        <v>1</v>
      </c>
      <c r="M11" s="2284">
        <v>94.42</v>
      </c>
      <c r="N11" s="2284">
        <v>52.39</v>
      </c>
      <c r="O11" s="2284">
        <v>5549</v>
      </c>
    </row>
    <row r="12" spans="1:15">
      <c r="A12" s="2285">
        <v>45545.333831018499</v>
      </c>
      <c r="B12" s="2284" t="s">
        <v>1046</v>
      </c>
      <c r="C12" s="2284" t="s">
        <v>1046</v>
      </c>
      <c r="D12" s="2284" t="s">
        <v>1047</v>
      </c>
      <c r="E12" s="2284" t="s">
        <v>1046</v>
      </c>
      <c r="F12" s="2284" t="s">
        <v>1046</v>
      </c>
      <c r="G12" s="2284">
        <v>-2</v>
      </c>
      <c r="H12" s="2284" t="s">
        <v>1062</v>
      </c>
      <c r="I12" s="2284" t="s">
        <v>1053</v>
      </c>
      <c r="J12" s="2284" t="s">
        <v>1055</v>
      </c>
      <c r="K12" s="2284" t="s">
        <v>1049</v>
      </c>
      <c r="L12" s="2284">
        <v>1</v>
      </c>
      <c r="M12" s="2284">
        <v>292.45999999999998</v>
      </c>
      <c r="N12" s="2284">
        <v>155.58000000000001</v>
      </c>
      <c r="O12" s="2284">
        <v>5320</v>
      </c>
    </row>
    <row r="13" spans="1:15">
      <c r="A13" s="2285">
        <v>45545.333831018499</v>
      </c>
      <c r="B13" s="2284" t="s">
        <v>1046</v>
      </c>
      <c r="C13" s="2284" t="s">
        <v>1046</v>
      </c>
      <c r="D13" s="2284" t="s">
        <v>1047</v>
      </c>
      <c r="E13" s="2284" t="s">
        <v>1046</v>
      </c>
      <c r="F13" s="2284" t="s">
        <v>1046</v>
      </c>
      <c r="G13" s="2284">
        <v>-2</v>
      </c>
      <c r="H13" s="2284" t="s">
        <v>1063</v>
      </c>
      <c r="I13" s="2284" t="s">
        <v>1053</v>
      </c>
      <c r="J13" s="2284" t="s">
        <v>1055</v>
      </c>
      <c r="K13" s="2284" t="s">
        <v>1049</v>
      </c>
      <c r="L13" s="2284">
        <v>1</v>
      </c>
      <c r="M13" s="2284">
        <v>94.42</v>
      </c>
      <c r="N13" s="2284">
        <v>53.98</v>
      </c>
      <c r="O13" s="2284">
        <v>5717</v>
      </c>
    </row>
    <row r="14" spans="1:15">
      <c r="A14" s="2285">
        <v>45545.333831018499</v>
      </c>
      <c r="B14" s="2284" t="s">
        <v>1046</v>
      </c>
      <c r="C14" s="2284" t="s">
        <v>1046</v>
      </c>
      <c r="D14" s="2284" t="s">
        <v>1047</v>
      </c>
      <c r="E14" s="2284" t="s">
        <v>1046</v>
      </c>
      <c r="F14" s="2284" t="s">
        <v>1046</v>
      </c>
      <c r="G14" s="2284">
        <v>-2</v>
      </c>
      <c r="H14" s="2284">
        <v>-201</v>
      </c>
      <c r="I14" s="2284" t="s">
        <v>1053</v>
      </c>
      <c r="J14" s="2284" t="s">
        <v>1064</v>
      </c>
      <c r="K14" s="2284" t="s">
        <v>1049</v>
      </c>
      <c r="L14" s="2284">
        <v>1</v>
      </c>
      <c r="M14" s="2284">
        <v>18.579999999999998</v>
      </c>
      <c r="N14" s="2284">
        <v>31.32</v>
      </c>
      <c r="O14" s="2284">
        <v>16856</v>
      </c>
    </row>
    <row r="15" spans="1:15">
      <c r="A15" s="2285">
        <v>45545.333831018499</v>
      </c>
      <c r="B15" s="2284" t="s">
        <v>1046</v>
      </c>
      <c r="C15" s="2284" t="s">
        <v>1046</v>
      </c>
      <c r="D15" s="2284" t="s">
        <v>1047</v>
      </c>
      <c r="E15" s="2284" t="s">
        <v>1046</v>
      </c>
      <c r="F15" s="2284" t="s">
        <v>1046</v>
      </c>
      <c r="G15" s="2284">
        <v>4</v>
      </c>
      <c r="H15" s="2284">
        <v>401</v>
      </c>
      <c r="I15" s="2284" t="s">
        <v>1053</v>
      </c>
      <c r="J15" s="2284" t="s">
        <v>229</v>
      </c>
      <c r="K15" s="2284" t="s">
        <v>1049</v>
      </c>
      <c r="L15" s="2284">
        <v>1</v>
      </c>
      <c r="M15" s="2284">
        <v>491.8</v>
      </c>
      <c r="N15" s="2284">
        <v>2732.01</v>
      </c>
      <c r="O15" s="2284">
        <v>55551</v>
      </c>
    </row>
    <row r="16" spans="1:15">
      <c r="A16" s="2285">
        <v>45545.333831018499</v>
      </c>
      <c r="B16" s="2284" t="s">
        <v>1046</v>
      </c>
      <c r="C16" s="2284" t="s">
        <v>1046</v>
      </c>
      <c r="D16" s="2284" t="s">
        <v>1047</v>
      </c>
      <c r="E16" s="2284" t="s">
        <v>1046</v>
      </c>
      <c r="F16" s="2284" t="s">
        <v>1046</v>
      </c>
      <c r="G16" s="2284">
        <v>-2</v>
      </c>
      <c r="H16" s="2284" t="s">
        <v>1065</v>
      </c>
      <c r="I16" s="2284" t="s">
        <v>1053</v>
      </c>
      <c r="J16" s="2284" t="s">
        <v>1055</v>
      </c>
      <c r="K16" s="2284" t="s">
        <v>1049</v>
      </c>
      <c r="L16" s="2284">
        <v>1</v>
      </c>
      <c r="M16" s="2284">
        <v>94.42</v>
      </c>
      <c r="N16" s="2284">
        <v>55.04</v>
      </c>
      <c r="O16" s="2284">
        <v>5829</v>
      </c>
    </row>
    <row r="17" spans="1:15">
      <c r="A17" s="2285">
        <v>45545.333831018499</v>
      </c>
      <c r="B17" s="2284" t="s">
        <v>1046</v>
      </c>
      <c r="C17" s="2284" t="s">
        <v>1046</v>
      </c>
      <c r="D17" s="2284" t="s">
        <v>1047</v>
      </c>
      <c r="E17" s="2284" t="s">
        <v>1046</v>
      </c>
      <c r="F17" s="2284" t="s">
        <v>1046</v>
      </c>
      <c r="G17" s="2284">
        <v>5</v>
      </c>
      <c r="H17" s="2284">
        <v>501</v>
      </c>
      <c r="I17" s="2284" t="s">
        <v>1053</v>
      </c>
      <c r="J17" s="2284" t="s">
        <v>230</v>
      </c>
      <c r="K17" s="2284" t="s">
        <v>1049</v>
      </c>
      <c r="L17" s="2284">
        <v>1</v>
      </c>
      <c r="M17" s="2284">
        <v>1190.9000000000001</v>
      </c>
      <c r="N17" s="2284">
        <v>6493.06</v>
      </c>
      <c r="O17" s="2284">
        <v>54522</v>
      </c>
    </row>
    <row r="18" spans="1:15">
      <c r="A18" s="2285">
        <v>45545.333831018499</v>
      </c>
      <c r="B18" s="2284" t="s">
        <v>1046</v>
      </c>
      <c r="C18" s="2284" t="s">
        <v>1046</v>
      </c>
      <c r="D18" s="2284" t="s">
        <v>1047</v>
      </c>
      <c r="E18" s="2284" t="s">
        <v>1046</v>
      </c>
      <c r="F18" s="2284" t="s">
        <v>1046</v>
      </c>
      <c r="G18" s="2284">
        <v>8</v>
      </c>
      <c r="H18" s="2284">
        <v>801</v>
      </c>
      <c r="I18" s="2284" t="s">
        <v>1053</v>
      </c>
      <c r="J18" s="2284" t="s">
        <v>230</v>
      </c>
      <c r="K18" s="2284" t="s">
        <v>1049</v>
      </c>
      <c r="L18" s="2284">
        <v>1</v>
      </c>
      <c r="M18" s="2284">
        <v>1988.41</v>
      </c>
      <c r="N18" s="2284">
        <v>10952.93</v>
      </c>
      <c r="O18" s="2284">
        <v>55084</v>
      </c>
    </row>
    <row r="19" spans="1:15">
      <c r="A19" s="2285">
        <v>45545.333831018499</v>
      </c>
      <c r="B19" s="2284" t="s">
        <v>1046</v>
      </c>
      <c r="C19" s="2284" t="s">
        <v>1046</v>
      </c>
      <c r="D19" s="2284" t="s">
        <v>1047</v>
      </c>
      <c r="E19" s="2284" t="s">
        <v>1046</v>
      </c>
      <c r="F19" s="2284" t="s">
        <v>1046</v>
      </c>
      <c r="G19" s="2284">
        <v>-2</v>
      </c>
      <c r="H19" s="2284" t="s">
        <v>1066</v>
      </c>
      <c r="I19" s="2284" t="s">
        <v>1053</v>
      </c>
      <c r="J19" s="2284" t="s">
        <v>1055</v>
      </c>
      <c r="K19" s="2284" t="s">
        <v>1049</v>
      </c>
      <c r="L19" s="2284">
        <v>1</v>
      </c>
      <c r="M19" s="2284">
        <v>94.42</v>
      </c>
      <c r="N19" s="2284">
        <v>52.92</v>
      </c>
      <c r="O19" s="2284">
        <v>5605</v>
      </c>
    </row>
    <row r="20" spans="1:15">
      <c r="A20" s="2285">
        <v>45545.333831018499</v>
      </c>
      <c r="B20" s="2284" t="s">
        <v>1046</v>
      </c>
      <c r="C20" s="2284" t="s">
        <v>1046</v>
      </c>
      <c r="D20" s="2284" t="s">
        <v>1047</v>
      </c>
      <c r="E20" s="2284" t="s">
        <v>1046</v>
      </c>
      <c r="F20" s="2284" t="s">
        <v>1046</v>
      </c>
      <c r="G20" s="2284">
        <v>-2</v>
      </c>
      <c r="H20" s="2284" t="s">
        <v>1067</v>
      </c>
      <c r="I20" s="2284" t="s">
        <v>1053</v>
      </c>
      <c r="J20" s="2284" t="s">
        <v>1055</v>
      </c>
      <c r="K20" s="2284" t="s">
        <v>1049</v>
      </c>
      <c r="L20" s="2284">
        <v>1</v>
      </c>
      <c r="M20" s="2284">
        <v>94.42</v>
      </c>
      <c r="N20" s="2284">
        <v>55.04</v>
      </c>
      <c r="O20" s="2284">
        <v>5829</v>
      </c>
    </row>
    <row r="21" spans="1:15">
      <c r="A21" s="2285">
        <v>45545.333831018499</v>
      </c>
      <c r="B21" s="2284" t="s">
        <v>1046</v>
      </c>
      <c r="C21" s="2284" t="s">
        <v>1046</v>
      </c>
      <c r="D21" s="2284" t="s">
        <v>1047</v>
      </c>
      <c r="E21" s="2284" t="s">
        <v>1046</v>
      </c>
      <c r="F21" s="2284" t="s">
        <v>1046</v>
      </c>
      <c r="G21" s="2284">
        <v>-2</v>
      </c>
      <c r="H21" s="2284" t="s">
        <v>1068</v>
      </c>
      <c r="I21" s="2284" t="s">
        <v>1053</v>
      </c>
      <c r="J21" s="2284" t="s">
        <v>1055</v>
      </c>
      <c r="K21" s="2284" t="s">
        <v>1049</v>
      </c>
      <c r="L21" s="2284">
        <v>1</v>
      </c>
      <c r="M21" s="2284">
        <v>292.45999999999998</v>
      </c>
      <c r="N21" s="2284">
        <v>155.58000000000001</v>
      </c>
      <c r="O21" s="2284">
        <v>5320</v>
      </c>
    </row>
    <row r="22" spans="1:15">
      <c r="A22" s="2285">
        <v>45545.333831018499</v>
      </c>
      <c r="B22" s="2284" t="s">
        <v>1046</v>
      </c>
      <c r="C22" s="2284" t="s">
        <v>1046</v>
      </c>
      <c r="D22" s="2284" t="s">
        <v>1047</v>
      </c>
      <c r="E22" s="2284" t="s">
        <v>1046</v>
      </c>
      <c r="F22" s="2284" t="s">
        <v>1046</v>
      </c>
      <c r="G22" s="2284">
        <v>-2</v>
      </c>
      <c r="H22" s="2284" t="s">
        <v>1069</v>
      </c>
      <c r="I22" s="2284" t="s">
        <v>1053</v>
      </c>
      <c r="J22" s="2284" t="s">
        <v>1055</v>
      </c>
      <c r="K22" s="2284" t="s">
        <v>1049</v>
      </c>
      <c r="L22" s="2284">
        <v>1</v>
      </c>
      <c r="M22" s="2284">
        <v>292.45999999999998</v>
      </c>
      <c r="N22" s="2284">
        <v>161.94</v>
      </c>
      <c r="O22" s="2284">
        <v>5537</v>
      </c>
    </row>
    <row r="23" spans="1:15">
      <c r="A23" s="2285">
        <v>45545.333831018499</v>
      </c>
      <c r="B23" s="2284" t="s">
        <v>1046</v>
      </c>
      <c r="C23" s="2284" t="s">
        <v>1046</v>
      </c>
      <c r="D23" s="2284" t="s">
        <v>1047</v>
      </c>
      <c r="E23" s="2284" t="s">
        <v>1046</v>
      </c>
      <c r="F23" s="2284" t="s">
        <v>1046</v>
      </c>
      <c r="G23" s="2284">
        <v>-3</v>
      </c>
      <c r="H23" s="2284">
        <v>-301</v>
      </c>
      <c r="I23" s="2284" t="s">
        <v>1053</v>
      </c>
      <c r="J23" s="2284" t="s">
        <v>1064</v>
      </c>
      <c r="K23" s="2284" t="s">
        <v>1049</v>
      </c>
      <c r="L23" s="2284">
        <v>1</v>
      </c>
      <c r="M23" s="2284">
        <v>114.63</v>
      </c>
      <c r="N23" s="2284">
        <v>189.42</v>
      </c>
      <c r="O23" s="2284">
        <v>16525</v>
      </c>
    </row>
    <row r="24" spans="1:15">
      <c r="A24" s="2285">
        <v>45545.333831018499</v>
      </c>
      <c r="B24" s="2284" t="s">
        <v>1046</v>
      </c>
      <c r="C24" s="2284" t="s">
        <v>1046</v>
      </c>
      <c r="D24" s="2284" t="s">
        <v>1047</v>
      </c>
      <c r="E24" s="2284" t="s">
        <v>1046</v>
      </c>
      <c r="F24" s="2284" t="s">
        <v>1046</v>
      </c>
      <c r="G24" s="2284">
        <v>6</v>
      </c>
      <c r="H24" s="2284">
        <v>601</v>
      </c>
      <c r="I24" s="2284" t="s">
        <v>1053</v>
      </c>
      <c r="J24" s="2284" t="s">
        <v>230</v>
      </c>
      <c r="K24" s="2284" t="s">
        <v>1049</v>
      </c>
      <c r="L24" s="2284">
        <v>1</v>
      </c>
      <c r="M24" s="2284">
        <v>1870.09</v>
      </c>
      <c r="N24" s="2284">
        <v>10099.209999999999</v>
      </c>
      <c r="O24" s="2284">
        <v>54004</v>
      </c>
    </row>
    <row r="25" spans="1:15">
      <c r="A25" s="2285">
        <v>45545.333831018499</v>
      </c>
      <c r="B25" s="2284" t="s">
        <v>1046</v>
      </c>
      <c r="C25" s="2284" t="s">
        <v>1046</v>
      </c>
      <c r="D25" s="2284" t="s">
        <v>1047</v>
      </c>
      <c r="E25" s="2284" t="s">
        <v>1046</v>
      </c>
      <c r="F25" s="2284" t="s">
        <v>1046</v>
      </c>
      <c r="G25" s="2284">
        <v>-2</v>
      </c>
      <c r="H25" s="2284" t="s">
        <v>1070</v>
      </c>
      <c r="I25" s="2284" t="s">
        <v>1053</v>
      </c>
      <c r="J25" s="2284" t="s">
        <v>1055</v>
      </c>
      <c r="K25" s="2284" t="s">
        <v>1049</v>
      </c>
      <c r="L25" s="2284">
        <v>1</v>
      </c>
      <c r="M25" s="2284">
        <v>94.42</v>
      </c>
      <c r="N25" s="2284">
        <v>50.82</v>
      </c>
      <c r="O25" s="2284">
        <v>5383</v>
      </c>
    </row>
    <row r="26" spans="1:15">
      <c r="A26" s="2285">
        <v>45545.333831018499</v>
      </c>
      <c r="B26" s="2284" t="s">
        <v>1046</v>
      </c>
      <c r="C26" s="2284" t="s">
        <v>1046</v>
      </c>
      <c r="D26" s="2284" t="s">
        <v>1047</v>
      </c>
      <c r="E26" s="2284" t="s">
        <v>1046</v>
      </c>
      <c r="F26" s="2284" t="s">
        <v>1046</v>
      </c>
      <c r="G26" s="2284">
        <v>-2</v>
      </c>
      <c r="H26" s="2284" t="s">
        <v>1071</v>
      </c>
      <c r="I26" s="2284" t="s">
        <v>1053</v>
      </c>
      <c r="J26" s="2284" t="s">
        <v>1055</v>
      </c>
      <c r="K26" s="2284" t="s">
        <v>1049</v>
      </c>
      <c r="L26" s="2284">
        <v>1</v>
      </c>
      <c r="M26" s="2284">
        <v>292.45999999999998</v>
      </c>
      <c r="N26" s="2284">
        <v>158.76</v>
      </c>
      <c r="O26" s="2284">
        <v>5428</v>
      </c>
    </row>
    <row r="27" spans="1:15">
      <c r="A27" s="2285">
        <v>45545.333831018499</v>
      </c>
      <c r="B27" s="2284" t="s">
        <v>1046</v>
      </c>
      <c r="C27" s="2284" t="s">
        <v>1046</v>
      </c>
      <c r="D27" s="2284" t="s">
        <v>1047</v>
      </c>
      <c r="E27" s="2284" t="s">
        <v>1046</v>
      </c>
      <c r="F27" s="2284" t="s">
        <v>1046</v>
      </c>
      <c r="G27" s="2284">
        <v>2</v>
      </c>
      <c r="H27" s="2284">
        <v>201</v>
      </c>
      <c r="I27" s="2284" t="s">
        <v>1053</v>
      </c>
      <c r="J27" s="2284" t="s">
        <v>229</v>
      </c>
      <c r="K27" s="2284" t="s">
        <v>1049</v>
      </c>
      <c r="L27" s="2284">
        <v>1</v>
      </c>
      <c r="M27" s="2284">
        <v>6440.89</v>
      </c>
      <c r="N27" s="2284">
        <v>43415.06</v>
      </c>
      <c r="O27" s="2284">
        <v>67405</v>
      </c>
    </row>
    <row r="28" spans="1:15">
      <c r="A28" s="2285">
        <v>45545.333831018499</v>
      </c>
      <c r="B28" s="2284" t="s">
        <v>1046</v>
      </c>
      <c r="C28" s="2284" t="s">
        <v>1046</v>
      </c>
      <c r="D28" s="2284" t="s">
        <v>1047</v>
      </c>
      <c r="E28" s="2284" t="s">
        <v>1046</v>
      </c>
      <c r="F28" s="2284" t="s">
        <v>1046</v>
      </c>
      <c r="G28" s="2284">
        <v>-2</v>
      </c>
      <c r="H28" s="2284" t="s">
        <v>1072</v>
      </c>
      <c r="I28" s="2284" t="s">
        <v>1053</v>
      </c>
      <c r="J28" s="2284" t="s">
        <v>1055</v>
      </c>
      <c r="K28" s="2284" t="s">
        <v>1049</v>
      </c>
      <c r="L28" s="2284">
        <v>1</v>
      </c>
      <c r="M28" s="2284">
        <v>292.45999999999998</v>
      </c>
      <c r="N28" s="2284">
        <v>155.58000000000001</v>
      </c>
      <c r="O28" s="2284">
        <v>5320</v>
      </c>
    </row>
    <row r="29" spans="1:15">
      <c r="A29" s="2285">
        <v>45545.333831018499</v>
      </c>
      <c r="B29" s="2284" t="s">
        <v>1046</v>
      </c>
      <c r="C29" s="2284" t="s">
        <v>1046</v>
      </c>
      <c r="D29" s="2284" t="s">
        <v>1047</v>
      </c>
      <c r="E29" s="2284" t="s">
        <v>1046</v>
      </c>
      <c r="F29" s="2284" t="s">
        <v>1046</v>
      </c>
      <c r="G29" s="2284">
        <v>-2</v>
      </c>
      <c r="H29" s="2284" t="s">
        <v>1073</v>
      </c>
      <c r="I29" s="2284" t="s">
        <v>1053</v>
      </c>
      <c r="J29" s="2284" t="s">
        <v>1055</v>
      </c>
      <c r="K29" s="2284" t="s">
        <v>1049</v>
      </c>
      <c r="L29" s="2284">
        <v>1</v>
      </c>
      <c r="M29" s="2284">
        <v>196.56</v>
      </c>
      <c r="N29" s="2284">
        <v>99.07</v>
      </c>
      <c r="O29" s="2284">
        <v>5040</v>
      </c>
    </row>
    <row r="30" spans="1:15">
      <c r="A30" s="2285">
        <v>45545.333831018499</v>
      </c>
      <c r="B30" s="2284" t="s">
        <v>1046</v>
      </c>
      <c r="C30" s="2284" t="s">
        <v>1046</v>
      </c>
      <c r="D30" s="2284" t="s">
        <v>1047</v>
      </c>
      <c r="E30" s="2284" t="s">
        <v>1046</v>
      </c>
      <c r="F30" s="2284" t="s">
        <v>1046</v>
      </c>
      <c r="G30" s="2284">
        <v>9</v>
      </c>
      <c r="H30" s="2284">
        <v>901</v>
      </c>
      <c r="I30" s="2284" t="s">
        <v>1053</v>
      </c>
      <c r="J30" s="2284" t="s">
        <v>230</v>
      </c>
      <c r="K30" s="2284" t="s">
        <v>1049</v>
      </c>
      <c r="L30" s="2284">
        <v>1</v>
      </c>
      <c r="M30" s="2284">
        <v>1988.41</v>
      </c>
      <c r="N30" s="2284">
        <v>10952.93</v>
      </c>
      <c r="O30" s="2284">
        <v>55084</v>
      </c>
    </row>
    <row r="31" spans="1:15">
      <c r="A31" s="2285">
        <v>45545.333831018499</v>
      </c>
      <c r="B31" s="2284" t="s">
        <v>1046</v>
      </c>
      <c r="C31" s="2284" t="s">
        <v>1046</v>
      </c>
      <c r="D31" s="2284" t="s">
        <v>1047</v>
      </c>
      <c r="E31" s="2284" t="s">
        <v>1046</v>
      </c>
      <c r="F31" s="2284" t="s">
        <v>1046</v>
      </c>
      <c r="G31" s="2284">
        <v>-1</v>
      </c>
      <c r="H31" s="2284">
        <v>-101</v>
      </c>
      <c r="I31" s="2284" t="s">
        <v>1053</v>
      </c>
      <c r="J31" s="2284" t="s">
        <v>229</v>
      </c>
      <c r="K31" s="2284" t="s">
        <v>1049</v>
      </c>
      <c r="L31" s="2284">
        <v>1</v>
      </c>
      <c r="M31" s="2284">
        <v>2104.5100000000002</v>
      </c>
      <c r="N31" s="2284">
        <v>9885.6299999999992</v>
      </c>
      <c r="O31" s="2284">
        <v>46974</v>
      </c>
    </row>
    <row r="32" spans="1:15">
      <c r="A32" s="2285">
        <v>45545.333831018499</v>
      </c>
      <c r="B32" s="2284" t="s">
        <v>1046</v>
      </c>
      <c r="C32" s="2284" t="s">
        <v>1046</v>
      </c>
      <c r="D32" s="2284" t="s">
        <v>1047</v>
      </c>
      <c r="E32" s="2284" t="s">
        <v>1046</v>
      </c>
      <c r="F32" s="2284" t="s">
        <v>1046</v>
      </c>
      <c r="G32" s="2284">
        <v>3</v>
      </c>
      <c r="H32" s="2284">
        <v>301</v>
      </c>
      <c r="I32" s="2284" t="s">
        <v>1053</v>
      </c>
      <c r="J32" s="2284" t="s">
        <v>229</v>
      </c>
      <c r="K32" s="2284" t="s">
        <v>1049</v>
      </c>
      <c r="L32" s="2284">
        <v>1</v>
      </c>
      <c r="M32" s="2284">
        <v>380.56</v>
      </c>
      <c r="N32" s="2284">
        <v>2299.4499999999998</v>
      </c>
      <c r="O32" s="2284">
        <v>60423</v>
      </c>
    </row>
    <row r="33" spans="1:15">
      <c r="A33" s="2285">
        <v>45545.333831018499</v>
      </c>
      <c r="B33" s="2284" t="s">
        <v>1046</v>
      </c>
      <c r="C33" s="2284" t="s">
        <v>1046</v>
      </c>
      <c r="D33" s="2284" t="s">
        <v>1047</v>
      </c>
      <c r="E33" s="2284" t="s">
        <v>1046</v>
      </c>
      <c r="F33" s="2284" t="s">
        <v>1046</v>
      </c>
      <c r="G33" s="2284">
        <v>7</v>
      </c>
      <c r="H33" s="2284">
        <v>701</v>
      </c>
      <c r="I33" s="2284" t="s">
        <v>1053</v>
      </c>
      <c r="J33" s="2284" t="s">
        <v>230</v>
      </c>
      <c r="K33" s="2284" t="s">
        <v>1049</v>
      </c>
      <c r="L33" s="2284">
        <v>1</v>
      </c>
      <c r="M33" s="2284">
        <v>1984.53</v>
      </c>
      <c r="N33" s="2284">
        <v>10717.23</v>
      </c>
      <c r="O33" s="2284">
        <v>54004</v>
      </c>
    </row>
    <row r="34" spans="1:15">
      <c r="A34" s="2285">
        <v>45545.333831018499</v>
      </c>
      <c r="B34" s="2284" t="s">
        <v>1046</v>
      </c>
      <c r="C34" s="2284" t="s">
        <v>1046</v>
      </c>
      <c r="D34" s="2284" t="s">
        <v>1047</v>
      </c>
      <c r="E34" s="2284" t="s">
        <v>1046</v>
      </c>
      <c r="F34" s="2284" t="s">
        <v>1046</v>
      </c>
      <c r="G34" s="2284">
        <v>1</v>
      </c>
      <c r="H34" s="2284">
        <v>101</v>
      </c>
      <c r="I34" s="2284" t="s">
        <v>1053</v>
      </c>
      <c r="J34" s="2284" t="s">
        <v>229</v>
      </c>
      <c r="K34" s="2284" t="s">
        <v>1049</v>
      </c>
      <c r="L34" s="2284">
        <v>1</v>
      </c>
      <c r="M34" s="2284">
        <v>80.72</v>
      </c>
      <c r="N34" s="2284">
        <v>580.4</v>
      </c>
      <c r="O34" s="2284">
        <v>71903</v>
      </c>
    </row>
    <row r="35" spans="1:15">
      <c r="A35" s="2285">
        <v>45545.333831018499</v>
      </c>
      <c r="B35" s="2284" t="s">
        <v>1046</v>
      </c>
      <c r="C35" s="2284" t="s">
        <v>1046</v>
      </c>
      <c r="D35" s="2284" t="s">
        <v>1047</v>
      </c>
      <c r="E35" s="2284" t="s">
        <v>1046</v>
      </c>
      <c r="F35" s="2284" t="s">
        <v>1046</v>
      </c>
      <c r="G35" s="2284">
        <v>4</v>
      </c>
      <c r="H35" s="2284">
        <v>404</v>
      </c>
      <c r="I35" s="2284" t="s">
        <v>1053</v>
      </c>
      <c r="J35" s="2284" t="s">
        <v>230</v>
      </c>
      <c r="K35" s="2284" t="s">
        <v>1049</v>
      </c>
      <c r="L35" s="2284">
        <v>1</v>
      </c>
      <c r="M35" s="2284">
        <v>127.89</v>
      </c>
      <c r="N35" s="2284">
        <v>633.53</v>
      </c>
      <c r="O35" s="2284">
        <v>49537</v>
      </c>
    </row>
    <row r="36" spans="1:15">
      <c r="A36" s="2285">
        <v>45545.333831018499</v>
      </c>
      <c r="B36" s="2284" t="s">
        <v>1046</v>
      </c>
      <c r="C36" s="2284" t="s">
        <v>1046</v>
      </c>
      <c r="D36" s="2284" t="s">
        <v>1047</v>
      </c>
      <c r="E36" s="2284" t="s">
        <v>1046</v>
      </c>
      <c r="F36" s="2284" t="s">
        <v>1046</v>
      </c>
      <c r="G36" s="2284">
        <v>4</v>
      </c>
      <c r="H36" s="2284">
        <v>402</v>
      </c>
      <c r="I36" s="2284" t="s">
        <v>1053</v>
      </c>
      <c r="J36" s="2284" t="s">
        <v>229</v>
      </c>
      <c r="K36" s="2284" t="s">
        <v>1049</v>
      </c>
      <c r="L36" s="2284">
        <v>1</v>
      </c>
      <c r="M36" s="2284">
        <v>360.96</v>
      </c>
      <c r="N36" s="2284">
        <v>2005.18</v>
      </c>
      <c r="O36" s="2284">
        <v>55551</v>
      </c>
    </row>
    <row r="37" spans="1:15">
      <c r="A37" s="2285">
        <v>45545.333831018499</v>
      </c>
      <c r="B37" s="2284" t="s">
        <v>1046</v>
      </c>
      <c r="C37" s="2284" t="s">
        <v>1046</v>
      </c>
      <c r="D37" s="2284" t="s">
        <v>1047</v>
      </c>
      <c r="E37" s="2284" t="s">
        <v>1046</v>
      </c>
      <c r="F37" s="2284" t="s">
        <v>1046</v>
      </c>
      <c r="G37" s="2284">
        <v>10</v>
      </c>
      <c r="H37" s="2284">
        <v>1001</v>
      </c>
      <c r="I37" s="2284" t="s">
        <v>1053</v>
      </c>
      <c r="J37" s="2284" t="s">
        <v>230</v>
      </c>
      <c r="K37" s="2284" t="s">
        <v>1049</v>
      </c>
      <c r="L37" s="2284">
        <v>1</v>
      </c>
      <c r="M37" s="2284">
        <v>1684</v>
      </c>
      <c r="N37" s="2284">
        <v>9457.98</v>
      </c>
      <c r="O37" s="2284">
        <v>56164</v>
      </c>
    </row>
    <row r="38" spans="1:15">
      <c r="A38" s="2285">
        <v>45545.333831018499</v>
      </c>
      <c r="B38" s="2284" t="s">
        <v>1046</v>
      </c>
      <c r="C38" s="2284" t="s">
        <v>1046</v>
      </c>
      <c r="D38" s="2284" t="s">
        <v>1047</v>
      </c>
      <c r="E38" s="2284" t="s">
        <v>1046</v>
      </c>
      <c r="F38" s="2284" t="s">
        <v>1046</v>
      </c>
      <c r="G38" s="2284">
        <v>-2</v>
      </c>
      <c r="H38" s="2284" t="s">
        <v>1074</v>
      </c>
      <c r="I38" s="2284" t="s">
        <v>1053</v>
      </c>
      <c r="J38" s="2284" t="s">
        <v>1055</v>
      </c>
      <c r="K38" s="2284" t="s">
        <v>1049</v>
      </c>
      <c r="L38" s="2284">
        <v>1</v>
      </c>
      <c r="M38" s="2284">
        <v>292.45999999999998</v>
      </c>
      <c r="N38" s="2284">
        <v>155.58000000000001</v>
      </c>
      <c r="O38" s="2284">
        <v>5320</v>
      </c>
    </row>
    <row r="39" spans="1:15">
      <c r="A39" s="2285">
        <v>45545.333831018499</v>
      </c>
      <c r="B39" s="2284" t="s">
        <v>1046</v>
      </c>
      <c r="C39" s="2284" t="s">
        <v>1046</v>
      </c>
      <c r="D39" s="2284" t="s">
        <v>1047</v>
      </c>
      <c r="E39" s="2284" t="s">
        <v>1046</v>
      </c>
      <c r="F39" s="2284" t="s">
        <v>1046</v>
      </c>
      <c r="G39" s="2284">
        <v>-2</v>
      </c>
      <c r="H39" s="2284" t="s">
        <v>1075</v>
      </c>
      <c r="I39" s="2284" t="s">
        <v>1053</v>
      </c>
      <c r="J39" s="2284" t="s">
        <v>1055</v>
      </c>
      <c r="K39" s="2284" t="s">
        <v>1049</v>
      </c>
      <c r="L39" s="2284">
        <v>1</v>
      </c>
      <c r="M39" s="2284">
        <v>292.45999999999998</v>
      </c>
      <c r="N39" s="2284">
        <v>163.52000000000001</v>
      </c>
      <c r="O39" s="2284">
        <v>5591</v>
      </c>
    </row>
    <row r="40" spans="1:15">
      <c r="A40" s="2285">
        <v>45545.333831018499</v>
      </c>
      <c r="B40" s="2284" t="s">
        <v>1046</v>
      </c>
      <c r="C40" s="2284" t="s">
        <v>1046</v>
      </c>
      <c r="D40" s="2284" t="s">
        <v>1047</v>
      </c>
      <c r="E40" s="2284" t="s">
        <v>1046</v>
      </c>
      <c r="F40" s="2284" t="s">
        <v>1046</v>
      </c>
      <c r="G40" s="2284">
        <v>-2</v>
      </c>
      <c r="H40" s="2284" t="s">
        <v>1076</v>
      </c>
      <c r="I40" s="2284" t="s">
        <v>1053</v>
      </c>
      <c r="J40" s="2284" t="s">
        <v>1055</v>
      </c>
      <c r="K40" s="2284" t="s">
        <v>1049</v>
      </c>
      <c r="L40" s="2284">
        <v>1</v>
      </c>
      <c r="M40" s="2284">
        <v>94.42</v>
      </c>
      <c r="N40" s="2284">
        <v>53.98</v>
      </c>
      <c r="O40" s="2284">
        <v>5717</v>
      </c>
    </row>
    <row r="41" spans="1:15">
      <c r="A41" s="2285">
        <v>45545.333831018499</v>
      </c>
      <c r="B41" s="2284" t="s">
        <v>1046</v>
      </c>
      <c r="C41" s="2284" t="s">
        <v>1046</v>
      </c>
      <c r="D41" s="2284" t="s">
        <v>1047</v>
      </c>
      <c r="E41" s="2284" t="s">
        <v>1046</v>
      </c>
      <c r="F41" s="2284" t="s">
        <v>1046</v>
      </c>
      <c r="G41" s="2284">
        <v>-2</v>
      </c>
      <c r="H41" s="2284" t="s">
        <v>1077</v>
      </c>
      <c r="I41" s="2284" t="s">
        <v>1053</v>
      </c>
      <c r="J41" s="2284" t="s">
        <v>1055</v>
      </c>
      <c r="K41" s="2284" t="s">
        <v>1049</v>
      </c>
      <c r="L41" s="2284">
        <v>1</v>
      </c>
      <c r="M41" s="2284">
        <v>292.45999999999998</v>
      </c>
      <c r="N41" s="2284">
        <v>158.76</v>
      </c>
      <c r="O41" s="2284">
        <v>5428</v>
      </c>
    </row>
    <row r="42" spans="1:15">
      <c r="A42" s="2285">
        <v>45545.333831018499</v>
      </c>
      <c r="B42" s="2284" t="s">
        <v>1046</v>
      </c>
      <c r="C42" s="2284" t="s">
        <v>1046</v>
      </c>
      <c r="D42" s="2284" t="s">
        <v>1047</v>
      </c>
      <c r="E42" s="2284" t="s">
        <v>1046</v>
      </c>
      <c r="F42" s="2284" t="s">
        <v>1046</v>
      </c>
      <c r="G42" s="2284">
        <v>-2</v>
      </c>
      <c r="H42" s="2284" t="s">
        <v>1078</v>
      </c>
      <c r="I42" s="2284" t="s">
        <v>1053</v>
      </c>
      <c r="J42" s="2284" t="s">
        <v>1055</v>
      </c>
      <c r="K42" s="2284" t="s">
        <v>1049</v>
      </c>
      <c r="L42" s="2284">
        <v>1</v>
      </c>
      <c r="M42" s="2284">
        <v>94.42</v>
      </c>
      <c r="N42" s="2284">
        <v>55.04</v>
      </c>
      <c r="O42" s="2284">
        <v>5829</v>
      </c>
    </row>
    <row r="43" spans="1:15">
      <c r="A43" s="2285">
        <v>45545.333831018499</v>
      </c>
      <c r="B43" s="2284" t="s">
        <v>1046</v>
      </c>
      <c r="C43" s="2284" t="s">
        <v>1046</v>
      </c>
      <c r="D43" s="2284" t="s">
        <v>1047</v>
      </c>
      <c r="E43" s="2284" t="s">
        <v>1046</v>
      </c>
      <c r="F43" s="2284" t="s">
        <v>1046</v>
      </c>
      <c r="G43" s="2284">
        <v>1</v>
      </c>
      <c r="H43" s="2284">
        <v>103</v>
      </c>
      <c r="I43" s="2284" t="s">
        <v>1053</v>
      </c>
      <c r="J43" s="2284" t="s">
        <v>229</v>
      </c>
      <c r="K43" s="2284" t="s">
        <v>1049</v>
      </c>
      <c r="L43" s="2284">
        <v>1</v>
      </c>
      <c r="M43" s="2284">
        <v>46.12</v>
      </c>
      <c r="N43" s="2284">
        <v>295.56</v>
      </c>
      <c r="O43" s="2284">
        <v>64084</v>
      </c>
    </row>
    <row r="44" spans="1:15">
      <c r="M44" s="2284">
        <f>SUM(M2:M43)</f>
        <v>27705.939999999988</v>
      </c>
      <c r="N44" s="2284">
        <f>SUM(N2:N43)</f>
        <v>137000</v>
      </c>
      <c r="O44" s="2284">
        <f>ROUND(N44/M44*10000,0)</f>
        <v>49448</v>
      </c>
    </row>
    <row r="46" spans="1:15">
      <c r="L46" s="2284" t="s">
        <v>470</v>
      </c>
      <c r="M46" s="2284" t="s">
        <v>471</v>
      </c>
    </row>
    <row r="47" spans="1:15">
      <c r="K47" s="2284" t="s">
        <v>466</v>
      </c>
      <c r="L47" s="2284">
        <f>M44-M47</f>
        <v>21015.979999999989</v>
      </c>
      <c r="M47" s="2284">
        <f>M3+M4+M5+M7+M8+M9+M11+M12+M13+M14+M16+M19+M20+M21+M22+M23+M25+M26+M28+M29+M31+M38+M39+M40+M41+M42</f>
        <v>6689.9600000000009</v>
      </c>
    </row>
    <row r="48" spans="1:15">
      <c r="K48" s="2284" t="s">
        <v>1050</v>
      </c>
      <c r="L48" s="2284">
        <f>ROUND(L47/M44,2)</f>
        <v>0.76</v>
      </c>
      <c r="M48" s="2284">
        <f>ROUND(M47/M44,2)</f>
        <v>0.24</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filterMode="1"/>
  <dimension ref="A1:W3455"/>
  <sheetViews>
    <sheetView workbookViewId="0">
      <pane xSplit="2" ySplit="1" topLeftCell="K2" activePane="bottomRight" state="frozen"/>
      <selection pane="topRight"/>
      <selection pane="bottomLeft"/>
      <selection pane="bottomRight" activeCell="P9" sqref="P9:P48"/>
    </sheetView>
  </sheetViews>
  <sheetFormatPr defaultColWidth="8.875" defaultRowHeight="13.5"/>
  <cols>
    <col min="1" max="8" width="8.875" style="2238"/>
    <col min="9" max="9" width="12.5" style="2238" customWidth="1"/>
    <col min="10" max="11" width="11.75" style="2238" customWidth="1"/>
    <col min="12" max="13" width="8.875" style="2238"/>
    <col min="14" max="14" width="8.875" style="2237"/>
    <col min="15" max="15" width="8.875" style="2238"/>
    <col min="16" max="16" width="15.5" style="2238" customWidth="1"/>
    <col min="17" max="17" width="53.875" style="2238" customWidth="1"/>
    <col min="18" max="16384" width="8.875" style="2238"/>
  </cols>
  <sheetData>
    <row r="1" spans="1:23" ht="48">
      <c r="A1" s="2239" t="s">
        <v>1153</v>
      </c>
      <c r="B1" s="2239" t="s">
        <v>803</v>
      </c>
      <c r="C1" s="2239" t="s">
        <v>1154</v>
      </c>
      <c r="D1" s="2239" t="s">
        <v>1155</v>
      </c>
      <c r="E1" s="2239" t="s">
        <v>1156</v>
      </c>
      <c r="F1" s="2239" t="s">
        <v>1157</v>
      </c>
      <c r="G1" s="2239" t="s">
        <v>445</v>
      </c>
      <c r="H1" s="2239" t="s">
        <v>1158</v>
      </c>
      <c r="I1" s="2239" t="s">
        <v>1159</v>
      </c>
      <c r="J1" s="2251" t="s">
        <v>1160</v>
      </c>
      <c r="K1" s="2239" t="s">
        <v>1161</v>
      </c>
      <c r="L1" s="2239" t="s">
        <v>1162</v>
      </c>
      <c r="M1" s="2244" t="s">
        <v>1163</v>
      </c>
      <c r="N1" s="2239" t="s">
        <v>1164</v>
      </c>
      <c r="O1" s="2239" t="s">
        <v>1165</v>
      </c>
      <c r="P1" s="2252" t="s">
        <v>1166</v>
      </c>
      <c r="Q1" s="2239" t="s">
        <v>1167</v>
      </c>
      <c r="R1" s="2239" t="s">
        <v>1168</v>
      </c>
      <c r="S1" s="2239" t="s">
        <v>1169</v>
      </c>
      <c r="T1" s="2239" t="s">
        <v>1170</v>
      </c>
      <c r="U1" s="2239" t="s">
        <v>1171</v>
      </c>
      <c r="V1" s="2239" t="s">
        <v>1172</v>
      </c>
      <c r="W1" s="2239" t="s">
        <v>1049</v>
      </c>
    </row>
    <row r="2" spans="1:23" ht="60" hidden="1" customHeight="1">
      <c r="A2" s="2239">
        <v>515</v>
      </c>
      <c r="B2" s="2239" t="s">
        <v>1173</v>
      </c>
      <c r="C2" s="2240" t="s">
        <v>1174</v>
      </c>
      <c r="D2" s="2240" t="s">
        <v>1175</v>
      </c>
      <c r="E2" s="2240" t="s">
        <v>1176</v>
      </c>
      <c r="F2" s="2240" t="s">
        <v>1177</v>
      </c>
      <c r="G2" s="2239" t="s">
        <v>1178</v>
      </c>
      <c r="H2" s="2240"/>
      <c r="I2" s="2240">
        <v>11420.48</v>
      </c>
      <c r="J2" s="2253">
        <v>11420.48</v>
      </c>
      <c r="K2" s="2240"/>
      <c r="L2" s="2240">
        <v>43794.81</v>
      </c>
      <c r="M2" s="2254">
        <v>38348</v>
      </c>
      <c r="N2" s="2240">
        <v>38347.608857070802</v>
      </c>
      <c r="O2" s="2240" t="s">
        <v>1179</v>
      </c>
      <c r="P2" s="2255">
        <v>44958</v>
      </c>
      <c r="Q2" s="2239" t="s">
        <v>1180</v>
      </c>
      <c r="R2" s="2240" t="s">
        <v>1181</v>
      </c>
      <c r="S2" s="2240"/>
      <c r="T2" s="2260">
        <v>0</v>
      </c>
      <c r="U2" s="2240"/>
      <c r="V2" s="2275" t="e">
        <v>#DIV/0!</v>
      </c>
      <c r="W2" s="2240" t="s">
        <v>1182</v>
      </c>
    </row>
    <row r="3" spans="1:23" s="2236" customFormat="1" ht="60" hidden="1" customHeight="1">
      <c r="A3" s="2241">
        <v>519</v>
      </c>
      <c r="B3" s="2241" t="s">
        <v>1183</v>
      </c>
      <c r="C3" s="2241" t="s">
        <v>1184</v>
      </c>
      <c r="D3" s="2242" t="s">
        <v>1185</v>
      </c>
      <c r="E3" s="2242" t="s">
        <v>1186</v>
      </c>
      <c r="F3" s="2241" t="s">
        <v>1187</v>
      </c>
      <c r="G3" s="2241" t="s">
        <v>1188</v>
      </c>
      <c r="H3" s="2242">
        <v>13052.13</v>
      </c>
      <c r="I3" s="2256">
        <v>85161.1</v>
      </c>
      <c r="J3" s="2256">
        <v>56789.34</v>
      </c>
      <c r="K3" s="2242">
        <v>28371.759999999998</v>
      </c>
      <c r="L3" s="2242">
        <v>281000</v>
      </c>
      <c r="M3" s="2257">
        <v>32996</v>
      </c>
      <c r="N3" s="2242">
        <v>49481.117406893602</v>
      </c>
      <c r="O3" s="2242" t="s">
        <v>1189</v>
      </c>
      <c r="P3" s="2258" t="s">
        <v>1190</v>
      </c>
      <c r="Q3" s="2241" t="s">
        <v>1191</v>
      </c>
      <c r="R3" s="2242" t="s">
        <v>1192</v>
      </c>
      <c r="S3" s="2242"/>
      <c r="T3" s="2257">
        <v>0</v>
      </c>
      <c r="U3" s="2242" t="s">
        <v>1193</v>
      </c>
      <c r="V3" s="2276" t="e">
        <v>#DIV/0!</v>
      </c>
      <c r="W3" s="2242" t="s">
        <v>1194</v>
      </c>
    </row>
    <row r="4" spans="1:23" ht="60" hidden="1" customHeight="1">
      <c r="A4" s="2239">
        <v>524</v>
      </c>
      <c r="B4" s="2239" t="s">
        <v>1195</v>
      </c>
      <c r="C4" s="2239" t="s">
        <v>1196</v>
      </c>
      <c r="D4" s="2240" t="s">
        <v>1185</v>
      </c>
      <c r="E4" s="2240" t="s">
        <v>1197</v>
      </c>
      <c r="F4" s="2239" t="s">
        <v>1198</v>
      </c>
      <c r="G4" s="2239" t="s">
        <v>229</v>
      </c>
      <c r="H4" s="2240"/>
      <c r="I4" s="2240">
        <v>1665.1</v>
      </c>
      <c r="J4" s="2253">
        <v>1665.1</v>
      </c>
      <c r="K4" s="2240"/>
      <c r="L4" s="2240">
        <v>5516.6790000000001</v>
      </c>
      <c r="M4" s="2254">
        <v>33131</v>
      </c>
      <c r="N4" s="2239">
        <v>33131.217344303601</v>
      </c>
      <c r="O4" s="2239" t="s">
        <v>1199</v>
      </c>
      <c r="P4" s="2259">
        <v>44986</v>
      </c>
      <c r="Q4" s="2239" t="s">
        <v>1200</v>
      </c>
      <c r="R4" s="2240" t="s">
        <v>1201</v>
      </c>
      <c r="S4" s="2240">
        <v>6050.97</v>
      </c>
      <c r="T4" s="2260">
        <v>36339.979580806001</v>
      </c>
      <c r="U4" s="2240"/>
      <c r="V4" s="2275">
        <v>0.91170159495089198</v>
      </c>
      <c r="W4" s="2240" t="s">
        <v>1202</v>
      </c>
    </row>
    <row r="5" spans="1:23" ht="60" hidden="1" customHeight="1">
      <c r="A5" s="2239">
        <v>535</v>
      </c>
      <c r="B5" s="2239" t="s">
        <v>1203</v>
      </c>
      <c r="C5" s="2240" t="s">
        <v>1204</v>
      </c>
      <c r="D5" s="2240" t="s">
        <v>1205</v>
      </c>
      <c r="E5" s="2240" t="s">
        <v>1206</v>
      </c>
      <c r="F5" s="2239" t="s">
        <v>1207</v>
      </c>
      <c r="G5" s="2239" t="s">
        <v>229</v>
      </c>
      <c r="H5" s="2240">
        <v>977.33</v>
      </c>
      <c r="I5" s="2240">
        <v>5258.2</v>
      </c>
      <c r="J5" s="2253">
        <v>5066.3</v>
      </c>
      <c r="K5" s="2240">
        <v>191.9</v>
      </c>
      <c r="L5" s="2240">
        <v>12603.776</v>
      </c>
      <c r="M5" s="2260">
        <v>23970</v>
      </c>
      <c r="N5" s="2240">
        <v>24877.6740422004</v>
      </c>
      <c r="O5" s="2240" t="s">
        <v>1208</v>
      </c>
      <c r="P5" s="2261">
        <v>45072</v>
      </c>
      <c r="Q5" s="2239" t="s">
        <v>1209</v>
      </c>
      <c r="R5" s="2240" t="s">
        <v>1210</v>
      </c>
      <c r="S5" s="2240">
        <v>12599.68</v>
      </c>
      <c r="T5" s="2260">
        <v>24869.5892465902</v>
      </c>
      <c r="U5" s="2240"/>
      <c r="V5" s="2275">
        <v>1.0003250876212699</v>
      </c>
      <c r="W5" s="2240" t="s">
        <v>1202</v>
      </c>
    </row>
    <row r="6" spans="1:23" ht="60" hidden="1" customHeight="1">
      <c r="A6" s="2239">
        <v>536</v>
      </c>
      <c r="B6" s="2239" t="s">
        <v>1211</v>
      </c>
      <c r="C6" s="2239" t="s">
        <v>1211</v>
      </c>
      <c r="D6" s="2240" t="s">
        <v>1205</v>
      </c>
      <c r="E6" s="2240" t="s">
        <v>1212</v>
      </c>
      <c r="F6" s="2239" t="s">
        <v>1213</v>
      </c>
      <c r="G6" s="2239" t="s">
        <v>229</v>
      </c>
      <c r="H6" s="2240"/>
      <c r="I6" s="2240">
        <v>1055.3800000000001</v>
      </c>
      <c r="J6" s="2253">
        <v>1055.3800000000001</v>
      </c>
      <c r="K6" s="2240"/>
      <c r="L6" s="2240">
        <v>6101.2779</v>
      </c>
      <c r="M6" s="2254">
        <v>57811</v>
      </c>
      <c r="N6" s="2240">
        <v>57811.195019803301</v>
      </c>
      <c r="O6" s="2239" t="s">
        <v>1214</v>
      </c>
      <c r="P6" s="2261">
        <v>45072</v>
      </c>
      <c r="Q6" s="2239" t="s">
        <v>1215</v>
      </c>
      <c r="R6" s="2240" t="s">
        <v>1216</v>
      </c>
      <c r="S6" s="2240">
        <v>6130.3968999999997</v>
      </c>
      <c r="T6" s="2260">
        <v>58087.105118535503</v>
      </c>
      <c r="U6" s="2240"/>
      <c r="V6" s="2275">
        <v>0.99525006284666495</v>
      </c>
      <c r="W6" s="2240" t="s">
        <v>1202</v>
      </c>
    </row>
    <row r="7" spans="1:23" ht="60" hidden="1" customHeight="1">
      <c r="A7" s="2239">
        <v>537</v>
      </c>
      <c r="B7" s="2240" t="s">
        <v>1217</v>
      </c>
      <c r="C7" s="2239" t="s">
        <v>1218</v>
      </c>
      <c r="D7" s="2240" t="s">
        <v>1185</v>
      </c>
      <c r="E7" s="2240" t="s">
        <v>1219</v>
      </c>
      <c r="F7" s="2239" t="s">
        <v>1220</v>
      </c>
      <c r="G7" s="2239" t="s">
        <v>1221</v>
      </c>
      <c r="H7" s="2240"/>
      <c r="I7" s="2240">
        <v>37639.69</v>
      </c>
      <c r="J7" s="2253">
        <v>22888.36</v>
      </c>
      <c r="K7" s="2240">
        <v>14751.33</v>
      </c>
      <c r="L7" s="2240">
        <v>114800</v>
      </c>
      <c r="M7" s="2254">
        <v>30500</v>
      </c>
      <c r="N7" s="2245">
        <v>50156.498761816001</v>
      </c>
      <c r="O7" s="2239" t="s">
        <v>1222</v>
      </c>
      <c r="P7" s="2261" t="s">
        <v>1190</v>
      </c>
      <c r="Q7" s="2239" t="s">
        <v>1223</v>
      </c>
      <c r="R7" s="2240" t="s">
        <v>1224</v>
      </c>
      <c r="S7" s="2240"/>
      <c r="T7" s="2260">
        <v>0</v>
      </c>
      <c r="U7" s="2240"/>
      <c r="V7" s="2275" t="e">
        <v>#DIV/0!</v>
      </c>
      <c r="W7" s="2240" t="s">
        <v>1225</v>
      </c>
    </row>
    <row r="8" spans="1:23" ht="60" hidden="1" customHeight="1">
      <c r="A8" s="2239">
        <v>538</v>
      </c>
      <c r="B8" s="2239" t="s">
        <v>1226</v>
      </c>
      <c r="C8" s="2240" t="s">
        <v>1227</v>
      </c>
      <c r="D8" s="2240" t="s">
        <v>1185</v>
      </c>
      <c r="E8" s="2240" t="s">
        <v>1219</v>
      </c>
      <c r="F8" s="2240" t="s">
        <v>1228</v>
      </c>
      <c r="G8" s="2239" t="s">
        <v>1229</v>
      </c>
      <c r="H8" s="2243">
        <v>35886.519999999997</v>
      </c>
      <c r="I8" s="2240">
        <v>64978.17</v>
      </c>
      <c r="J8" s="2253">
        <v>50193.57</v>
      </c>
      <c r="K8" s="2253">
        <v>14784.6</v>
      </c>
      <c r="L8" s="2240">
        <v>196317</v>
      </c>
      <c r="M8" s="2254">
        <v>30213</v>
      </c>
      <c r="N8" s="2240">
        <v>39111.9818733754</v>
      </c>
      <c r="O8" s="2240" t="s">
        <v>1230</v>
      </c>
      <c r="P8" s="2259">
        <v>45047</v>
      </c>
      <c r="Q8" s="2239" t="s">
        <v>1231</v>
      </c>
      <c r="R8" s="2240" t="s">
        <v>1232</v>
      </c>
      <c r="S8" s="2240"/>
      <c r="T8" s="2260">
        <v>0</v>
      </c>
      <c r="U8" s="2239" t="s">
        <v>1233</v>
      </c>
      <c r="V8" s="2277" t="e">
        <v>#DIV/0!</v>
      </c>
      <c r="W8" s="2240" t="s">
        <v>1194</v>
      </c>
    </row>
    <row r="9" spans="1:23" s="2237" customFormat="1" ht="60" customHeight="1">
      <c r="A9" s="2244">
        <v>547</v>
      </c>
      <c r="B9" s="2244" t="s">
        <v>1234</v>
      </c>
      <c r="C9" s="2244" t="s">
        <v>1235</v>
      </c>
      <c r="D9" s="2245" t="s">
        <v>1185</v>
      </c>
      <c r="E9" s="2245" t="s">
        <v>1236</v>
      </c>
      <c r="F9" s="2245" t="s">
        <v>1237</v>
      </c>
      <c r="G9" s="2244" t="s">
        <v>1238</v>
      </c>
      <c r="H9" s="2245"/>
      <c r="I9" s="2245">
        <v>10575.42</v>
      </c>
      <c r="J9" s="2262">
        <v>8879.14</v>
      </c>
      <c r="K9" s="2245">
        <v>1696.28</v>
      </c>
      <c r="L9" s="2245">
        <v>46940.2</v>
      </c>
      <c r="M9" s="2254">
        <v>44386</v>
      </c>
      <c r="N9" s="2240">
        <v>52865.705462466001</v>
      </c>
      <c r="O9" s="2245" t="s">
        <v>1239</v>
      </c>
      <c r="P9" s="2263">
        <v>45078</v>
      </c>
      <c r="Q9" s="2244" t="s">
        <v>1240</v>
      </c>
      <c r="R9" s="2245" t="s">
        <v>1241</v>
      </c>
      <c r="S9" s="2245"/>
      <c r="T9" s="2254">
        <v>0</v>
      </c>
      <c r="U9" s="2245"/>
      <c r="V9" s="2278" t="e">
        <v>#DIV/0!</v>
      </c>
      <c r="W9" s="2245" t="s">
        <v>1242</v>
      </c>
    </row>
    <row r="10" spans="1:23" ht="60" hidden="1" customHeight="1">
      <c r="A10" s="2246">
        <v>5360.09</v>
      </c>
      <c r="B10" s="2247" t="s">
        <v>1243</v>
      </c>
      <c r="C10" s="2247" t="s">
        <v>1244</v>
      </c>
      <c r="D10" s="2247" t="s">
        <v>1185</v>
      </c>
      <c r="E10" s="2248" t="s">
        <v>1245</v>
      </c>
      <c r="F10" s="2248" t="s">
        <v>1246</v>
      </c>
      <c r="G10" s="2247" t="s">
        <v>229</v>
      </c>
      <c r="H10" s="2248"/>
      <c r="I10" s="2248">
        <v>1062.74</v>
      </c>
      <c r="J10" s="2264">
        <v>1062.74</v>
      </c>
      <c r="K10" s="2248"/>
      <c r="L10" s="2248">
        <v>3029.6</v>
      </c>
      <c r="M10" s="2254">
        <v>28507</v>
      </c>
      <c r="N10" s="2240">
        <v>28507.443024634402</v>
      </c>
      <c r="O10" s="2247" t="s">
        <v>1247</v>
      </c>
      <c r="P10" s="2265">
        <v>45139</v>
      </c>
      <c r="Q10" s="2247" t="s">
        <v>1248</v>
      </c>
      <c r="R10" s="2248" t="s">
        <v>1249</v>
      </c>
      <c r="S10" s="2248">
        <v>3462</v>
      </c>
      <c r="T10" s="2279">
        <v>32576.171029602701</v>
      </c>
      <c r="U10" s="2248"/>
      <c r="V10" s="2280">
        <v>0.87510109763142696</v>
      </c>
      <c r="W10" s="2248" t="s">
        <v>1202</v>
      </c>
    </row>
    <row r="11" spans="1:23" ht="60" hidden="1" customHeight="1">
      <c r="A11" s="2239">
        <v>570</v>
      </c>
      <c r="B11" s="2240" t="s">
        <v>1250</v>
      </c>
      <c r="C11" s="2239" t="s">
        <v>1251</v>
      </c>
      <c r="D11" s="2240" t="s">
        <v>1185</v>
      </c>
      <c r="E11" s="2240" t="s">
        <v>1252</v>
      </c>
      <c r="F11" s="2240" t="s">
        <v>1208</v>
      </c>
      <c r="G11" s="2239" t="s">
        <v>229</v>
      </c>
      <c r="H11" s="2240"/>
      <c r="I11" s="2240">
        <v>2240.2199999999998</v>
      </c>
      <c r="J11" s="2253">
        <v>2240.2199999999998</v>
      </c>
      <c r="K11" s="2240"/>
      <c r="L11" s="2240">
        <v>6973.8</v>
      </c>
      <c r="M11" s="2254">
        <v>31130</v>
      </c>
      <c r="N11" s="2245">
        <v>31129.978305702101</v>
      </c>
      <c r="O11" s="2239" t="s">
        <v>1253</v>
      </c>
      <c r="P11" s="2261">
        <v>45174</v>
      </c>
      <c r="Q11" s="2239" t="s">
        <v>1254</v>
      </c>
      <c r="R11" s="2240"/>
      <c r="S11" s="2240">
        <v>10748.61</v>
      </c>
      <c r="T11" s="2260">
        <v>47980.153734901003</v>
      </c>
      <c r="U11" s="2240"/>
      <c r="V11" s="2275">
        <v>0.64880947396919197</v>
      </c>
      <c r="W11" s="2248" t="s">
        <v>1202</v>
      </c>
    </row>
    <row r="12" spans="1:23" ht="60" hidden="1" customHeight="1">
      <c r="A12" s="2239">
        <v>573</v>
      </c>
      <c r="B12" s="2239" t="s">
        <v>1255</v>
      </c>
      <c r="C12" s="2239" t="s">
        <v>1256</v>
      </c>
      <c r="D12" s="2240" t="s">
        <v>1185</v>
      </c>
      <c r="E12" s="2240" t="s">
        <v>1252</v>
      </c>
      <c r="F12" s="2239" t="s">
        <v>1257</v>
      </c>
      <c r="G12" s="2239" t="s">
        <v>229</v>
      </c>
      <c r="H12" s="2240"/>
      <c r="I12" s="2253">
        <v>17065.64</v>
      </c>
      <c r="J12" s="2253">
        <v>10965.63</v>
      </c>
      <c r="K12" s="2240">
        <v>6100.01</v>
      </c>
      <c r="L12" s="2240">
        <v>49376.334179999998</v>
      </c>
      <c r="M12" s="2254">
        <v>28933</v>
      </c>
      <c r="N12" s="2240">
        <v>45028.269401758</v>
      </c>
      <c r="O12" s="2240" t="s">
        <v>1258</v>
      </c>
      <c r="P12" s="2259">
        <v>45170</v>
      </c>
      <c r="Q12" s="2240" t="s">
        <v>1259</v>
      </c>
      <c r="R12" s="2240" t="s">
        <v>1181</v>
      </c>
      <c r="S12" s="2240">
        <v>51799.726999999999</v>
      </c>
      <c r="T12" s="2260">
        <v>47238.2589965191</v>
      </c>
      <c r="U12" s="2240"/>
      <c r="V12" s="2277">
        <v>0.95321610826250103</v>
      </c>
      <c r="W12" s="2240" t="s">
        <v>1260</v>
      </c>
    </row>
    <row r="13" spans="1:23" ht="60" hidden="1" customHeight="1">
      <c r="A13" s="2239">
        <v>580</v>
      </c>
      <c r="B13" s="2239" t="s">
        <v>1261</v>
      </c>
      <c r="C13" s="2240" t="s">
        <v>1262</v>
      </c>
      <c r="D13" s="2240" t="s">
        <v>1185</v>
      </c>
      <c r="E13" s="2240" t="s">
        <v>1263</v>
      </c>
      <c r="F13" s="2240" t="s">
        <v>1264</v>
      </c>
      <c r="G13" s="2239" t="s">
        <v>1265</v>
      </c>
      <c r="H13" s="2240"/>
      <c r="I13" s="2253">
        <v>26969.93</v>
      </c>
      <c r="J13" s="2253">
        <v>17023.25</v>
      </c>
      <c r="K13" s="2240">
        <v>9946.68</v>
      </c>
      <c r="L13" s="2240">
        <v>68966.4856</v>
      </c>
      <c r="M13" s="2254">
        <v>25572</v>
      </c>
      <c r="N13" s="2240">
        <v>40513.1133009267</v>
      </c>
      <c r="O13" s="2240" t="s">
        <v>1258</v>
      </c>
      <c r="P13" s="2261">
        <v>45208</v>
      </c>
      <c r="Q13" s="2239" t="s">
        <v>1266</v>
      </c>
      <c r="R13" s="2240" t="s">
        <v>1267</v>
      </c>
      <c r="S13" s="2240"/>
      <c r="T13" s="2260">
        <v>0</v>
      </c>
      <c r="U13" s="2240" t="s">
        <v>1193</v>
      </c>
      <c r="V13" s="2275" t="e">
        <v>#DIV/0!</v>
      </c>
      <c r="W13" s="2240" t="s">
        <v>1268</v>
      </c>
    </row>
    <row r="14" spans="1:23" ht="60" hidden="1" customHeight="1">
      <c r="A14" s="2239">
        <v>595</v>
      </c>
      <c r="B14" s="2239" t="s">
        <v>1269</v>
      </c>
      <c r="C14" s="2239" t="s">
        <v>1270</v>
      </c>
      <c r="D14" s="2240" t="s">
        <v>1271</v>
      </c>
      <c r="E14" s="2240" t="s">
        <v>1272</v>
      </c>
      <c r="F14" s="2240" t="s">
        <v>1273</v>
      </c>
      <c r="G14" s="2239" t="s">
        <v>1274</v>
      </c>
      <c r="H14" s="2240"/>
      <c r="I14" s="2240">
        <v>10758.33</v>
      </c>
      <c r="J14" s="2253">
        <v>10758.33</v>
      </c>
      <c r="K14" s="2240"/>
      <c r="L14" s="2240">
        <v>35999.89</v>
      </c>
      <c r="M14" s="2245">
        <v>33462</v>
      </c>
      <c r="N14" s="2239">
        <v>33462.340344644603</v>
      </c>
      <c r="O14" s="2240" t="s">
        <v>124</v>
      </c>
      <c r="P14" s="2261">
        <v>45287</v>
      </c>
      <c r="Q14" s="2239" t="s">
        <v>1275</v>
      </c>
      <c r="R14" s="2240" t="s">
        <v>1276</v>
      </c>
      <c r="S14" s="2240">
        <v>36889.19339919</v>
      </c>
      <c r="T14" s="2260">
        <v>34288.958787460499</v>
      </c>
      <c r="U14" s="2240"/>
      <c r="V14" s="2275">
        <v>0.97589257673469398</v>
      </c>
      <c r="W14" s="2240" t="s">
        <v>1260</v>
      </c>
    </row>
    <row r="15" spans="1:23" ht="60" hidden="1" customHeight="1">
      <c r="A15" s="2239">
        <v>596</v>
      </c>
      <c r="B15" s="2239" t="s">
        <v>1277</v>
      </c>
      <c r="C15" s="2239" t="s">
        <v>1278</v>
      </c>
      <c r="D15" s="2240" t="s">
        <v>1185</v>
      </c>
      <c r="E15" s="2240" t="s">
        <v>1279</v>
      </c>
      <c r="F15" s="2240" t="s">
        <v>124</v>
      </c>
      <c r="G15" s="2239" t="s">
        <v>229</v>
      </c>
      <c r="H15" s="2240"/>
      <c r="I15" s="2240">
        <v>339.71</v>
      </c>
      <c r="J15" s="2253">
        <v>339.71</v>
      </c>
      <c r="K15" s="2240"/>
      <c r="L15" s="2240">
        <v>2816.2</v>
      </c>
      <c r="M15" s="2245">
        <v>82900</v>
      </c>
      <c r="N15" s="2239">
        <v>82900.120691177799</v>
      </c>
      <c r="O15" s="2239" t="s">
        <v>1280</v>
      </c>
      <c r="P15" s="2261">
        <v>45295</v>
      </c>
      <c r="Q15" s="2239" t="s">
        <v>1281</v>
      </c>
      <c r="R15" s="2240" t="s">
        <v>1282</v>
      </c>
      <c r="S15" s="2240">
        <v>1323.0686000000001</v>
      </c>
      <c r="T15" s="2260">
        <v>38947.001854522998</v>
      </c>
      <c r="U15" s="2240"/>
      <c r="V15" s="2275">
        <v>2.1285366457944801</v>
      </c>
      <c r="W15" s="2240" t="s">
        <v>1202</v>
      </c>
    </row>
    <row r="16" spans="1:23" ht="60" hidden="1" customHeight="1">
      <c r="A16" s="2239">
        <v>600</v>
      </c>
      <c r="B16" s="2239" t="s">
        <v>1283</v>
      </c>
      <c r="C16" s="2239" t="s">
        <v>1284</v>
      </c>
      <c r="D16" s="2240" t="s">
        <v>1271</v>
      </c>
      <c r="E16" s="2240" t="s">
        <v>1285</v>
      </c>
      <c r="F16" s="2239" t="s">
        <v>1286</v>
      </c>
      <c r="G16" s="2239" t="s">
        <v>229</v>
      </c>
      <c r="H16" s="2240"/>
      <c r="I16" s="2240">
        <v>106.39</v>
      </c>
      <c r="J16" s="2253">
        <v>106.39</v>
      </c>
      <c r="K16" s="2240"/>
      <c r="L16" s="2240">
        <v>1609.0308600000001</v>
      </c>
      <c r="M16" s="2254">
        <v>151239</v>
      </c>
      <c r="N16" s="2247">
        <v>151238.91907134099</v>
      </c>
      <c r="O16" s="2240" t="s">
        <v>1208</v>
      </c>
      <c r="P16" s="2261">
        <v>45306</v>
      </c>
      <c r="Q16" s="2239" t="s">
        <v>1287</v>
      </c>
      <c r="R16" s="2240" t="s">
        <v>1232</v>
      </c>
      <c r="S16" s="2240">
        <v>644.32979999999998</v>
      </c>
      <c r="T16" s="2260">
        <v>60563.004041733198</v>
      </c>
      <c r="U16" s="2240"/>
      <c r="V16" s="2275">
        <v>2.4972162703013301</v>
      </c>
      <c r="W16" s="2240" t="s">
        <v>1202</v>
      </c>
    </row>
    <row r="17" spans="1:23" ht="60" hidden="1" customHeight="1">
      <c r="A17" s="2239">
        <v>604</v>
      </c>
      <c r="B17" s="2239" t="s">
        <v>1288</v>
      </c>
      <c r="C17" s="2240" t="s">
        <v>1289</v>
      </c>
      <c r="D17" s="2240" t="s">
        <v>1185</v>
      </c>
      <c r="E17" s="2240" t="s">
        <v>1290</v>
      </c>
      <c r="F17" s="2239" t="s">
        <v>1291</v>
      </c>
      <c r="G17" s="2239" t="s">
        <v>229</v>
      </c>
      <c r="H17" s="2240">
        <v>30704.67</v>
      </c>
      <c r="I17" s="2253">
        <v>49462.65</v>
      </c>
      <c r="J17" s="2253">
        <v>36955.57</v>
      </c>
      <c r="K17" s="2240">
        <v>12507.08</v>
      </c>
      <c r="L17" s="2240">
        <v>84200</v>
      </c>
      <c r="M17" s="2254">
        <v>17023</v>
      </c>
      <c r="N17" s="2240">
        <v>22784.1161697682</v>
      </c>
      <c r="O17" s="2240" t="s">
        <v>1292</v>
      </c>
      <c r="P17" s="2261" t="s">
        <v>1293</v>
      </c>
      <c r="Q17" s="2239" t="s">
        <v>1294</v>
      </c>
      <c r="R17" s="2240" t="s">
        <v>1295</v>
      </c>
      <c r="S17" s="2240"/>
      <c r="T17" s="2260">
        <v>0</v>
      </c>
      <c r="U17" s="2240"/>
      <c r="V17" s="2275" t="e">
        <v>#DIV/0!</v>
      </c>
      <c r="W17" s="2240" t="s">
        <v>1225</v>
      </c>
    </row>
    <row r="18" spans="1:23" s="2237" customFormat="1" ht="60" customHeight="1">
      <c r="A18" s="2244">
        <v>605</v>
      </c>
      <c r="B18" s="2244" t="s">
        <v>1296</v>
      </c>
      <c r="C18" s="2244" t="s">
        <v>1297</v>
      </c>
      <c r="D18" s="2245" t="s">
        <v>1271</v>
      </c>
      <c r="E18" s="2245" t="s">
        <v>1272</v>
      </c>
      <c r="F18" s="2245" t="s">
        <v>1273</v>
      </c>
      <c r="G18" s="2244" t="s">
        <v>1298</v>
      </c>
      <c r="H18" s="2245"/>
      <c r="I18" s="2245">
        <v>15106.53</v>
      </c>
      <c r="J18" s="2262">
        <v>15106.53</v>
      </c>
      <c r="K18" s="2245"/>
      <c r="L18" s="2245">
        <v>64349.75</v>
      </c>
      <c r="M18" s="2254">
        <v>42597</v>
      </c>
      <c r="N18" s="2240">
        <v>42597.307257192697</v>
      </c>
      <c r="O18" s="2245" t="s">
        <v>124</v>
      </c>
      <c r="P18" s="2263">
        <v>45292</v>
      </c>
      <c r="Q18" s="2244" t="s">
        <v>1299</v>
      </c>
      <c r="R18" s="2245" t="s">
        <v>1276</v>
      </c>
      <c r="S18" s="2245">
        <v>78939.879110649999</v>
      </c>
      <c r="T18" s="2254">
        <v>52255.467741863897</v>
      </c>
      <c r="U18" s="2245"/>
      <c r="V18" s="2278">
        <v>0.81517416450310198</v>
      </c>
      <c r="W18" s="2245" t="s">
        <v>1260</v>
      </c>
    </row>
    <row r="19" spans="1:23" ht="60" hidden="1" customHeight="1">
      <c r="A19" s="2239">
        <v>606</v>
      </c>
      <c r="B19" s="2240" t="s">
        <v>1300</v>
      </c>
      <c r="C19" s="2240" t="s">
        <v>1301</v>
      </c>
      <c r="D19" s="2240" t="s">
        <v>1302</v>
      </c>
      <c r="E19" s="2240" t="s">
        <v>1303</v>
      </c>
      <c r="F19" s="2239" t="s">
        <v>1304</v>
      </c>
      <c r="G19" s="2239" t="s">
        <v>1305</v>
      </c>
      <c r="H19" s="2249"/>
      <c r="I19" s="2240">
        <v>1748.02</v>
      </c>
      <c r="J19" s="2253">
        <v>1748.02</v>
      </c>
      <c r="K19" s="2240"/>
      <c r="L19" s="2240">
        <v>3309</v>
      </c>
      <c r="M19" s="2260">
        <v>18930</v>
      </c>
      <c r="N19" s="2240">
        <v>18929.989359389499</v>
      </c>
      <c r="O19" s="2239" t="s">
        <v>1306</v>
      </c>
      <c r="P19" s="2255">
        <v>45292</v>
      </c>
      <c r="Q19" s="2240" t="s">
        <v>1307</v>
      </c>
      <c r="R19" s="2240" t="s">
        <v>1308</v>
      </c>
      <c r="S19" s="2240">
        <v>4726.1216999999997</v>
      </c>
      <c r="T19" s="2260">
        <v>27037.000148739698</v>
      </c>
      <c r="U19" s="2240"/>
      <c r="V19" s="2275">
        <v>0.70015124663421202</v>
      </c>
      <c r="W19" s="2240" t="s">
        <v>1202</v>
      </c>
    </row>
    <row r="20" spans="1:23" ht="60" hidden="1" customHeight="1">
      <c r="A20" s="2239">
        <v>607</v>
      </c>
      <c r="B20" s="2239" t="s">
        <v>1309</v>
      </c>
      <c r="C20" s="2240" t="s">
        <v>1310</v>
      </c>
      <c r="D20" s="2240" t="s">
        <v>1302</v>
      </c>
      <c r="E20" s="2240" t="s">
        <v>1303</v>
      </c>
      <c r="F20" s="2239" t="s">
        <v>1304</v>
      </c>
      <c r="G20" s="2239" t="s">
        <v>229</v>
      </c>
      <c r="H20" s="2249"/>
      <c r="I20" s="2240">
        <v>291.92</v>
      </c>
      <c r="J20" s="2240">
        <v>291.92</v>
      </c>
      <c r="K20" s="2240"/>
      <c r="L20" s="2240">
        <v>1277.5</v>
      </c>
      <c r="M20" s="2254">
        <v>43762</v>
      </c>
      <c r="N20" s="2240">
        <v>43761.989586188</v>
      </c>
      <c r="O20" s="2239" t="s">
        <v>1311</v>
      </c>
      <c r="P20" s="2255">
        <v>45292</v>
      </c>
      <c r="Q20" s="2240" t="s">
        <v>1307</v>
      </c>
      <c r="R20" s="2240" t="s">
        <v>1308</v>
      </c>
      <c r="S20" s="2240">
        <v>814.61249999999995</v>
      </c>
      <c r="T20" s="2260">
        <v>27905.333653055601</v>
      </c>
      <c r="U20" s="2240"/>
      <c r="V20" s="2275">
        <v>1.5682302935444801</v>
      </c>
      <c r="W20" s="2240" t="s">
        <v>1202</v>
      </c>
    </row>
    <row r="21" spans="1:23" ht="60" hidden="1" customHeight="1">
      <c r="A21" s="2239">
        <v>608</v>
      </c>
      <c r="B21" s="2239" t="s">
        <v>1312</v>
      </c>
      <c r="C21" s="2240" t="s">
        <v>1313</v>
      </c>
      <c r="D21" s="2240" t="s">
        <v>1302</v>
      </c>
      <c r="E21" s="2240" t="s">
        <v>1303</v>
      </c>
      <c r="F21" s="2239" t="s">
        <v>1304</v>
      </c>
      <c r="G21" s="2239" t="s">
        <v>229</v>
      </c>
      <c r="H21" s="2249"/>
      <c r="I21" s="2240">
        <v>231.49</v>
      </c>
      <c r="J21" s="2240">
        <v>231.49</v>
      </c>
      <c r="K21" s="2240"/>
      <c r="L21" s="2240">
        <v>974</v>
      </c>
      <c r="M21" s="2254">
        <v>42075</v>
      </c>
      <c r="N21" s="2245">
        <v>42075.25163074</v>
      </c>
      <c r="O21" s="2239" t="s">
        <v>1314</v>
      </c>
      <c r="P21" s="2255">
        <v>45292</v>
      </c>
      <c r="Q21" s="2240" t="s">
        <v>1307</v>
      </c>
      <c r="R21" s="2240" t="s">
        <v>1308</v>
      </c>
      <c r="S21" s="2240">
        <v>646.01139999999998</v>
      </c>
      <c r="T21" s="2260">
        <v>27906.665514709101</v>
      </c>
      <c r="U21" s="2240"/>
      <c r="V21" s="2275">
        <v>1.50771333137465</v>
      </c>
      <c r="W21" s="2240" t="s">
        <v>1202</v>
      </c>
    </row>
    <row r="22" spans="1:23" ht="60" hidden="1" customHeight="1">
      <c r="A22" s="2239">
        <v>614</v>
      </c>
      <c r="B22" s="2239" t="s">
        <v>1315</v>
      </c>
      <c r="C22" s="2240" t="s">
        <v>1316</v>
      </c>
      <c r="D22" s="2240" t="s">
        <v>1302</v>
      </c>
      <c r="E22" s="2240" t="s">
        <v>1317</v>
      </c>
      <c r="F22" s="2240" t="s">
        <v>1318</v>
      </c>
      <c r="G22" s="2239" t="s">
        <v>229</v>
      </c>
      <c r="H22" s="2240"/>
      <c r="I22" s="2240">
        <v>6871.92</v>
      </c>
      <c r="J22" s="2253"/>
      <c r="K22" s="2240"/>
      <c r="L22" s="2240">
        <v>23500</v>
      </c>
      <c r="M22" s="2254">
        <v>34197</v>
      </c>
      <c r="N22" s="2240" t="e">
        <v>#DIV/0!</v>
      </c>
      <c r="O22" s="2240" t="s">
        <v>124</v>
      </c>
      <c r="P22" s="2255">
        <v>45323</v>
      </c>
      <c r="Q22" s="2240" t="s">
        <v>1319</v>
      </c>
      <c r="R22" s="2240" t="s">
        <v>1320</v>
      </c>
      <c r="S22" s="2240"/>
      <c r="T22" s="2260" t="e">
        <v>#DIV/0!</v>
      </c>
      <c r="U22" s="2240"/>
      <c r="V22" s="2275" t="e">
        <v>#DIV/0!</v>
      </c>
      <c r="W22" s="2240" t="s">
        <v>1260</v>
      </c>
    </row>
    <row r="23" spans="1:23" ht="60" hidden="1" customHeight="1">
      <c r="A23" s="2239">
        <v>616</v>
      </c>
      <c r="B23" s="2239" t="s">
        <v>1321</v>
      </c>
      <c r="C23" s="2240" t="s">
        <v>1322</v>
      </c>
      <c r="D23" s="2240" t="s">
        <v>1185</v>
      </c>
      <c r="E23" s="2240" t="s">
        <v>1323</v>
      </c>
      <c r="F23" s="2239" t="s">
        <v>1324</v>
      </c>
      <c r="G23" s="2239" t="s">
        <v>1325</v>
      </c>
      <c r="H23" s="2240"/>
      <c r="I23" s="2253">
        <v>25597.41</v>
      </c>
      <c r="J23" s="2253">
        <v>10003.280000000001</v>
      </c>
      <c r="K23" s="2253">
        <v>15594.13</v>
      </c>
      <c r="L23" s="2240">
        <v>28000</v>
      </c>
      <c r="M23" s="2254">
        <v>10939</v>
      </c>
      <c r="N23" s="2240">
        <v>27990.8190113643</v>
      </c>
      <c r="O23" s="2239" t="s">
        <v>1326</v>
      </c>
      <c r="P23" s="2261">
        <v>45329</v>
      </c>
      <c r="Q23" s="2239" t="s">
        <v>1327</v>
      </c>
      <c r="R23" s="2240" t="s">
        <v>1328</v>
      </c>
      <c r="S23" s="2240">
        <v>35000</v>
      </c>
      <c r="T23" s="2260">
        <v>34988.523764205303</v>
      </c>
      <c r="U23" s="2240" t="s">
        <v>1329</v>
      </c>
      <c r="V23" s="2275">
        <v>0.8</v>
      </c>
      <c r="W23" s="2240" t="s">
        <v>1202</v>
      </c>
    </row>
    <row r="24" spans="1:23" ht="60" hidden="1" customHeight="1">
      <c r="A24" s="2239">
        <v>617</v>
      </c>
      <c r="B24" s="2240" t="s">
        <v>1330</v>
      </c>
      <c r="C24" s="2240" t="s">
        <v>1331</v>
      </c>
      <c r="D24" s="2240" t="s">
        <v>1332</v>
      </c>
      <c r="E24" s="2240" t="s">
        <v>1333</v>
      </c>
      <c r="F24" s="2240" t="s">
        <v>1208</v>
      </c>
      <c r="G24" s="2239" t="s">
        <v>229</v>
      </c>
      <c r="H24" s="2240">
        <v>740.52</v>
      </c>
      <c r="I24" s="2240">
        <v>878.04</v>
      </c>
      <c r="J24" s="2253"/>
      <c r="K24" s="2240"/>
      <c r="L24" s="2240">
        <v>10940.248</v>
      </c>
      <c r="M24" s="2254">
        <v>124599</v>
      </c>
      <c r="N24" s="2240" t="e">
        <v>#DIV/0!</v>
      </c>
      <c r="O24" s="2239" t="s">
        <v>1334</v>
      </c>
      <c r="P24" s="2261">
        <v>45342</v>
      </c>
      <c r="Q24" s="2239" t="s">
        <v>1335</v>
      </c>
      <c r="R24" s="2240"/>
      <c r="S24" s="2240">
        <v>13675.31</v>
      </c>
      <c r="T24" s="2260" t="e">
        <v>#DIV/0!</v>
      </c>
      <c r="U24" s="2240"/>
      <c r="V24" s="2275">
        <v>0.8</v>
      </c>
      <c r="W24" s="2240" t="s">
        <v>1202</v>
      </c>
    </row>
    <row r="25" spans="1:23" ht="60" hidden="1" customHeight="1">
      <c r="A25" s="2239">
        <v>619</v>
      </c>
      <c r="B25" s="2239" t="s">
        <v>1336</v>
      </c>
      <c r="C25" s="2240" t="s">
        <v>1337</v>
      </c>
      <c r="D25" s="2240" t="s">
        <v>1271</v>
      </c>
      <c r="E25" s="2240" t="s">
        <v>1338</v>
      </c>
      <c r="F25" s="2240" t="s">
        <v>1339</v>
      </c>
      <c r="G25" s="2239" t="s">
        <v>229</v>
      </c>
      <c r="H25" s="2240"/>
      <c r="I25" s="2253">
        <v>4848.05</v>
      </c>
      <c r="J25" s="2253">
        <v>4848.05</v>
      </c>
      <c r="K25" s="2240"/>
      <c r="L25" s="2240">
        <v>15028.96</v>
      </c>
      <c r="M25" s="2254">
        <v>31000</v>
      </c>
      <c r="N25" s="2240">
        <v>31000.010313424998</v>
      </c>
      <c r="O25" s="2240" t="s">
        <v>124</v>
      </c>
      <c r="P25" s="2255">
        <v>45231</v>
      </c>
      <c r="Q25" s="2240" t="s">
        <v>1340</v>
      </c>
      <c r="R25" s="2240" t="s">
        <v>1181</v>
      </c>
      <c r="S25" s="2240"/>
      <c r="T25" s="2260">
        <v>0</v>
      </c>
      <c r="U25" s="2240"/>
      <c r="V25" s="2275" t="e">
        <v>#DIV/0!</v>
      </c>
      <c r="W25" s="2240" t="s">
        <v>1260</v>
      </c>
    </row>
    <row r="26" spans="1:23" ht="60" hidden="1" customHeight="1">
      <c r="A26" s="2239">
        <v>624</v>
      </c>
      <c r="B26" s="2239" t="s">
        <v>1341</v>
      </c>
      <c r="C26" s="2239" t="s">
        <v>1342</v>
      </c>
      <c r="D26" s="2239" t="s">
        <v>1302</v>
      </c>
      <c r="E26" s="2240" t="s">
        <v>1343</v>
      </c>
      <c r="F26" s="2239" t="s">
        <v>1344</v>
      </c>
      <c r="G26" s="2239" t="s">
        <v>229</v>
      </c>
      <c r="H26" s="2240"/>
      <c r="I26" s="2240">
        <v>5054.5200000000004</v>
      </c>
      <c r="J26" s="2253">
        <v>1430.31</v>
      </c>
      <c r="K26" s="2253">
        <v>3624.21</v>
      </c>
      <c r="L26" s="2240">
        <v>34427.32</v>
      </c>
      <c r="M26" s="2237">
        <v>68112</v>
      </c>
      <c r="N26" s="2238">
        <v>240698</v>
      </c>
      <c r="O26" s="2239" t="s">
        <v>124</v>
      </c>
      <c r="P26" s="2259">
        <v>45352</v>
      </c>
      <c r="Q26" s="2239" t="s">
        <v>1345</v>
      </c>
      <c r="R26" s="2281" t="s">
        <v>1320</v>
      </c>
      <c r="S26" s="2240"/>
      <c r="T26" s="2240"/>
      <c r="U26" s="2240"/>
      <c r="V26" s="2240"/>
      <c r="W26" s="2240" t="s">
        <v>1260</v>
      </c>
    </row>
    <row r="27" spans="1:23" ht="60" hidden="1" customHeight="1">
      <c r="A27" s="2239">
        <v>625</v>
      </c>
      <c r="B27" s="2239" t="s">
        <v>1346</v>
      </c>
      <c r="C27" s="2240" t="s">
        <v>1347</v>
      </c>
      <c r="D27" s="2240" t="s">
        <v>1205</v>
      </c>
      <c r="E27" s="2240" t="s">
        <v>1348</v>
      </c>
      <c r="F27" s="2240" t="s">
        <v>1349</v>
      </c>
      <c r="G27" s="2239" t="s">
        <v>1178</v>
      </c>
      <c r="H27" s="2240"/>
      <c r="I27" s="2243">
        <v>28571.759999999998</v>
      </c>
      <c r="J27" s="2253">
        <v>18033</v>
      </c>
      <c r="K27" s="2240">
        <v>10538.76</v>
      </c>
      <c r="L27" s="2240">
        <v>110090</v>
      </c>
      <c r="M27" s="2237">
        <v>38531</v>
      </c>
      <c r="N27" s="2238">
        <v>61049</v>
      </c>
      <c r="O27" s="2239" t="s">
        <v>1350</v>
      </c>
      <c r="P27" s="2261" t="s">
        <v>1351</v>
      </c>
      <c r="Q27" s="2239" t="s">
        <v>1352</v>
      </c>
      <c r="R27" s="2281" t="s">
        <v>1353</v>
      </c>
      <c r="S27" s="2240"/>
      <c r="T27" s="2240"/>
      <c r="U27" s="2240"/>
      <c r="V27" s="2240"/>
      <c r="W27" s="2239" t="s">
        <v>1354</v>
      </c>
    </row>
    <row r="28" spans="1:23" ht="60" hidden="1" customHeight="1">
      <c r="A28" s="2247">
        <v>626</v>
      </c>
      <c r="B28" s="2247" t="s">
        <v>1355</v>
      </c>
      <c r="C28" s="2248" t="s">
        <v>1356</v>
      </c>
      <c r="D28" s="2248" t="s">
        <v>1302</v>
      </c>
      <c r="E28" s="2248" t="s">
        <v>1303</v>
      </c>
      <c r="F28" s="2248" t="s">
        <v>1357</v>
      </c>
      <c r="G28" s="2247" t="s">
        <v>229</v>
      </c>
      <c r="H28" s="2248"/>
      <c r="I28" s="2264">
        <v>10082.83</v>
      </c>
      <c r="J28" s="2264">
        <v>10082.83</v>
      </c>
      <c r="K28" s="2248"/>
      <c r="L28" s="2266">
        <v>59069.251270000001</v>
      </c>
      <c r="M28" s="2254">
        <v>58584</v>
      </c>
      <c r="N28" s="2240">
        <v>58583.999998016399</v>
      </c>
      <c r="O28" s="2247" t="s">
        <v>1358</v>
      </c>
      <c r="P28" s="2267" t="s">
        <v>1359</v>
      </c>
      <c r="Q28" s="2247" t="s">
        <v>1360</v>
      </c>
      <c r="R28" s="2248" t="s">
        <v>1361</v>
      </c>
      <c r="S28" s="2248"/>
      <c r="T28" s="2279">
        <v>0</v>
      </c>
      <c r="U28" s="2248"/>
      <c r="V28" s="2280" t="e">
        <v>#DIV/0!</v>
      </c>
      <c r="W28" s="2248" t="s">
        <v>1260</v>
      </c>
    </row>
    <row r="29" spans="1:23" ht="60" hidden="1" customHeight="1">
      <c r="A29" s="2239">
        <v>627</v>
      </c>
      <c r="B29" s="2239" t="s">
        <v>1362</v>
      </c>
      <c r="C29" s="2239" t="s">
        <v>1363</v>
      </c>
      <c r="D29" s="2239" t="s">
        <v>1185</v>
      </c>
      <c r="E29" s="2239" t="s">
        <v>1364</v>
      </c>
      <c r="F29" s="2239" t="s">
        <v>1365</v>
      </c>
      <c r="G29" s="2239" t="s">
        <v>1366</v>
      </c>
      <c r="H29" s="2239"/>
      <c r="I29" s="2268">
        <v>6158.34</v>
      </c>
      <c r="J29" s="2251">
        <v>6029.51</v>
      </c>
      <c r="K29" s="2269">
        <v>128.83000000000001</v>
      </c>
      <c r="L29" s="2270">
        <v>35188.322</v>
      </c>
      <c r="M29" s="2254">
        <v>57139</v>
      </c>
      <c r="N29" s="2240">
        <v>58360</v>
      </c>
      <c r="O29" s="2271" t="s">
        <v>1367</v>
      </c>
      <c r="P29" s="2252">
        <v>45401</v>
      </c>
      <c r="Q29" s="2271" t="s">
        <v>1368</v>
      </c>
      <c r="R29" s="2281" t="s">
        <v>1369</v>
      </c>
      <c r="S29" s="2239">
        <v>32680.46</v>
      </c>
      <c r="T29" s="2239">
        <v>53067</v>
      </c>
      <c r="U29" s="2239"/>
      <c r="V29" s="2275">
        <v>1.08</v>
      </c>
      <c r="W29" s="2239" t="s">
        <v>1202</v>
      </c>
    </row>
    <row r="30" spans="1:23" ht="60" hidden="1" customHeight="1">
      <c r="A30" s="2239">
        <v>628</v>
      </c>
      <c r="B30" s="2239" t="s">
        <v>1370</v>
      </c>
      <c r="C30" s="2239" t="s">
        <v>1370</v>
      </c>
      <c r="D30" s="2239" t="s">
        <v>1185</v>
      </c>
      <c r="E30" s="2239" t="s">
        <v>1364</v>
      </c>
      <c r="F30" s="2239" t="s">
        <v>1365</v>
      </c>
      <c r="G30" s="2239" t="s">
        <v>229</v>
      </c>
      <c r="H30" s="2240"/>
      <c r="I30" s="2240">
        <v>2773.32</v>
      </c>
      <c r="J30" s="2253">
        <v>2773.32</v>
      </c>
      <c r="K30" s="2240"/>
      <c r="L30" s="2240">
        <v>22441.69</v>
      </c>
      <c r="M30" s="2254">
        <v>80920</v>
      </c>
      <c r="N30" s="2240">
        <v>80919.944326655401</v>
      </c>
      <c r="O30" s="2239" t="s">
        <v>1371</v>
      </c>
      <c r="P30" s="2261">
        <v>45272</v>
      </c>
      <c r="Q30" s="2250" t="s">
        <v>1372</v>
      </c>
      <c r="R30" s="2281" t="s">
        <v>1369</v>
      </c>
      <c r="S30" s="2240">
        <v>14671.69</v>
      </c>
      <c r="T30" s="2260">
        <v>52902.982706647599</v>
      </c>
      <c r="U30" s="2240"/>
      <c r="V30" s="2275">
        <v>1.5295913422380101</v>
      </c>
      <c r="W30" s="2239" t="s">
        <v>1202</v>
      </c>
    </row>
    <row r="31" spans="1:23" ht="60" hidden="1" customHeight="1">
      <c r="A31" s="2239">
        <v>631</v>
      </c>
      <c r="B31" s="2240" t="s">
        <v>1373</v>
      </c>
      <c r="C31" s="2239" t="s">
        <v>1374</v>
      </c>
      <c r="D31" s="2240" t="s">
        <v>1175</v>
      </c>
      <c r="E31" s="2240" t="s">
        <v>1375</v>
      </c>
      <c r="F31" s="2240" t="s">
        <v>1376</v>
      </c>
      <c r="G31" s="2239" t="s">
        <v>229</v>
      </c>
      <c r="H31" s="2240"/>
      <c r="I31" s="2253">
        <v>4077.59</v>
      </c>
      <c r="J31" s="2253">
        <v>4077.59</v>
      </c>
      <c r="K31" s="2240"/>
      <c r="L31" s="2240">
        <v>9786.2160000000003</v>
      </c>
      <c r="M31" s="2254">
        <v>24000</v>
      </c>
      <c r="N31" s="2240">
        <v>24000</v>
      </c>
      <c r="O31" s="2240" t="s">
        <v>124</v>
      </c>
      <c r="P31" s="2261">
        <v>45393</v>
      </c>
      <c r="Q31" s="2240" t="s">
        <v>1377</v>
      </c>
      <c r="R31" s="2240" t="s">
        <v>1378</v>
      </c>
      <c r="S31" s="2240"/>
      <c r="T31" s="2260">
        <v>0</v>
      </c>
      <c r="U31" s="2240"/>
      <c r="V31" s="2275" t="e">
        <v>#DIV/0!</v>
      </c>
      <c r="W31" s="2240" t="s">
        <v>1260</v>
      </c>
    </row>
    <row r="32" spans="1:23" ht="60" hidden="1" customHeight="1">
      <c r="A32" s="2239">
        <v>637</v>
      </c>
      <c r="B32" s="2239" t="s">
        <v>1379</v>
      </c>
      <c r="C32" s="2239" t="s">
        <v>1380</v>
      </c>
      <c r="D32" s="2240" t="s">
        <v>1302</v>
      </c>
      <c r="E32" s="2240" t="s">
        <v>1381</v>
      </c>
      <c r="F32" s="2239" t="s">
        <v>1382</v>
      </c>
      <c r="G32" s="2239" t="s">
        <v>229</v>
      </c>
      <c r="H32" s="2240"/>
      <c r="I32" s="2240">
        <v>10088.49</v>
      </c>
      <c r="J32" s="2253">
        <v>10088.49</v>
      </c>
      <c r="K32" s="2240"/>
      <c r="L32" s="2240">
        <v>45327</v>
      </c>
      <c r="M32" s="2254">
        <v>44929</v>
      </c>
      <c r="N32" s="2240">
        <v>44929.419566258199</v>
      </c>
      <c r="O32" s="2239" t="s">
        <v>1383</v>
      </c>
      <c r="P32" s="2261">
        <v>45440</v>
      </c>
      <c r="Q32" s="2239" t="s">
        <v>1384</v>
      </c>
      <c r="R32" s="2240" t="s">
        <v>1385</v>
      </c>
      <c r="S32" s="2240">
        <v>80939.75</v>
      </c>
      <c r="T32" s="2260">
        <v>80229.796530501597</v>
      </c>
      <c r="U32" s="2240"/>
      <c r="V32" s="2277">
        <v>0.56000914260298595</v>
      </c>
      <c r="W32" s="2240" t="s">
        <v>1202</v>
      </c>
    </row>
    <row r="33" spans="1:23" ht="60" hidden="1" customHeight="1">
      <c r="A33" s="2239">
        <v>643</v>
      </c>
      <c r="B33" s="2239" t="s">
        <v>1386</v>
      </c>
      <c r="C33" s="2239" t="s">
        <v>1387</v>
      </c>
      <c r="D33" s="2240" t="s">
        <v>1185</v>
      </c>
      <c r="E33" s="2240" t="s">
        <v>1388</v>
      </c>
      <c r="F33" s="2240" t="s">
        <v>1389</v>
      </c>
      <c r="G33" s="2239" t="s">
        <v>1238</v>
      </c>
      <c r="H33" s="2240"/>
      <c r="I33" s="2240">
        <v>32091.49</v>
      </c>
      <c r="J33" s="2253">
        <v>32091.49</v>
      </c>
      <c r="K33" s="2240"/>
      <c r="L33" s="2240">
        <v>55855.01</v>
      </c>
      <c r="M33" s="2254">
        <v>17405</v>
      </c>
      <c r="N33" s="2240">
        <v>17404.9288456223</v>
      </c>
      <c r="O33" s="2240" t="s">
        <v>1390</v>
      </c>
      <c r="P33" s="2261">
        <v>45449</v>
      </c>
      <c r="Q33" s="2239" t="s">
        <v>1391</v>
      </c>
      <c r="R33" s="2240" t="s">
        <v>1181</v>
      </c>
      <c r="S33" s="2240"/>
      <c r="T33" s="2260">
        <v>0</v>
      </c>
      <c r="U33" s="2240"/>
      <c r="V33" s="2275" t="e">
        <v>#DIV/0!</v>
      </c>
      <c r="W33" s="2240" t="s">
        <v>1260</v>
      </c>
    </row>
    <row r="34" spans="1:23" ht="60" hidden="1" customHeight="1">
      <c r="A34" s="2239">
        <v>654</v>
      </c>
      <c r="B34" s="2239" t="s">
        <v>1392</v>
      </c>
      <c r="C34" s="2240" t="s">
        <v>1393</v>
      </c>
      <c r="D34" s="2240" t="s">
        <v>1302</v>
      </c>
      <c r="E34" s="2240" t="s">
        <v>1394</v>
      </c>
      <c r="F34" s="2250" t="s">
        <v>1395</v>
      </c>
      <c r="G34" s="2239" t="s">
        <v>1396</v>
      </c>
      <c r="H34" s="2240"/>
      <c r="I34" s="2240">
        <v>48853.919999999998</v>
      </c>
      <c r="J34" s="2253">
        <v>24544.17</v>
      </c>
      <c r="K34" s="2253">
        <v>24309.75</v>
      </c>
      <c r="L34" s="2240">
        <v>117635.26</v>
      </c>
      <c r="M34" s="2254">
        <v>24079</v>
      </c>
      <c r="N34" s="2240">
        <v>47927.984527486602</v>
      </c>
      <c r="O34" s="2240" t="s">
        <v>124</v>
      </c>
      <c r="P34" s="2261">
        <v>45504</v>
      </c>
      <c r="Q34" s="2239" t="s">
        <v>1397</v>
      </c>
      <c r="R34" s="2240" t="s">
        <v>1232</v>
      </c>
      <c r="S34" s="2240"/>
      <c r="T34" s="2260">
        <v>0</v>
      </c>
      <c r="U34" s="2240"/>
      <c r="V34" s="2277" t="e">
        <v>#DIV/0!</v>
      </c>
      <c r="W34" s="2240" t="s">
        <v>1260</v>
      </c>
    </row>
    <row r="35" spans="1:23" ht="60" hidden="1" customHeight="1">
      <c r="A35" s="2239">
        <v>663</v>
      </c>
      <c r="B35" s="2239" t="s">
        <v>1398</v>
      </c>
      <c r="C35" s="2239" t="s">
        <v>1399</v>
      </c>
      <c r="D35" s="2239" t="s">
        <v>1332</v>
      </c>
      <c r="E35" s="2239" t="s">
        <v>1400</v>
      </c>
      <c r="F35" s="2239" t="s">
        <v>1401</v>
      </c>
      <c r="G35" s="2239" t="s">
        <v>1229</v>
      </c>
      <c r="H35" s="2239">
        <v>1361.86</v>
      </c>
      <c r="I35" s="2251">
        <v>9875.33</v>
      </c>
      <c r="J35" s="2251">
        <v>3761.79</v>
      </c>
      <c r="K35" s="2239">
        <v>6113.54</v>
      </c>
      <c r="L35" s="2239">
        <v>18027</v>
      </c>
      <c r="M35" s="2254">
        <v>18255</v>
      </c>
      <c r="N35" s="2240">
        <v>47921.335321748396</v>
      </c>
      <c r="O35" s="2239" t="s">
        <v>1402</v>
      </c>
      <c r="P35" s="2252">
        <v>45538</v>
      </c>
      <c r="Q35" s="2239" t="s">
        <v>1403</v>
      </c>
      <c r="R35" s="2281" t="s">
        <v>1404</v>
      </c>
      <c r="S35" s="2239">
        <v>25752.6</v>
      </c>
      <c r="T35" s="2260">
        <v>68458.366894483697</v>
      </c>
      <c r="U35" s="2239"/>
      <c r="V35" s="2275">
        <v>0.70000698958551799</v>
      </c>
      <c r="W35" s="2240" t="s">
        <v>1202</v>
      </c>
    </row>
    <row r="36" spans="1:23" ht="60" hidden="1" customHeight="1">
      <c r="A36" s="2239">
        <v>664</v>
      </c>
      <c r="B36" s="2239" t="s">
        <v>1405</v>
      </c>
      <c r="C36" s="2239" t="s">
        <v>1406</v>
      </c>
      <c r="D36" s="2239" t="s">
        <v>1185</v>
      </c>
      <c r="E36" s="2239" t="s">
        <v>1407</v>
      </c>
      <c r="F36" s="2239" t="s">
        <v>1208</v>
      </c>
      <c r="G36" s="2239" t="s">
        <v>1229</v>
      </c>
      <c r="H36" s="2239"/>
      <c r="I36" s="2251">
        <v>551.32000000000005</v>
      </c>
      <c r="J36" s="2251">
        <v>428.9</v>
      </c>
      <c r="K36" s="2239">
        <v>122.42</v>
      </c>
      <c r="L36" s="2239">
        <v>1800.0001</v>
      </c>
      <c r="M36" s="2254">
        <v>32649</v>
      </c>
      <c r="N36" s="2240">
        <v>41968</v>
      </c>
      <c r="O36" s="2239" t="s">
        <v>1408</v>
      </c>
      <c r="P36" s="2252">
        <v>45518</v>
      </c>
      <c r="Q36" s="2239" t="s">
        <v>1409</v>
      </c>
      <c r="R36" s="2281" t="s">
        <v>1410</v>
      </c>
      <c r="S36" s="2239">
        <v>4140.32</v>
      </c>
      <c r="T36" s="2260">
        <v>96533.457682443506</v>
      </c>
      <c r="U36" s="2239"/>
      <c r="V36" s="2275">
        <v>0.43474902906055601</v>
      </c>
      <c r="W36" s="2240" t="s">
        <v>1202</v>
      </c>
    </row>
    <row r="37" spans="1:23" ht="60" hidden="1" customHeight="1">
      <c r="A37" s="2239">
        <v>665</v>
      </c>
      <c r="B37" s="2239" t="s">
        <v>1411</v>
      </c>
      <c r="C37" s="2239" t="s">
        <v>1412</v>
      </c>
      <c r="D37" s="2239" t="s">
        <v>1185</v>
      </c>
      <c r="E37" s="2240" t="s">
        <v>1413</v>
      </c>
      <c r="F37" s="2239" t="s">
        <v>1414</v>
      </c>
      <c r="G37" s="2239" t="s">
        <v>229</v>
      </c>
      <c r="H37" s="2240"/>
      <c r="I37" s="2240">
        <v>3797.1</v>
      </c>
      <c r="J37" s="2240">
        <v>3797.1</v>
      </c>
      <c r="K37" s="2240"/>
      <c r="L37" s="2240">
        <v>5536.7184999999999</v>
      </c>
      <c r="M37" s="2254">
        <v>14581</v>
      </c>
      <c r="N37" s="2240">
        <v>14581.4397829923</v>
      </c>
      <c r="O37" s="2239" t="s">
        <v>1415</v>
      </c>
      <c r="P37" s="2261">
        <v>45534</v>
      </c>
      <c r="Q37" s="2250" t="s">
        <v>1416</v>
      </c>
      <c r="R37" s="2240" t="s">
        <v>1404</v>
      </c>
      <c r="S37" s="2240">
        <v>9329.8544000000002</v>
      </c>
      <c r="T37" s="2260">
        <v>24570.9999736641</v>
      </c>
      <c r="U37" s="2240"/>
      <c r="V37" s="2275">
        <v>0.59344104019458199</v>
      </c>
      <c r="W37" s="2240" t="s">
        <v>1202</v>
      </c>
    </row>
    <row r="38" spans="1:23" ht="60" hidden="1" customHeight="1">
      <c r="A38" s="2239">
        <v>666</v>
      </c>
      <c r="B38" s="2239" t="s">
        <v>1417</v>
      </c>
      <c r="C38" s="2239" t="s">
        <v>1418</v>
      </c>
      <c r="D38" s="2240" t="s">
        <v>1205</v>
      </c>
      <c r="E38" s="2240" t="s">
        <v>1348</v>
      </c>
      <c r="F38" s="2239" t="s">
        <v>1419</v>
      </c>
      <c r="G38" s="2239" t="s">
        <v>229</v>
      </c>
      <c r="H38" s="2240"/>
      <c r="I38" s="2240">
        <v>1203.2</v>
      </c>
      <c r="J38" s="2253">
        <v>143.19999999999999</v>
      </c>
      <c r="K38" s="2240">
        <v>1060</v>
      </c>
      <c r="L38" s="2240">
        <v>2937.5360000000001</v>
      </c>
      <c r="M38" s="2254">
        <v>24414</v>
      </c>
      <c r="N38" s="2240">
        <v>205135.19553072599</v>
      </c>
      <c r="O38" s="2239" t="s">
        <v>1420</v>
      </c>
      <c r="P38" s="2261">
        <v>45541</v>
      </c>
      <c r="Q38" s="2239" t="s">
        <v>1421</v>
      </c>
      <c r="R38" s="2240" t="s">
        <v>1422</v>
      </c>
      <c r="S38" s="2240">
        <v>5245.6</v>
      </c>
      <c r="T38" s="2260">
        <v>366312.849162011</v>
      </c>
      <c r="U38" s="2240"/>
      <c r="V38" s="2275">
        <v>0.56000000000000005</v>
      </c>
      <c r="W38" s="2240" t="s">
        <v>1202</v>
      </c>
    </row>
    <row r="39" spans="1:23" s="2237" customFormat="1" ht="60" hidden="1" customHeight="1">
      <c r="A39" s="2244">
        <v>668</v>
      </c>
      <c r="B39" s="2244" t="s">
        <v>1423</v>
      </c>
      <c r="C39" s="2244" t="s">
        <v>1424</v>
      </c>
      <c r="D39" s="2245" t="s">
        <v>1332</v>
      </c>
      <c r="E39" s="2245" t="s">
        <v>1425</v>
      </c>
      <c r="F39" s="2245" t="s">
        <v>1426</v>
      </c>
      <c r="G39" s="2244" t="s">
        <v>1427</v>
      </c>
      <c r="H39" s="2245"/>
      <c r="I39" s="2245">
        <v>27705.94</v>
      </c>
      <c r="J39" s="2262">
        <v>21015.98</v>
      </c>
      <c r="K39" s="2245">
        <v>6689.96</v>
      </c>
      <c r="L39" s="2245">
        <v>137000</v>
      </c>
      <c r="M39" s="2254">
        <v>49448</v>
      </c>
      <c r="N39" s="2245">
        <v>65188.489901494002</v>
      </c>
      <c r="O39" s="2245" t="s">
        <v>1428</v>
      </c>
      <c r="P39" s="2272">
        <v>45545</v>
      </c>
      <c r="Q39" s="2244" t="s">
        <v>1429</v>
      </c>
      <c r="R39" s="2245" t="s">
        <v>1276</v>
      </c>
      <c r="S39" s="2245"/>
      <c r="T39" s="2254">
        <v>0</v>
      </c>
      <c r="U39" s="2245"/>
      <c r="V39" s="2278" t="e">
        <v>#DIV/0!</v>
      </c>
      <c r="W39" s="2245" t="s">
        <v>1430</v>
      </c>
    </row>
    <row r="40" spans="1:23" ht="60" hidden="1" customHeight="1">
      <c r="A40" s="2239">
        <v>670</v>
      </c>
      <c r="B40" s="2239" t="s">
        <v>1431</v>
      </c>
      <c r="C40" s="2240" t="s">
        <v>1432</v>
      </c>
      <c r="D40" s="2240" t="s">
        <v>1185</v>
      </c>
      <c r="E40" s="2240" t="s">
        <v>1433</v>
      </c>
      <c r="F40" s="2240" t="s">
        <v>492</v>
      </c>
      <c r="G40" s="2239" t="s">
        <v>229</v>
      </c>
      <c r="H40" s="2240"/>
      <c r="I40" s="2240">
        <v>354.7</v>
      </c>
      <c r="J40" s="2253">
        <v>354.7</v>
      </c>
      <c r="K40" s="2240"/>
      <c r="L40" s="2240">
        <v>2496.9874669999999</v>
      </c>
      <c r="M40" s="2254">
        <v>70397</v>
      </c>
      <c r="N40" s="2240">
        <v>70397.165689314905</v>
      </c>
      <c r="O40" s="2239" t="s">
        <v>1434</v>
      </c>
      <c r="P40" s="2261">
        <v>45555</v>
      </c>
      <c r="Q40" s="2240" t="s">
        <v>1435</v>
      </c>
      <c r="R40" s="2240" t="s">
        <v>1328</v>
      </c>
      <c r="S40" s="2240">
        <v>1076.9874669999999</v>
      </c>
      <c r="T40" s="2260">
        <v>30363.3342824922</v>
      </c>
      <c r="U40" s="2240"/>
      <c r="V40" s="2275">
        <v>2.31849259486322</v>
      </c>
      <c r="W40" s="2240" t="s">
        <v>1202</v>
      </c>
    </row>
    <row r="41" spans="1:23" ht="60" hidden="1" customHeight="1">
      <c r="A41" s="2239">
        <v>671</v>
      </c>
      <c r="B41" s="2239" t="s">
        <v>1436</v>
      </c>
      <c r="C41" s="2239" t="s">
        <v>1437</v>
      </c>
      <c r="D41" s="2240" t="s">
        <v>1185</v>
      </c>
      <c r="E41" s="2240" t="s">
        <v>1433</v>
      </c>
      <c r="F41" s="2240" t="s">
        <v>492</v>
      </c>
      <c r="G41" s="2239" t="s">
        <v>229</v>
      </c>
      <c r="H41" s="2240"/>
      <c r="I41" s="2240">
        <v>734.8</v>
      </c>
      <c r="J41" s="2253">
        <v>734.8</v>
      </c>
      <c r="K41" s="2240"/>
      <c r="L41" s="2240">
        <v>5318.3445000000002</v>
      </c>
      <c r="M41" s="2254">
        <v>72378</v>
      </c>
      <c r="N41" s="2240">
        <v>72378.123298856794</v>
      </c>
      <c r="O41" s="2239" t="s">
        <v>1438</v>
      </c>
      <c r="P41" s="2261">
        <v>45649</v>
      </c>
      <c r="Q41" s="2239" t="s">
        <v>1439</v>
      </c>
      <c r="R41" s="2240" t="s">
        <v>1328</v>
      </c>
      <c r="S41" s="2240">
        <v>1928.3444999999999</v>
      </c>
      <c r="T41" s="2260">
        <v>26243.120577027799</v>
      </c>
      <c r="U41" s="2240"/>
      <c r="V41" s="2275">
        <v>2.7579846339697101</v>
      </c>
      <c r="W41" s="2240" t="s">
        <v>1202</v>
      </c>
    </row>
    <row r="42" spans="1:23" ht="60" hidden="1" customHeight="1">
      <c r="A42" s="2239">
        <v>672</v>
      </c>
      <c r="B42" s="2239" t="s">
        <v>1440</v>
      </c>
      <c r="C42" s="2239" t="s">
        <v>1441</v>
      </c>
      <c r="D42" s="2240" t="s">
        <v>1185</v>
      </c>
      <c r="E42" s="2240" t="s">
        <v>1433</v>
      </c>
      <c r="F42" s="2240" t="s">
        <v>492</v>
      </c>
      <c r="G42" s="2239" t="s">
        <v>229</v>
      </c>
      <c r="H42" s="2240"/>
      <c r="I42" s="2240">
        <v>316.17</v>
      </c>
      <c r="J42" s="2253">
        <v>316.17</v>
      </c>
      <c r="K42" s="2240"/>
      <c r="L42" s="2240">
        <v>1100.298</v>
      </c>
      <c r="M42" s="2254">
        <v>34801</v>
      </c>
      <c r="N42" s="2240">
        <v>34800.834993832403</v>
      </c>
      <c r="O42" s="2239" t="s">
        <v>1442</v>
      </c>
      <c r="P42" s="2261">
        <v>45555</v>
      </c>
      <c r="Q42" s="2240" t="s">
        <v>1435</v>
      </c>
      <c r="R42" s="2240" t="s">
        <v>1328</v>
      </c>
      <c r="S42" s="2240">
        <v>912.298</v>
      </c>
      <c r="T42" s="2260">
        <v>28854.666793180899</v>
      </c>
      <c r="U42" s="2240"/>
      <c r="V42" s="2275">
        <v>1.2060730156155099</v>
      </c>
      <c r="W42" s="2240" t="s">
        <v>1202</v>
      </c>
    </row>
    <row r="43" spans="1:23" ht="60" hidden="1" customHeight="1">
      <c r="A43" s="2239">
        <v>673</v>
      </c>
      <c r="B43" s="2239" t="s">
        <v>1443</v>
      </c>
      <c r="C43" s="2239" t="s">
        <v>1444</v>
      </c>
      <c r="D43" s="2240" t="s">
        <v>1185</v>
      </c>
      <c r="E43" s="2240" t="s">
        <v>1433</v>
      </c>
      <c r="F43" s="2240" t="s">
        <v>492</v>
      </c>
      <c r="G43" s="2239" t="s">
        <v>229</v>
      </c>
      <c r="H43" s="2240"/>
      <c r="I43" s="2240">
        <v>861.83</v>
      </c>
      <c r="J43" s="2253">
        <v>861.83</v>
      </c>
      <c r="K43" s="2240"/>
      <c r="L43" s="2240">
        <v>2599.4250670000001</v>
      </c>
      <c r="M43" s="2254">
        <v>30162</v>
      </c>
      <c r="N43" s="2240">
        <v>30161.691598111</v>
      </c>
      <c r="O43" s="2239" t="s">
        <v>1445</v>
      </c>
      <c r="P43" s="2261">
        <v>45555</v>
      </c>
      <c r="Q43" s="2240" t="s">
        <v>1435</v>
      </c>
      <c r="R43" s="2240" t="s">
        <v>1328</v>
      </c>
      <c r="S43" s="2240">
        <v>2388.4250000000002</v>
      </c>
      <c r="T43" s="2260">
        <v>27713.412157850202</v>
      </c>
      <c r="U43" s="2240"/>
      <c r="V43" s="2275">
        <v>1.08834276437401</v>
      </c>
      <c r="W43" s="2240" t="s">
        <v>1202</v>
      </c>
    </row>
    <row r="44" spans="1:23" ht="60" hidden="1" customHeight="1">
      <c r="A44" s="2239">
        <v>674</v>
      </c>
      <c r="B44" s="2239" t="s">
        <v>1446</v>
      </c>
      <c r="C44" s="2239" t="s">
        <v>1447</v>
      </c>
      <c r="D44" s="2240" t="s">
        <v>1185</v>
      </c>
      <c r="E44" s="2240" t="s">
        <v>1433</v>
      </c>
      <c r="F44" s="2240" t="s">
        <v>492</v>
      </c>
      <c r="G44" s="2239" t="s">
        <v>229</v>
      </c>
      <c r="H44" s="2240"/>
      <c r="I44" s="2240">
        <v>1796.92</v>
      </c>
      <c r="J44" s="2253">
        <v>1796.92</v>
      </c>
      <c r="K44" s="2240"/>
      <c r="L44" s="2240">
        <v>4978.9059669999997</v>
      </c>
      <c r="M44" s="2254">
        <v>27708</v>
      </c>
      <c r="N44" s="2240">
        <v>27708.000172517401</v>
      </c>
      <c r="O44" s="2239" t="s">
        <v>1448</v>
      </c>
      <c r="P44" s="2261">
        <v>45555</v>
      </c>
      <c r="Q44" s="2240" t="s">
        <v>1435</v>
      </c>
      <c r="R44" s="2240" t="s">
        <v>1328</v>
      </c>
      <c r="S44" s="2240">
        <v>4978.9059669999997</v>
      </c>
      <c r="T44" s="2260">
        <v>27708.000172517401</v>
      </c>
      <c r="U44" s="2240"/>
      <c r="V44" s="2275">
        <v>1</v>
      </c>
      <c r="W44" s="2240" t="s">
        <v>1202</v>
      </c>
    </row>
    <row r="45" spans="1:23" ht="60" hidden="1" customHeight="1">
      <c r="A45" s="2239">
        <v>685</v>
      </c>
      <c r="B45" s="2239" t="s">
        <v>1449</v>
      </c>
      <c r="C45" s="2239" t="s">
        <v>1450</v>
      </c>
      <c r="D45" s="2240" t="s">
        <v>1302</v>
      </c>
      <c r="E45" s="2240" t="s">
        <v>1303</v>
      </c>
      <c r="F45" s="2239" t="s">
        <v>1451</v>
      </c>
      <c r="G45" s="2239" t="s">
        <v>1452</v>
      </c>
      <c r="H45" s="2240">
        <v>385.37</v>
      </c>
      <c r="I45" s="2240">
        <v>2505.4</v>
      </c>
      <c r="J45" s="2253">
        <v>2505.4</v>
      </c>
      <c r="K45" s="2240"/>
      <c r="L45" s="2240">
        <v>5709.6048000000001</v>
      </c>
      <c r="M45" s="2254">
        <v>22789</v>
      </c>
      <c r="N45" s="2240">
        <v>22789.194539794</v>
      </c>
      <c r="O45" s="2239" t="s">
        <v>1453</v>
      </c>
      <c r="P45" s="2261">
        <v>45589</v>
      </c>
      <c r="Q45" s="2239" t="s">
        <v>1454</v>
      </c>
      <c r="R45" s="2240" t="s">
        <v>1455</v>
      </c>
      <c r="S45" s="2240">
        <v>8388.58</v>
      </c>
      <c r="T45" s="2260">
        <v>33481.998882414002</v>
      </c>
      <c r="U45" s="2240"/>
      <c r="V45" s="2275">
        <v>0.68064020370551404</v>
      </c>
      <c r="W45" s="2240" t="s">
        <v>1202</v>
      </c>
    </row>
    <row r="46" spans="1:23" ht="60" hidden="1" customHeight="1">
      <c r="A46" s="2239">
        <v>689</v>
      </c>
      <c r="B46" s="2240" t="s">
        <v>1456</v>
      </c>
      <c r="C46" s="2239" t="s">
        <v>1457</v>
      </c>
      <c r="D46" s="2240" t="s">
        <v>1185</v>
      </c>
      <c r="E46" s="2240" t="s">
        <v>1458</v>
      </c>
      <c r="F46" s="2240" t="s">
        <v>1459</v>
      </c>
      <c r="G46" s="2239" t="s">
        <v>1460</v>
      </c>
      <c r="H46" s="2240"/>
      <c r="I46" s="2240">
        <v>6592.62</v>
      </c>
      <c r="J46" s="2253">
        <v>4285.6400000000003</v>
      </c>
      <c r="K46" s="2240">
        <v>2306.98</v>
      </c>
      <c r="L46" s="2240">
        <v>16620.8</v>
      </c>
      <c r="M46" s="2254">
        <v>25211</v>
      </c>
      <c r="N46" s="2240">
        <v>38782.538897340899</v>
      </c>
      <c r="O46" s="2239" t="s">
        <v>1461</v>
      </c>
      <c r="P46" s="2261">
        <v>45604</v>
      </c>
      <c r="Q46" s="2239" t="s">
        <v>1462</v>
      </c>
      <c r="R46" s="2240" t="s">
        <v>1353</v>
      </c>
      <c r="S46" s="2240">
        <v>20080</v>
      </c>
      <c r="T46" s="2260">
        <v>46854.145471854798</v>
      </c>
      <c r="U46" s="2240"/>
      <c r="V46" s="2275">
        <v>0.82772908366533904</v>
      </c>
      <c r="W46" s="2240" t="s">
        <v>1202</v>
      </c>
    </row>
    <row r="47" spans="1:23" ht="60" hidden="1" customHeight="1">
      <c r="A47" s="2239">
        <v>690</v>
      </c>
      <c r="B47" s="2239" t="s">
        <v>1463</v>
      </c>
      <c r="C47" s="2239" t="s">
        <v>1464</v>
      </c>
      <c r="D47" s="2240" t="s">
        <v>1185</v>
      </c>
      <c r="E47" s="2240" t="s">
        <v>1465</v>
      </c>
      <c r="F47" s="2240" t="s">
        <v>1466</v>
      </c>
      <c r="G47" s="2239" t="s">
        <v>1467</v>
      </c>
      <c r="H47" s="2240">
        <v>1715.57</v>
      </c>
      <c r="I47" s="2240">
        <v>4398.8999999999996</v>
      </c>
      <c r="J47" s="2253">
        <v>3573.4</v>
      </c>
      <c r="K47" s="2240">
        <v>825.5</v>
      </c>
      <c r="L47" s="2240">
        <v>11008.399600000001</v>
      </c>
      <c r="M47" s="2254">
        <v>25025</v>
      </c>
      <c r="N47" s="2240">
        <v>30806.513684446199</v>
      </c>
      <c r="O47" s="2239" t="s">
        <v>1468</v>
      </c>
      <c r="P47" s="2261">
        <v>45604</v>
      </c>
      <c r="Q47" s="2271" t="s">
        <v>1469</v>
      </c>
      <c r="R47" s="2240" t="s">
        <v>1455</v>
      </c>
      <c r="S47" s="2240">
        <v>16179.31</v>
      </c>
      <c r="T47" s="2260">
        <v>45277.075054569897</v>
      </c>
      <c r="U47" s="2240"/>
      <c r="V47" s="2275">
        <v>0.68039981927535897</v>
      </c>
      <c r="W47" s="2240" t="s">
        <v>1202</v>
      </c>
    </row>
    <row r="48" spans="1:23" s="2237" customFormat="1" ht="60" customHeight="1">
      <c r="A48" s="2244">
        <v>691</v>
      </c>
      <c r="B48" s="2244" t="s">
        <v>1470</v>
      </c>
      <c r="C48" s="2244" t="s">
        <v>1471</v>
      </c>
      <c r="D48" s="2245" t="s">
        <v>1185</v>
      </c>
      <c r="E48" s="2245" t="s">
        <v>1236</v>
      </c>
      <c r="F48" s="2245" t="s">
        <v>1237</v>
      </c>
      <c r="G48" s="2244" t="s">
        <v>1472</v>
      </c>
      <c r="H48" s="2245"/>
      <c r="I48" s="2245">
        <v>21750.47</v>
      </c>
      <c r="J48" s="2262">
        <v>16877.5</v>
      </c>
      <c r="K48" s="2245">
        <v>4872.97</v>
      </c>
      <c r="L48" s="2245">
        <v>82000</v>
      </c>
      <c r="M48" s="2254">
        <v>37700</v>
      </c>
      <c r="N48" s="2240">
        <v>48585.394756332404</v>
      </c>
      <c r="O48" s="2245" t="s">
        <v>124</v>
      </c>
      <c r="P48" s="2273">
        <v>45602</v>
      </c>
      <c r="Q48" s="2244" t="s">
        <v>1473</v>
      </c>
      <c r="R48" s="2245" t="s">
        <v>1241</v>
      </c>
      <c r="S48" s="2245"/>
      <c r="T48" s="2254">
        <v>0</v>
      </c>
      <c r="U48" s="2245"/>
      <c r="V48" s="2278" t="e">
        <v>#DIV/0!</v>
      </c>
      <c r="W48" s="2245" t="s">
        <v>1260</v>
      </c>
    </row>
    <row r="49" spans="1:23" ht="60" hidden="1" customHeight="1">
      <c r="A49" s="2239">
        <v>693</v>
      </c>
      <c r="B49" s="2240" t="s">
        <v>1474</v>
      </c>
      <c r="C49" s="2239" t="s">
        <v>1475</v>
      </c>
      <c r="D49" s="2240" t="s">
        <v>1332</v>
      </c>
      <c r="E49" s="2240" t="s">
        <v>1476</v>
      </c>
      <c r="F49" s="2240" t="s">
        <v>1477</v>
      </c>
      <c r="G49" s="2239" t="s">
        <v>1478</v>
      </c>
      <c r="H49" s="2240"/>
      <c r="I49" s="2240">
        <v>12302.41</v>
      </c>
      <c r="J49" s="2253">
        <v>9663.7900000000009</v>
      </c>
      <c r="K49" s="2240">
        <v>2638.62</v>
      </c>
      <c r="L49" s="2240">
        <v>25439.443469999998</v>
      </c>
      <c r="M49" s="2237">
        <v>20678</v>
      </c>
      <c r="N49" s="2238">
        <v>26324.499466565401</v>
      </c>
      <c r="O49" s="2239" t="s">
        <v>1479</v>
      </c>
      <c r="P49" s="2261">
        <v>45608</v>
      </c>
      <c r="Q49" s="2239" t="s">
        <v>1480</v>
      </c>
      <c r="R49" s="2240" t="s">
        <v>1481</v>
      </c>
      <c r="S49" s="2240">
        <v>36342.062100000003</v>
      </c>
      <c r="T49" s="2260">
        <v>37606.4278093791</v>
      </c>
      <c r="U49" s="2240"/>
      <c r="V49" s="2275">
        <v>0.7</v>
      </c>
      <c r="W49" s="2240" t="s">
        <v>1202</v>
      </c>
    </row>
    <row r="50" spans="1:23" ht="60" hidden="1" customHeight="1">
      <c r="A50" s="2239">
        <v>695</v>
      </c>
      <c r="B50" s="2239" t="s">
        <v>1482</v>
      </c>
      <c r="C50" s="2239" t="s">
        <v>1483</v>
      </c>
      <c r="D50" s="2240" t="s">
        <v>1185</v>
      </c>
      <c r="E50" s="2240" t="s">
        <v>1252</v>
      </c>
      <c r="F50" s="2239" t="s">
        <v>1484</v>
      </c>
      <c r="G50" s="2239" t="s">
        <v>1485</v>
      </c>
      <c r="H50" s="2240"/>
      <c r="I50" s="2240">
        <v>1552.64</v>
      </c>
      <c r="J50" s="2253">
        <v>1552.64</v>
      </c>
      <c r="K50" s="2240"/>
      <c r="L50" s="2240">
        <v>5250.0896000000002</v>
      </c>
      <c r="M50" s="2237">
        <v>33814</v>
      </c>
      <c r="N50" s="2238">
        <v>33813.953009068398</v>
      </c>
      <c r="O50" s="2239" t="s">
        <v>1486</v>
      </c>
      <c r="P50" s="2261">
        <v>45611</v>
      </c>
      <c r="Q50" s="2240" t="s">
        <v>1487</v>
      </c>
      <c r="R50" s="2240" t="s">
        <v>1369</v>
      </c>
      <c r="S50" s="2240">
        <v>9375.16</v>
      </c>
      <c r="T50" s="2260">
        <v>60382.058944764998</v>
      </c>
      <c r="U50" s="2240"/>
      <c r="V50" s="2275">
        <v>0.56000000000000005</v>
      </c>
      <c r="W50" s="2240" t="s">
        <v>1202</v>
      </c>
    </row>
    <row r="51" spans="1:23" ht="60" hidden="1" customHeight="1">
      <c r="A51" s="2239">
        <v>705</v>
      </c>
      <c r="B51" s="2240" t="s">
        <v>1488</v>
      </c>
      <c r="C51" s="2240" t="s">
        <v>1489</v>
      </c>
      <c r="D51" s="2240" t="s">
        <v>1332</v>
      </c>
      <c r="E51" s="2240" t="s">
        <v>1490</v>
      </c>
      <c r="F51" s="2240" t="s">
        <v>1208</v>
      </c>
      <c r="G51" s="2239" t="s">
        <v>229</v>
      </c>
      <c r="H51" s="2240"/>
      <c r="I51" s="2239">
        <v>376.61</v>
      </c>
      <c r="J51" s="2251">
        <v>376.61</v>
      </c>
      <c r="K51" s="2240"/>
      <c r="L51" s="2240">
        <v>1951.58</v>
      </c>
      <c r="M51" s="2237">
        <v>51820</v>
      </c>
      <c r="N51" s="2238">
        <v>51819.654284272903</v>
      </c>
      <c r="O51" s="2239" t="s">
        <v>1491</v>
      </c>
      <c r="P51" s="2259">
        <v>45627</v>
      </c>
      <c r="Q51" s="2282" t="s">
        <v>1492</v>
      </c>
      <c r="R51" s="2240" t="s">
        <v>1422</v>
      </c>
      <c r="S51" s="2240">
        <v>2087.96</v>
      </c>
      <c r="T51" s="2260">
        <v>55440.907039112099</v>
      </c>
      <c r="U51" s="2240"/>
      <c r="V51" s="2275">
        <v>0.93468265675587603</v>
      </c>
      <c r="W51" s="2240" t="s">
        <v>1202</v>
      </c>
    </row>
    <row r="52" spans="1:23" ht="60" hidden="1" customHeight="1">
      <c r="A52" s="2239">
        <v>712</v>
      </c>
      <c r="B52" s="2239" t="s">
        <v>1493</v>
      </c>
      <c r="C52" s="2240" t="s">
        <v>1494</v>
      </c>
      <c r="D52" s="2240" t="s">
        <v>1302</v>
      </c>
      <c r="E52" s="2240" t="s">
        <v>1495</v>
      </c>
      <c r="F52" s="2240" t="s">
        <v>1496</v>
      </c>
      <c r="G52" s="2239" t="s">
        <v>1497</v>
      </c>
      <c r="H52" s="2240"/>
      <c r="I52" s="2240">
        <v>22711.39</v>
      </c>
      <c r="J52" s="2253">
        <v>22711.39</v>
      </c>
      <c r="K52" s="2240"/>
      <c r="L52" s="2240">
        <v>68000.009999999995</v>
      </c>
      <c r="M52" s="2254">
        <v>29941</v>
      </c>
      <c r="N52" s="2240">
        <v>29940.928318345999</v>
      </c>
      <c r="O52" s="2240" t="s">
        <v>124</v>
      </c>
      <c r="P52" s="2255">
        <v>45645</v>
      </c>
      <c r="Q52" s="2240" t="s">
        <v>1498</v>
      </c>
      <c r="R52" s="2240" t="s">
        <v>1499</v>
      </c>
      <c r="S52" s="2240"/>
      <c r="T52" s="2260">
        <v>0</v>
      </c>
      <c r="U52" s="2240"/>
      <c r="V52" s="2275" t="e">
        <v>#DIV/0!</v>
      </c>
      <c r="W52" s="2240" t="s">
        <v>1500</v>
      </c>
    </row>
    <row r="53" spans="1:23" ht="60" hidden="1" customHeight="1">
      <c r="A53" s="2239">
        <v>716</v>
      </c>
      <c r="B53" s="2239" t="s">
        <v>1501</v>
      </c>
      <c r="C53" s="2239" t="s">
        <v>1502</v>
      </c>
      <c r="D53" s="2239" t="s">
        <v>1185</v>
      </c>
      <c r="E53" s="2240" t="s">
        <v>1433</v>
      </c>
      <c r="F53" s="2239" t="s">
        <v>1503</v>
      </c>
      <c r="G53" s="2239" t="s">
        <v>229</v>
      </c>
      <c r="H53" s="2240"/>
      <c r="I53" s="2253">
        <v>8056.29</v>
      </c>
      <c r="J53" s="2253">
        <v>8056.29</v>
      </c>
      <c r="K53" s="2253"/>
      <c r="L53" s="2240">
        <v>18466.659</v>
      </c>
      <c r="M53" s="2254">
        <v>22922</v>
      </c>
      <c r="N53" s="2240">
        <v>22922</v>
      </c>
      <c r="O53" s="2239" t="s">
        <v>1504</v>
      </c>
      <c r="P53" s="2261">
        <v>45648</v>
      </c>
      <c r="Q53" s="2283" t="s">
        <v>1505</v>
      </c>
      <c r="R53" s="2281" t="s">
        <v>1506</v>
      </c>
      <c r="S53" s="2240">
        <v>22952.37</v>
      </c>
      <c r="T53" s="2260">
        <v>28489.9997393341</v>
      </c>
      <c r="U53" s="2240"/>
      <c r="V53" s="2277">
        <v>0.80456436524855601</v>
      </c>
      <c r="W53" s="2240" t="s">
        <v>1202</v>
      </c>
    </row>
    <row r="54" spans="1:23" ht="60" hidden="1" customHeight="1">
      <c r="A54" s="2239">
        <v>719</v>
      </c>
      <c r="B54" s="2239" t="s">
        <v>1507</v>
      </c>
      <c r="C54" s="2239" t="s">
        <v>1508</v>
      </c>
      <c r="D54" s="2240" t="s">
        <v>1205</v>
      </c>
      <c r="E54" s="2240" t="s">
        <v>1509</v>
      </c>
      <c r="F54" s="2239" t="s">
        <v>1510</v>
      </c>
      <c r="G54" s="2239" t="s">
        <v>229</v>
      </c>
      <c r="H54" s="2240"/>
      <c r="I54" s="2240">
        <v>517.6</v>
      </c>
      <c r="J54" s="2253">
        <v>517.6</v>
      </c>
      <c r="K54" s="2240"/>
      <c r="L54" s="2240">
        <v>1108.24</v>
      </c>
      <c r="M54" s="2254">
        <v>21411</v>
      </c>
      <c r="N54" s="2240">
        <v>21411.128284389499</v>
      </c>
      <c r="O54" s="2239" t="s">
        <v>1511</v>
      </c>
      <c r="P54" s="2261">
        <v>45652</v>
      </c>
      <c r="Q54" s="2239" t="s">
        <v>1512</v>
      </c>
      <c r="R54" s="2240" t="s">
        <v>1353</v>
      </c>
      <c r="S54" s="2240">
        <v>1579</v>
      </c>
      <c r="T54" s="2260">
        <v>30506.1823802164</v>
      </c>
      <c r="U54" s="2240"/>
      <c r="V54" s="2275">
        <v>0.70186193793540197</v>
      </c>
      <c r="W54" s="2240" t="s">
        <v>1202</v>
      </c>
    </row>
    <row r="55" spans="1:23" ht="60" hidden="1" customHeight="1">
      <c r="A55" s="2239">
        <v>721</v>
      </c>
      <c r="B55" s="2239" t="s">
        <v>1513</v>
      </c>
      <c r="C55" s="2239" t="s">
        <v>1514</v>
      </c>
      <c r="D55" s="2240" t="s">
        <v>1205</v>
      </c>
      <c r="E55" s="2240" t="s">
        <v>1515</v>
      </c>
      <c r="F55" s="2240" t="s">
        <v>1376</v>
      </c>
      <c r="G55" s="2239" t="s">
        <v>1238</v>
      </c>
      <c r="H55" s="2240"/>
      <c r="I55" s="2240">
        <v>38487.19</v>
      </c>
      <c r="J55" s="2253">
        <v>30275.51</v>
      </c>
      <c r="K55" s="2240">
        <v>4567.6499999999996</v>
      </c>
      <c r="L55" s="2240">
        <v>277080.3</v>
      </c>
      <c r="M55" s="2254">
        <v>71993</v>
      </c>
      <c r="N55" s="2240">
        <v>91519.614368180701</v>
      </c>
      <c r="O55" s="2240" t="s">
        <v>124</v>
      </c>
      <c r="P55" s="2261">
        <v>45657</v>
      </c>
      <c r="Q55" s="2239" t="s">
        <v>1516</v>
      </c>
      <c r="R55" s="2240" t="s">
        <v>1517</v>
      </c>
      <c r="S55" s="2240"/>
      <c r="T55" s="2260">
        <v>0</v>
      </c>
      <c r="U55" s="2240"/>
      <c r="V55" s="2275" t="e">
        <v>#DIV/0!</v>
      </c>
      <c r="W55" s="2240" t="s">
        <v>1260</v>
      </c>
    </row>
    <row r="56" spans="1:23" ht="60" hidden="1" customHeight="1">
      <c r="A56" s="2239">
        <v>724</v>
      </c>
      <c r="B56" s="2239" t="s">
        <v>1518</v>
      </c>
      <c r="C56" s="2239" t="s">
        <v>1519</v>
      </c>
      <c r="D56" s="2240" t="s">
        <v>1302</v>
      </c>
      <c r="E56" s="2249" t="s">
        <v>1520</v>
      </c>
      <c r="F56" s="2240" t="s">
        <v>1521</v>
      </c>
      <c r="G56" s="2239" t="s">
        <v>1522</v>
      </c>
      <c r="H56" s="2240"/>
      <c r="I56" s="2240">
        <v>551.14</v>
      </c>
      <c r="J56" s="2253">
        <v>551.14</v>
      </c>
      <c r="K56" s="2240"/>
      <c r="L56" s="2240">
        <v>2106.1999999999998</v>
      </c>
      <c r="M56" s="2254">
        <v>38215</v>
      </c>
      <c r="N56" s="2240">
        <v>38215.335486446304</v>
      </c>
      <c r="O56" s="2240" t="s">
        <v>1208</v>
      </c>
      <c r="P56" s="2261">
        <v>45665</v>
      </c>
      <c r="Q56" s="2239" t="s">
        <v>1523</v>
      </c>
      <c r="R56" s="2240" t="s">
        <v>1524</v>
      </c>
      <c r="S56" s="2240">
        <v>1073.2049</v>
      </c>
      <c r="T56" s="2260">
        <v>19472.455274521901</v>
      </c>
      <c r="U56" s="2240"/>
      <c r="V56" s="2275">
        <v>1.9625329701718699</v>
      </c>
      <c r="W56" s="2240" t="s">
        <v>1202</v>
      </c>
    </row>
    <row r="57" spans="1:23" ht="60" hidden="1" customHeight="1">
      <c r="A57" s="2239">
        <v>725</v>
      </c>
      <c r="B57" s="2239" t="s">
        <v>1525</v>
      </c>
      <c r="C57" s="2239" t="s">
        <v>1526</v>
      </c>
      <c r="D57" s="2240" t="s">
        <v>1175</v>
      </c>
      <c r="E57" s="2240" t="s">
        <v>1527</v>
      </c>
      <c r="F57" s="2240" t="s">
        <v>1528</v>
      </c>
      <c r="G57" s="2239" t="s">
        <v>1529</v>
      </c>
      <c r="H57" s="2240"/>
      <c r="I57" s="2240">
        <v>120267.37</v>
      </c>
      <c r="J57" s="2253">
        <v>90549.83</v>
      </c>
      <c r="K57" s="2240">
        <v>29717.54</v>
      </c>
      <c r="L57" s="2240">
        <v>290000</v>
      </c>
      <c r="M57" s="2254">
        <v>24113</v>
      </c>
      <c r="N57" s="2240">
        <v>32026.5648207181</v>
      </c>
      <c r="O57" s="2240" t="s">
        <v>1530</v>
      </c>
      <c r="P57" s="2261">
        <v>45629</v>
      </c>
      <c r="Q57" s="2239" t="s">
        <v>1531</v>
      </c>
      <c r="R57" s="2240" t="s">
        <v>1517</v>
      </c>
      <c r="S57" s="2240"/>
      <c r="T57" s="2260">
        <v>0</v>
      </c>
      <c r="U57" s="2240"/>
      <c r="V57" s="2275" t="e">
        <v>#DIV/0!</v>
      </c>
      <c r="W57" s="2240" t="s">
        <v>1194</v>
      </c>
    </row>
    <row r="58" spans="1:23" ht="60" hidden="1" customHeight="1">
      <c r="A58" s="2239">
        <v>726</v>
      </c>
      <c r="B58" s="2239" t="s">
        <v>1532</v>
      </c>
      <c r="C58" s="2239" t="s">
        <v>1533</v>
      </c>
      <c r="D58" s="2240" t="s">
        <v>1185</v>
      </c>
      <c r="E58" s="2240" t="s">
        <v>1534</v>
      </c>
      <c r="F58" s="2239" t="s">
        <v>1535</v>
      </c>
      <c r="G58" s="2239" t="s">
        <v>1536</v>
      </c>
      <c r="H58" s="2240"/>
      <c r="I58" s="2240">
        <v>91329.32</v>
      </c>
      <c r="J58" s="2253">
        <v>81137.83</v>
      </c>
      <c r="K58" s="2253">
        <v>10191.49</v>
      </c>
      <c r="L58" s="2274">
        <v>168334.85</v>
      </c>
      <c r="M58" s="2254">
        <v>18432</v>
      </c>
      <c r="N58" s="2240">
        <v>20746.777427988902</v>
      </c>
      <c r="O58" s="2240" t="s">
        <v>1258</v>
      </c>
      <c r="P58" s="2255">
        <v>45671</v>
      </c>
      <c r="Q58" s="2239" t="s">
        <v>1537</v>
      </c>
      <c r="R58" s="2240" t="s">
        <v>1538</v>
      </c>
      <c r="S58" s="2240"/>
      <c r="T58" s="2260">
        <v>0</v>
      </c>
      <c r="U58" s="2240"/>
      <c r="V58" s="2275" t="e">
        <v>#DIV/0!</v>
      </c>
      <c r="W58" s="2240" t="s">
        <v>1260</v>
      </c>
    </row>
    <row r="59" spans="1:23" ht="60" hidden="1" customHeight="1">
      <c r="A59" s="2239">
        <v>732</v>
      </c>
      <c r="B59" s="2239" t="s">
        <v>1539</v>
      </c>
      <c r="C59" s="2239" t="s">
        <v>1540</v>
      </c>
      <c r="D59" s="2240" t="s">
        <v>1185</v>
      </c>
      <c r="E59" s="2240" t="s">
        <v>1541</v>
      </c>
      <c r="F59" s="2239" t="s">
        <v>1542</v>
      </c>
      <c r="G59" s="2239" t="s">
        <v>1543</v>
      </c>
      <c r="H59" s="2240"/>
      <c r="I59" s="2240">
        <v>7358.63</v>
      </c>
      <c r="J59" s="2253">
        <v>3400.96</v>
      </c>
      <c r="K59" s="2240">
        <v>3957.67</v>
      </c>
      <c r="L59" s="2274">
        <v>17772.328000000001</v>
      </c>
      <c r="M59" s="2254">
        <v>24152</v>
      </c>
      <c r="N59" s="2240">
        <v>52256.798080542001</v>
      </c>
      <c r="O59" s="2239" t="s">
        <v>1544</v>
      </c>
      <c r="P59" s="2261">
        <v>45695</v>
      </c>
      <c r="Q59" s="2239" t="s">
        <v>1545</v>
      </c>
      <c r="R59" s="2240" t="s">
        <v>1249</v>
      </c>
      <c r="S59" s="2240">
        <v>31736.3</v>
      </c>
      <c r="T59" s="2260">
        <v>93315.7108581106</v>
      </c>
      <c r="U59" s="2240"/>
      <c r="V59" s="2275">
        <v>0.56000000000000005</v>
      </c>
      <c r="W59" s="2240" t="s">
        <v>1202</v>
      </c>
    </row>
    <row r="60" spans="1:23" ht="60" hidden="1" customHeight="1">
      <c r="A60" s="2239">
        <v>733</v>
      </c>
      <c r="B60" s="2239" t="s">
        <v>1546</v>
      </c>
      <c r="C60" s="2239" t="s">
        <v>1547</v>
      </c>
      <c r="D60" s="2240" t="s">
        <v>1175</v>
      </c>
      <c r="E60" s="2240" t="s">
        <v>1548</v>
      </c>
      <c r="F60" s="2240" t="s">
        <v>1208</v>
      </c>
      <c r="G60" s="2239" t="s">
        <v>229</v>
      </c>
      <c r="H60" s="2240"/>
      <c r="I60" s="2240">
        <v>603.87</v>
      </c>
      <c r="J60" s="2253"/>
      <c r="K60" s="2240"/>
      <c r="L60" s="2240">
        <v>1062.8</v>
      </c>
      <c r="M60" s="2254">
        <v>17600</v>
      </c>
      <c r="N60" s="2240" t="e">
        <v>#DIV/0!</v>
      </c>
      <c r="O60" s="2240" t="s">
        <v>1208</v>
      </c>
      <c r="P60" s="2261">
        <v>45712</v>
      </c>
      <c r="Q60" s="2240" t="s">
        <v>1549</v>
      </c>
      <c r="R60" s="2240" t="s">
        <v>1404</v>
      </c>
      <c r="S60" s="2240">
        <v>1660.64</v>
      </c>
      <c r="T60" s="2260" t="e">
        <v>#DIV/0!</v>
      </c>
      <c r="U60" s="2240"/>
      <c r="V60" s="2275">
        <v>0.63999421909625198</v>
      </c>
      <c r="W60" s="2240" t="s">
        <v>1202</v>
      </c>
    </row>
    <row r="61" spans="1:23">
      <c r="M61" s="2254"/>
      <c r="N61" s="2240"/>
    </row>
    <row r="62" spans="1:23">
      <c r="M62" s="2254"/>
      <c r="N62" s="2240"/>
    </row>
    <row r="63" spans="1:23">
      <c r="M63" s="2254"/>
      <c r="N63" s="2240"/>
    </row>
    <row r="64" spans="1:23">
      <c r="M64" s="2237"/>
      <c r="N64" s="2238"/>
    </row>
    <row r="65" spans="13:14">
      <c r="M65" s="2237"/>
      <c r="N65" s="2238"/>
    </row>
    <row r="66" spans="13:14">
      <c r="M66" s="2237"/>
      <c r="N66" s="2238"/>
    </row>
    <row r="67" spans="13:14">
      <c r="M67" s="2237"/>
      <c r="N67" s="2238"/>
    </row>
    <row r="68" spans="13:14">
      <c r="M68" s="2237"/>
      <c r="N68" s="2238"/>
    </row>
    <row r="69" spans="13:14">
      <c r="M69" s="2237"/>
      <c r="N69" s="2238"/>
    </row>
    <row r="70" spans="13:14">
      <c r="M70" s="2237"/>
      <c r="N70" s="2238"/>
    </row>
    <row r="71" spans="13:14">
      <c r="M71" s="2237"/>
      <c r="N71" s="2238"/>
    </row>
    <row r="72" spans="13:14">
      <c r="M72" s="2237"/>
      <c r="N72" s="2238"/>
    </row>
    <row r="73" spans="13:14">
      <c r="M73" s="2237"/>
      <c r="N73" s="2238"/>
    </row>
    <row r="74" spans="13:14">
      <c r="M74" s="2237"/>
      <c r="N74" s="2238"/>
    </row>
    <row r="75" spans="13:14">
      <c r="M75" s="2237"/>
      <c r="N75" s="2238"/>
    </row>
    <row r="76" spans="13:14">
      <c r="M76" s="2237"/>
      <c r="N76" s="2238"/>
    </row>
    <row r="77" spans="13:14">
      <c r="M77" s="2237"/>
      <c r="N77" s="2238"/>
    </row>
    <row r="78" spans="13:14">
      <c r="M78" s="2237"/>
      <c r="N78" s="2238"/>
    </row>
    <row r="79" spans="13:14">
      <c r="M79" s="2237"/>
      <c r="N79" s="2238"/>
    </row>
    <row r="80" spans="13:14">
      <c r="M80" s="2237"/>
      <c r="N80" s="2238"/>
    </row>
    <row r="81" spans="13:14">
      <c r="M81" s="2237"/>
      <c r="N81" s="2238"/>
    </row>
    <row r="82" spans="13:14">
      <c r="M82" s="2237"/>
      <c r="N82" s="2238"/>
    </row>
    <row r="83" spans="13:14">
      <c r="M83" s="2237"/>
      <c r="N83" s="2238"/>
    </row>
    <row r="84" spans="13:14">
      <c r="M84" s="2237"/>
      <c r="N84" s="2238"/>
    </row>
    <row r="85" spans="13:14">
      <c r="M85" s="2237"/>
      <c r="N85" s="2238"/>
    </row>
    <row r="86" spans="13:14">
      <c r="M86" s="2237"/>
      <c r="N86" s="2238"/>
    </row>
    <row r="87" spans="13:14">
      <c r="M87" s="2237"/>
      <c r="N87" s="2238"/>
    </row>
    <row r="88" spans="13:14">
      <c r="M88" s="2237"/>
      <c r="N88" s="2238"/>
    </row>
    <row r="89" spans="13:14">
      <c r="M89" s="2237"/>
      <c r="N89" s="2238"/>
    </row>
    <row r="90" spans="13:14">
      <c r="M90" s="2237"/>
      <c r="N90" s="2238"/>
    </row>
    <row r="91" spans="13:14">
      <c r="M91" s="2237"/>
      <c r="N91" s="2238"/>
    </row>
    <row r="92" spans="13:14">
      <c r="M92" s="2237"/>
      <c r="N92" s="2238"/>
    </row>
    <row r="93" spans="13:14">
      <c r="M93" s="2237"/>
      <c r="N93" s="2238"/>
    </row>
    <row r="94" spans="13:14">
      <c r="M94" s="2237"/>
      <c r="N94" s="2238"/>
    </row>
    <row r="95" spans="13:14">
      <c r="M95" s="2237"/>
      <c r="N95" s="2238"/>
    </row>
    <row r="96" spans="13:14">
      <c r="M96" s="2237"/>
      <c r="N96" s="2238"/>
    </row>
    <row r="97" spans="13:14">
      <c r="M97" s="2237"/>
      <c r="N97" s="2238"/>
    </row>
    <row r="98" spans="13:14">
      <c r="M98" s="2237"/>
      <c r="N98" s="2238"/>
    </row>
    <row r="99" spans="13:14">
      <c r="M99" s="2237"/>
      <c r="N99" s="2238"/>
    </row>
    <row r="100" spans="13:14">
      <c r="M100" s="2237"/>
      <c r="N100" s="2238"/>
    </row>
    <row r="101" spans="13:14">
      <c r="M101" s="2237"/>
      <c r="N101" s="2238"/>
    </row>
    <row r="102" spans="13:14">
      <c r="M102" s="2237"/>
      <c r="N102" s="2238"/>
    </row>
    <row r="103" spans="13:14">
      <c r="M103" s="2237"/>
      <c r="N103" s="2238"/>
    </row>
    <row r="104" spans="13:14">
      <c r="M104" s="2237"/>
      <c r="N104" s="2238"/>
    </row>
    <row r="105" spans="13:14">
      <c r="M105" s="2237"/>
      <c r="N105" s="2238"/>
    </row>
    <row r="106" spans="13:14">
      <c r="M106" s="2237"/>
      <c r="N106" s="2238"/>
    </row>
    <row r="107" spans="13:14">
      <c r="M107" s="2237"/>
      <c r="N107" s="2238"/>
    </row>
    <row r="108" spans="13:14">
      <c r="M108" s="2237"/>
      <c r="N108" s="2238"/>
    </row>
    <row r="109" spans="13:14">
      <c r="M109" s="2237"/>
      <c r="N109" s="2238"/>
    </row>
    <row r="110" spans="13:14">
      <c r="M110" s="2237"/>
      <c r="N110" s="2238"/>
    </row>
    <row r="111" spans="13:14">
      <c r="M111" s="2237"/>
      <c r="N111" s="2238"/>
    </row>
    <row r="112" spans="13:14">
      <c r="M112" s="2237"/>
      <c r="N112" s="2238"/>
    </row>
    <row r="113" spans="13:14">
      <c r="M113" s="2237"/>
      <c r="N113" s="2238"/>
    </row>
    <row r="114" spans="13:14">
      <c r="M114" s="2237"/>
      <c r="N114" s="2238"/>
    </row>
    <row r="115" spans="13:14">
      <c r="M115" s="2237"/>
      <c r="N115" s="2238"/>
    </row>
    <row r="116" spans="13:14">
      <c r="M116" s="2237"/>
      <c r="N116" s="2238"/>
    </row>
    <row r="117" spans="13:14">
      <c r="M117" s="2237"/>
      <c r="N117" s="2238"/>
    </row>
    <row r="118" spans="13:14">
      <c r="M118" s="2237"/>
      <c r="N118" s="2238"/>
    </row>
    <row r="119" spans="13:14">
      <c r="M119" s="2237"/>
      <c r="N119" s="2238"/>
    </row>
    <row r="120" spans="13:14">
      <c r="M120" s="2237"/>
      <c r="N120" s="2238"/>
    </row>
    <row r="121" spans="13:14">
      <c r="M121" s="2237"/>
      <c r="N121" s="2238"/>
    </row>
    <row r="122" spans="13:14">
      <c r="M122" s="2237"/>
      <c r="N122" s="2238"/>
    </row>
    <row r="123" spans="13:14">
      <c r="M123" s="2237"/>
      <c r="N123" s="2238"/>
    </row>
    <row r="124" spans="13:14">
      <c r="M124" s="2237"/>
      <c r="N124" s="2238"/>
    </row>
    <row r="125" spans="13:14">
      <c r="M125" s="2237"/>
      <c r="N125" s="2238"/>
    </row>
    <row r="126" spans="13:14">
      <c r="M126" s="2237"/>
      <c r="N126" s="2238"/>
    </row>
    <row r="127" spans="13:14">
      <c r="M127" s="2237"/>
      <c r="N127" s="2238"/>
    </row>
    <row r="128" spans="13:14">
      <c r="M128" s="2237"/>
      <c r="N128" s="2238"/>
    </row>
    <row r="129" spans="13:14">
      <c r="M129" s="2237"/>
      <c r="N129" s="2238"/>
    </row>
    <row r="130" spans="13:14">
      <c r="M130" s="2237"/>
      <c r="N130" s="2238"/>
    </row>
    <row r="131" spans="13:14">
      <c r="M131" s="2237"/>
      <c r="N131" s="2238"/>
    </row>
    <row r="132" spans="13:14">
      <c r="M132" s="2237"/>
      <c r="N132" s="2238"/>
    </row>
    <row r="133" spans="13:14">
      <c r="M133" s="2237"/>
      <c r="N133" s="2238"/>
    </row>
    <row r="134" spans="13:14">
      <c r="M134" s="2237"/>
      <c r="N134" s="2238"/>
    </row>
    <row r="135" spans="13:14">
      <c r="M135" s="2237"/>
      <c r="N135" s="2238"/>
    </row>
    <row r="136" spans="13:14">
      <c r="M136" s="2237"/>
      <c r="N136" s="2238"/>
    </row>
    <row r="137" spans="13:14">
      <c r="M137" s="2237"/>
      <c r="N137" s="2238"/>
    </row>
    <row r="138" spans="13:14">
      <c r="M138" s="2237"/>
      <c r="N138" s="2238"/>
    </row>
    <row r="139" spans="13:14">
      <c r="M139" s="2237"/>
      <c r="N139" s="2238"/>
    </row>
    <row r="140" spans="13:14">
      <c r="M140" s="2237"/>
      <c r="N140" s="2238"/>
    </row>
    <row r="141" spans="13:14">
      <c r="M141" s="2237"/>
      <c r="N141" s="2238"/>
    </row>
    <row r="142" spans="13:14">
      <c r="M142" s="2237"/>
      <c r="N142" s="2238"/>
    </row>
    <row r="143" spans="13:14">
      <c r="M143" s="2237"/>
      <c r="N143" s="2238"/>
    </row>
    <row r="144" spans="13:14">
      <c r="M144" s="2237"/>
      <c r="N144" s="2238"/>
    </row>
    <row r="145" spans="13:14">
      <c r="M145" s="2237"/>
      <c r="N145" s="2238"/>
    </row>
    <row r="146" spans="13:14">
      <c r="M146" s="2237"/>
      <c r="N146" s="2238"/>
    </row>
    <row r="147" spans="13:14">
      <c r="M147" s="2237"/>
      <c r="N147" s="2238"/>
    </row>
    <row r="148" spans="13:14">
      <c r="M148" s="2237"/>
      <c r="N148" s="2238"/>
    </row>
    <row r="149" spans="13:14">
      <c r="M149" s="2237"/>
      <c r="N149" s="2238"/>
    </row>
    <row r="150" spans="13:14">
      <c r="M150" s="2237"/>
      <c r="N150" s="2238"/>
    </row>
    <row r="151" spans="13:14">
      <c r="M151" s="2237"/>
      <c r="N151" s="2238"/>
    </row>
    <row r="152" spans="13:14">
      <c r="M152" s="2237"/>
      <c r="N152" s="2238"/>
    </row>
    <row r="153" spans="13:14">
      <c r="M153" s="2237"/>
      <c r="N153" s="2238"/>
    </row>
    <row r="154" spans="13:14">
      <c r="M154" s="2237"/>
      <c r="N154" s="2238"/>
    </row>
    <row r="155" spans="13:14">
      <c r="M155" s="2237"/>
      <c r="N155" s="2238"/>
    </row>
    <row r="156" spans="13:14">
      <c r="M156" s="2237"/>
      <c r="N156" s="2238"/>
    </row>
    <row r="157" spans="13:14">
      <c r="M157" s="2237"/>
      <c r="N157" s="2238"/>
    </row>
    <row r="158" spans="13:14">
      <c r="M158" s="2237"/>
      <c r="N158" s="2238"/>
    </row>
    <row r="159" spans="13:14">
      <c r="M159" s="2237"/>
      <c r="N159" s="2238"/>
    </row>
    <row r="160" spans="13:14">
      <c r="M160" s="2237"/>
      <c r="N160" s="2238"/>
    </row>
    <row r="161" spans="13:14">
      <c r="M161" s="2237"/>
      <c r="N161" s="2238"/>
    </row>
    <row r="162" spans="13:14">
      <c r="M162" s="2237"/>
      <c r="N162" s="2238"/>
    </row>
    <row r="163" spans="13:14">
      <c r="M163" s="2237"/>
      <c r="N163" s="2238"/>
    </row>
    <row r="164" spans="13:14">
      <c r="M164" s="2237"/>
      <c r="N164" s="2238"/>
    </row>
    <row r="165" spans="13:14">
      <c r="M165" s="2237"/>
      <c r="N165" s="2238"/>
    </row>
    <row r="166" spans="13:14">
      <c r="M166" s="2237"/>
      <c r="N166" s="2238"/>
    </row>
    <row r="167" spans="13:14">
      <c r="M167" s="2237"/>
      <c r="N167" s="2238"/>
    </row>
    <row r="168" spans="13:14">
      <c r="M168" s="2237"/>
      <c r="N168" s="2238"/>
    </row>
    <row r="169" spans="13:14">
      <c r="M169" s="2237"/>
      <c r="N169" s="2238"/>
    </row>
    <row r="170" spans="13:14">
      <c r="M170" s="2237"/>
      <c r="N170" s="2238"/>
    </row>
    <row r="171" spans="13:14">
      <c r="M171" s="2237"/>
      <c r="N171" s="2238"/>
    </row>
    <row r="172" spans="13:14">
      <c r="M172" s="2237"/>
      <c r="N172" s="2238"/>
    </row>
    <row r="173" spans="13:14">
      <c r="M173" s="2237"/>
      <c r="N173" s="2238"/>
    </row>
    <row r="174" spans="13:14">
      <c r="M174" s="2237"/>
      <c r="N174" s="2238"/>
    </row>
    <row r="175" spans="13:14">
      <c r="M175" s="2237"/>
      <c r="N175" s="2238"/>
    </row>
    <row r="176" spans="13:14">
      <c r="M176" s="2237"/>
      <c r="N176" s="2238"/>
    </row>
    <row r="177" spans="13:14">
      <c r="M177" s="2237"/>
      <c r="N177" s="2238"/>
    </row>
    <row r="178" spans="13:14">
      <c r="M178" s="2237"/>
      <c r="N178" s="2238"/>
    </row>
    <row r="179" spans="13:14">
      <c r="M179" s="2237"/>
      <c r="N179" s="2238"/>
    </row>
    <row r="180" spans="13:14">
      <c r="M180" s="2237"/>
      <c r="N180" s="2238"/>
    </row>
    <row r="181" spans="13:14">
      <c r="M181" s="2237"/>
      <c r="N181" s="2238"/>
    </row>
    <row r="182" spans="13:14">
      <c r="M182" s="2237"/>
      <c r="N182" s="2238"/>
    </row>
    <row r="183" spans="13:14">
      <c r="M183" s="2237"/>
      <c r="N183" s="2238"/>
    </row>
    <row r="184" spans="13:14">
      <c r="M184" s="2237"/>
      <c r="N184" s="2238"/>
    </row>
    <row r="185" spans="13:14">
      <c r="M185" s="2237"/>
      <c r="N185" s="2238"/>
    </row>
    <row r="186" spans="13:14">
      <c r="M186" s="2237"/>
      <c r="N186" s="2238"/>
    </row>
    <row r="187" spans="13:14">
      <c r="M187" s="2237"/>
      <c r="N187" s="2238"/>
    </row>
    <row r="188" spans="13:14">
      <c r="M188" s="2237"/>
      <c r="N188" s="2238"/>
    </row>
    <row r="189" spans="13:14">
      <c r="M189" s="2237"/>
      <c r="N189" s="2238"/>
    </row>
    <row r="190" spans="13:14">
      <c r="M190" s="2237"/>
      <c r="N190" s="2238"/>
    </row>
    <row r="191" spans="13:14">
      <c r="M191" s="2237"/>
      <c r="N191" s="2238"/>
    </row>
    <row r="192" spans="13:14">
      <c r="M192" s="2237"/>
      <c r="N192" s="2238"/>
    </row>
    <row r="193" spans="13:14">
      <c r="M193" s="2237"/>
      <c r="N193" s="2238"/>
    </row>
    <row r="194" spans="13:14">
      <c r="M194" s="2237"/>
      <c r="N194" s="2238"/>
    </row>
    <row r="195" spans="13:14">
      <c r="M195" s="2237"/>
      <c r="N195" s="2238"/>
    </row>
    <row r="196" spans="13:14">
      <c r="M196" s="2237"/>
      <c r="N196" s="2238"/>
    </row>
    <row r="197" spans="13:14">
      <c r="M197" s="2237"/>
      <c r="N197" s="2238"/>
    </row>
    <row r="198" spans="13:14">
      <c r="M198" s="2237"/>
      <c r="N198" s="2238"/>
    </row>
    <row r="199" spans="13:14">
      <c r="M199" s="2237"/>
      <c r="N199" s="2238"/>
    </row>
    <row r="200" spans="13:14">
      <c r="M200" s="2237"/>
      <c r="N200" s="2238"/>
    </row>
    <row r="201" spans="13:14">
      <c r="M201" s="2237"/>
      <c r="N201" s="2238"/>
    </row>
    <row r="202" spans="13:14">
      <c r="M202" s="2237"/>
      <c r="N202" s="2238"/>
    </row>
    <row r="203" spans="13:14">
      <c r="M203" s="2237"/>
      <c r="N203" s="2238"/>
    </row>
    <row r="204" spans="13:14">
      <c r="M204" s="2237"/>
      <c r="N204" s="2238"/>
    </row>
    <row r="205" spans="13:14">
      <c r="M205" s="2237"/>
      <c r="N205" s="2238"/>
    </row>
    <row r="206" spans="13:14">
      <c r="M206" s="2237"/>
      <c r="N206" s="2238"/>
    </row>
    <row r="207" spans="13:14">
      <c r="M207" s="2237"/>
      <c r="N207" s="2238"/>
    </row>
    <row r="208" spans="13:14">
      <c r="M208" s="2237"/>
      <c r="N208" s="2238"/>
    </row>
    <row r="209" spans="13:14">
      <c r="M209" s="2237"/>
      <c r="N209" s="2238"/>
    </row>
    <row r="210" spans="13:14">
      <c r="M210" s="2237"/>
      <c r="N210" s="2238"/>
    </row>
    <row r="211" spans="13:14">
      <c r="M211" s="2237"/>
      <c r="N211" s="2238"/>
    </row>
    <row r="212" spans="13:14">
      <c r="M212" s="2237"/>
      <c r="N212" s="2238"/>
    </row>
    <row r="213" spans="13:14">
      <c r="M213" s="2237"/>
      <c r="N213" s="2238"/>
    </row>
    <row r="214" spans="13:14">
      <c r="M214" s="2237"/>
      <c r="N214" s="2238"/>
    </row>
    <row r="215" spans="13:14">
      <c r="M215" s="2237"/>
      <c r="N215" s="2238"/>
    </row>
    <row r="216" spans="13:14">
      <c r="M216" s="2237"/>
      <c r="N216" s="2238"/>
    </row>
    <row r="217" spans="13:14">
      <c r="M217" s="2237"/>
      <c r="N217" s="2238"/>
    </row>
    <row r="218" spans="13:14">
      <c r="M218" s="2237"/>
      <c r="N218" s="2238"/>
    </row>
    <row r="219" spans="13:14">
      <c r="M219" s="2237"/>
      <c r="N219" s="2238"/>
    </row>
    <row r="220" spans="13:14">
      <c r="M220" s="2237"/>
      <c r="N220" s="2238"/>
    </row>
    <row r="221" spans="13:14">
      <c r="M221" s="2237"/>
      <c r="N221" s="2238"/>
    </row>
    <row r="222" spans="13:14">
      <c r="M222" s="2237"/>
      <c r="N222" s="2238"/>
    </row>
    <row r="223" spans="13:14">
      <c r="M223" s="2237"/>
      <c r="N223" s="2238"/>
    </row>
    <row r="224" spans="13:14">
      <c r="M224" s="2237"/>
      <c r="N224" s="2238"/>
    </row>
    <row r="225" spans="13:14">
      <c r="M225" s="2237"/>
      <c r="N225" s="2238"/>
    </row>
    <row r="226" spans="13:14">
      <c r="M226" s="2237"/>
      <c r="N226" s="2238"/>
    </row>
    <row r="227" spans="13:14">
      <c r="M227" s="2237"/>
      <c r="N227" s="2238"/>
    </row>
    <row r="228" spans="13:14">
      <c r="M228" s="2237"/>
      <c r="N228" s="2238"/>
    </row>
    <row r="229" spans="13:14">
      <c r="M229" s="2237"/>
      <c r="N229" s="2238"/>
    </row>
    <row r="230" spans="13:14">
      <c r="M230" s="2237"/>
      <c r="N230" s="2238"/>
    </row>
    <row r="231" spans="13:14">
      <c r="M231" s="2237"/>
      <c r="N231" s="2238"/>
    </row>
    <row r="232" spans="13:14">
      <c r="M232" s="2237"/>
      <c r="N232" s="2238"/>
    </row>
    <row r="233" spans="13:14">
      <c r="M233" s="2237"/>
      <c r="N233" s="2238"/>
    </row>
    <row r="234" spans="13:14">
      <c r="M234" s="2237"/>
      <c r="N234" s="2238"/>
    </row>
    <row r="235" spans="13:14">
      <c r="M235" s="2237"/>
      <c r="N235" s="2238"/>
    </row>
    <row r="236" spans="13:14">
      <c r="M236" s="2237"/>
      <c r="N236" s="2238"/>
    </row>
    <row r="237" spans="13:14">
      <c r="M237" s="2237"/>
      <c r="N237" s="2238"/>
    </row>
    <row r="238" spans="13:14">
      <c r="M238" s="2237"/>
      <c r="N238" s="2238"/>
    </row>
    <row r="239" spans="13:14">
      <c r="M239" s="2237"/>
      <c r="N239" s="2238"/>
    </row>
    <row r="240" spans="13:14">
      <c r="M240" s="2237"/>
      <c r="N240" s="2238"/>
    </row>
    <row r="241" spans="13:14">
      <c r="M241" s="2237"/>
      <c r="N241" s="2238"/>
    </row>
    <row r="242" spans="13:14">
      <c r="M242" s="2237"/>
      <c r="N242" s="2238"/>
    </row>
    <row r="243" spans="13:14">
      <c r="M243" s="2237"/>
      <c r="N243" s="2238"/>
    </row>
    <row r="244" spans="13:14">
      <c r="M244" s="2237"/>
      <c r="N244" s="2238"/>
    </row>
    <row r="245" spans="13:14">
      <c r="M245" s="2237"/>
      <c r="N245" s="2238"/>
    </row>
    <row r="246" spans="13:14">
      <c r="M246" s="2237"/>
      <c r="N246" s="2238"/>
    </row>
    <row r="247" spans="13:14">
      <c r="M247" s="2237"/>
      <c r="N247" s="2238"/>
    </row>
    <row r="248" spans="13:14">
      <c r="M248" s="2237"/>
      <c r="N248" s="2238"/>
    </row>
    <row r="249" spans="13:14">
      <c r="M249" s="2237"/>
      <c r="N249" s="2238"/>
    </row>
    <row r="250" spans="13:14">
      <c r="M250" s="2237"/>
      <c r="N250" s="2238"/>
    </row>
    <row r="251" spans="13:14">
      <c r="M251" s="2237"/>
      <c r="N251" s="2238"/>
    </row>
    <row r="252" spans="13:14">
      <c r="M252" s="2237"/>
      <c r="N252" s="2238"/>
    </row>
    <row r="253" spans="13:14">
      <c r="M253" s="2237"/>
      <c r="N253" s="2238"/>
    </row>
    <row r="254" spans="13:14">
      <c r="M254" s="2237"/>
      <c r="N254" s="2238"/>
    </row>
    <row r="255" spans="13:14">
      <c r="M255" s="2237"/>
      <c r="N255" s="2238"/>
    </row>
    <row r="256" spans="13:14">
      <c r="M256" s="2237"/>
      <c r="N256" s="2238"/>
    </row>
    <row r="257" spans="13:14">
      <c r="M257" s="2237"/>
      <c r="N257" s="2238"/>
    </row>
    <row r="258" spans="13:14">
      <c r="M258" s="2237"/>
      <c r="N258" s="2238"/>
    </row>
    <row r="259" spans="13:14">
      <c r="M259" s="2237"/>
      <c r="N259" s="2238"/>
    </row>
    <row r="260" spans="13:14">
      <c r="M260" s="2237"/>
      <c r="N260" s="2238"/>
    </row>
    <row r="261" spans="13:14">
      <c r="M261" s="2237"/>
      <c r="N261" s="2238"/>
    </row>
    <row r="262" spans="13:14">
      <c r="M262" s="2237"/>
      <c r="N262" s="2238"/>
    </row>
    <row r="263" spans="13:14">
      <c r="M263" s="2237"/>
      <c r="N263" s="2238"/>
    </row>
    <row r="264" spans="13:14">
      <c r="M264" s="2237"/>
      <c r="N264" s="2238"/>
    </row>
    <row r="265" spans="13:14">
      <c r="M265" s="2237"/>
      <c r="N265" s="2238"/>
    </row>
    <row r="266" spans="13:14">
      <c r="M266" s="2237"/>
      <c r="N266" s="2238"/>
    </row>
    <row r="267" spans="13:14">
      <c r="M267" s="2237"/>
      <c r="N267" s="2238"/>
    </row>
    <row r="268" spans="13:14">
      <c r="M268" s="2237"/>
      <c r="N268" s="2238"/>
    </row>
    <row r="269" spans="13:14">
      <c r="M269" s="2237"/>
      <c r="N269" s="2238"/>
    </row>
    <row r="270" spans="13:14">
      <c r="M270" s="2237"/>
      <c r="N270" s="2238"/>
    </row>
    <row r="271" spans="13:14">
      <c r="M271" s="2237"/>
      <c r="N271" s="2238"/>
    </row>
    <row r="272" spans="13:14">
      <c r="M272" s="2237"/>
      <c r="N272" s="2238"/>
    </row>
    <row r="273" spans="13:14">
      <c r="M273" s="2237"/>
      <c r="N273" s="2238"/>
    </row>
    <row r="274" spans="13:14">
      <c r="M274" s="2237"/>
      <c r="N274" s="2238"/>
    </row>
    <row r="275" spans="13:14">
      <c r="M275" s="2237"/>
      <c r="N275" s="2238"/>
    </row>
    <row r="276" spans="13:14">
      <c r="M276" s="2237"/>
      <c r="N276" s="2238"/>
    </row>
    <row r="277" spans="13:14">
      <c r="M277" s="2237"/>
      <c r="N277" s="2238"/>
    </row>
    <row r="278" spans="13:14">
      <c r="M278" s="2237"/>
      <c r="N278" s="2238"/>
    </row>
    <row r="279" spans="13:14">
      <c r="M279" s="2237"/>
      <c r="N279" s="2238"/>
    </row>
    <row r="280" spans="13:14">
      <c r="M280" s="2237"/>
      <c r="N280" s="2238"/>
    </row>
    <row r="281" spans="13:14">
      <c r="M281" s="2237"/>
      <c r="N281" s="2238"/>
    </row>
    <row r="282" spans="13:14">
      <c r="M282" s="2237"/>
      <c r="N282" s="2238"/>
    </row>
    <row r="283" spans="13:14">
      <c r="M283" s="2237"/>
      <c r="N283" s="2238"/>
    </row>
    <row r="284" spans="13:14">
      <c r="M284" s="2237"/>
      <c r="N284" s="2238"/>
    </row>
    <row r="285" spans="13:14">
      <c r="M285" s="2237"/>
      <c r="N285" s="2238"/>
    </row>
    <row r="286" spans="13:14">
      <c r="M286" s="2237"/>
      <c r="N286" s="2238"/>
    </row>
    <row r="287" spans="13:14">
      <c r="M287" s="2237"/>
      <c r="N287" s="2238"/>
    </row>
    <row r="288" spans="13:14">
      <c r="M288" s="2237"/>
      <c r="N288" s="2238"/>
    </row>
    <row r="289" spans="13:14">
      <c r="M289" s="2237"/>
      <c r="N289" s="2238"/>
    </row>
    <row r="290" spans="13:14">
      <c r="M290" s="2237"/>
      <c r="N290" s="2238"/>
    </row>
    <row r="291" spans="13:14">
      <c r="M291" s="2237"/>
      <c r="N291" s="2238"/>
    </row>
    <row r="292" spans="13:14">
      <c r="M292" s="2237"/>
      <c r="N292" s="2238"/>
    </row>
    <row r="293" spans="13:14">
      <c r="M293" s="2237"/>
      <c r="N293" s="2238"/>
    </row>
    <row r="294" spans="13:14">
      <c r="M294" s="2237"/>
      <c r="N294" s="2238"/>
    </row>
    <row r="295" spans="13:14">
      <c r="M295" s="2237"/>
      <c r="N295" s="2238"/>
    </row>
    <row r="296" spans="13:14">
      <c r="M296" s="2237"/>
      <c r="N296" s="2238"/>
    </row>
    <row r="297" spans="13:14">
      <c r="M297" s="2237"/>
      <c r="N297" s="2238"/>
    </row>
    <row r="298" spans="13:14">
      <c r="M298" s="2237"/>
      <c r="N298" s="2238"/>
    </row>
    <row r="299" spans="13:14">
      <c r="M299" s="2237"/>
      <c r="N299" s="2238"/>
    </row>
    <row r="300" spans="13:14">
      <c r="M300" s="2237"/>
      <c r="N300" s="2238"/>
    </row>
    <row r="301" spans="13:14">
      <c r="M301" s="2237"/>
      <c r="N301" s="2238"/>
    </row>
    <row r="302" spans="13:14">
      <c r="M302" s="2237"/>
      <c r="N302" s="2238"/>
    </row>
    <row r="303" spans="13:14">
      <c r="M303" s="2237"/>
      <c r="N303" s="2238"/>
    </row>
    <row r="304" spans="13:14">
      <c r="M304" s="2237"/>
      <c r="N304" s="2238"/>
    </row>
    <row r="305" spans="13:14">
      <c r="M305" s="2237"/>
      <c r="N305" s="2238"/>
    </row>
    <row r="306" spans="13:14">
      <c r="M306" s="2237"/>
      <c r="N306" s="2238"/>
    </row>
    <row r="307" spans="13:14">
      <c r="M307" s="2237"/>
      <c r="N307" s="2238"/>
    </row>
    <row r="308" spans="13:14">
      <c r="M308" s="2237"/>
      <c r="N308" s="2238"/>
    </row>
    <row r="309" spans="13:14">
      <c r="M309" s="2237"/>
      <c r="N309" s="2238"/>
    </row>
    <row r="310" spans="13:14">
      <c r="M310" s="2237"/>
      <c r="N310" s="2238"/>
    </row>
    <row r="311" spans="13:14">
      <c r="M311" s="2237"/>
      <c r="N311" s="2238"/>
    </row>
    <row r="312" spans="13:14">
      <c r="M312" s="2237"/>
      <c r="N312" s="2238"/>
    </row>
    <row r="313" spans="13:14">
      <c r="M313" s="2237"/>
      <c r="N313" s="2238"/>
    </row>
    <row r="314" spans="13:14">
      <c r="M314" s="2237"/>
      <c r="N314" s="2238"/>
    </row>
    <row r="315" spans="13:14">
      <c r="M315" s="2237"/>
      <c r="N315" s="2238"/>
    </row>
    <row r="316" spans="13:14">
      <c r="M316" s="2237"/>
      <c r="N316" s="2238"/>
    </row>
    <row r="317" spans="13:14">
      <c r="M317" s="2237"/>
      <c r="N317" s="2238"/>
    </row>
    <row r="318" spans="13:14">
      <c r="M318" s="2237"/>
      <c r="N318" s="2238"/>
    </row>
    <row r="319" spans="13:14">
      <c r="M319" s="2237"/>
      <c r="N319" s="2238"/>
    </row>
    <row r="320" spans="13:14">
      <c r="M320" s="2237"/>
      <c r="N320" s="2238"/>
    </row>
    <row r="321" spans="13:14">
      <c r="M321" s="2237"/>
      <c r="N321" s="2238"/>
    </row>
    <row r="322" spans="13:14">
      <c r="M322" s="2237"/>
      <c r="N322" s="2238"/>
    </row>
    <row r="323" spans="13:14">
      <c r="M323" s="2237"/>
      <c r="N323" s="2238"/>
    </row>
    <row r="324" spans="13:14">
      <c r="M324" s="2237"/>
      <c r="N324" s="2238"/>
    </row>
    <row r="325" spans="13:14">
      <c r="M325" s="2237"/>
      <c r="N325" s="2238"/>
    </row>
    <row r="326" spans="13:14">
      <c r="M326" s="2237"/>
      <c r="N326" s="2238"/>
    </row>
    <row r="327" spans="13:14">
      <c r="M327" s="2237"/>
      <c r="N327" s="2238"/>
    </row>
    <row r="328" spans="13:14">
      <c r="M328" s="2237"/>
      <c r="N328" s="2238"/>
    </row>
    <row r="329" spans="13:14">
      <c r="M329" s="2237"/>
      <c r="N329" s="2238"/>
    </row>
    <row r="330" spans="13:14">
      <c r="M330" s="2237"/>
      <c r="N330" s="2238"/>
    </row>
    <row r="331" spans="13:14">
      <c r="M331" s="2237"/>
      <c r="N331" s="2238"/>
    </row>
    <row r="332" spans="13:14">
      <c r="M332" s="2237"/>
      <c r="N332" s="2238"/>
    </row>
    <row r="333" spans="13:14">
      <c r="M333" s="2237"/>
      <c r="N333" s="2238"/>
    </row>
    <row r="334" spans="13:14">
      <c r="M334" s="2237"/>
      <c r="N334" s="2238"/>
    </row>
    <row r="335" spans="13:14">
      <c r="M335" s="2237"/>
      <c r="N335" s="2238"/>
    </row>
    <row r="336" spans="13:14">
      <c r="M336" s="2237"/>
      <c r="N336" s="2238"/>
    </row>
    <row r="337" spans="13:14">
      <c r="M337" s="2237"/>
      <c r="N337" s="2238"/>
    </row>
    <row r="338" spans="13:14">
      <c r="M338" s="2237"/>
      <c r="N338" s="2238"/>
    </row>
    <row r="339" spans="13:14">
      <c r="M339" s="2237"/>
      <c r="N339" s="2238"/>
    </row>
    <row r="340" spans="13:14">
      <c r="M340" s="2237"/>
      <c r="N340" s="2238"/>
    </row>
    <row r="341" spans="13:14">
      <c r="M341" s="2237"/>
      <c r="N341" s="2238"/>
    </row>
    <row r="342" spans="13:14">
      <c r="M342" s="2237"/>
      <c r="N342" s="2238"/>
    </row>
    <row r="343" spans="13:14">
      <c r="M343" s="2237"/>
      <c r="N343" s="2238"/>
    </row>
    <row r="344" spans="13:14">
      <c r="M344" s="2237"/>
      <c r="N344" s="2238"/>
    </row>
    <row r="345" spans="13:14">
      <c r="M345" s="2237"/>
      <c r="N345" s="2238"/>
    </row>
    <row r="346" spans="13:14">
      <c r="M346" s="2237"/>
      <c r="N346" s="2238"/>
    </row>
    <row r="347" spans="13:14">
      <c r="M347" s="2237"/>
      <c r="N347" s="2238"/>
    </row>
    <row r="348" spans="13:14">
      <c r="M348" s="2237"/>
      <c r="N348" s="2238"/>
    </row>
    <row r="349" spans="13:14">
      <c r="M349" s="2237"/>
      <c r="N349" s="2238"/>
    </row>
    <row r="350" spans="13:14">
      <c r="M350" s="2237"/>
      <c r="N350" s="2238"/>
    </row>
    <row r="351" spans="13:14">
      <c r="M351" s="2237"/>
      <c r="N351" s="2238"/>
    </row>
    <row r="352" spans="13:14">
      <c r="M352" s="2237"/>
      <c r="N352" s="2238"/>
    </row>
    <row r="353" spans="13:14">
      <c r="M353" s="2237"/>
      <c r="N353" s="2238"/>
    </row>
    <row r="354" spans="13:14">
      <c r="M354" s="2237"/>
      <c r="N354" s="2238"/>
    </row>
    <row r="355" spans="13:14">
      <c r="M355" s="2237"/>
      <c r="N355" s="2238"/>
    </row>
    <row r="356" spans="13:14">
      <c r="M356" s="2237"/>
      <c r="N356" s="2238"/>
    </row>
    <row r="357" spans="13:14">
      <c r="M357" s="2237"/>
      <c r="N357" s="2238"/>
    </row>
    <row r="358" spans="13:14">
      <c r="M358" s="2237"/>
      <c r="N358" s="2238"/>
    </row>
    <row r="359" spans="13:14">
      <c r="M359" s="2237"/>
      <c r="N359" s="2238"/>
    </row>
    <row r="360" spans="13:14">
      <c r="M360" s="2237"/>
      <c r="N360" s="2238"/>
    </row>
    <row r="361" spans="13:14">
      <c r="M361" s="2237"/>
      <c r="N361" s="2238"/>
    </row>
    <row r="362" spans="13:14">
      <c r="M362" s="2237"/>
      <c r="N362" s="2238"/>
    </row>
    <row r="363" spans="13:14">
      <c r="M363" s="2237"/>
      <c r="N363" s="2238"/>
    </row>
    <row r="364" spans="13:14">
      <c r="M364" s="2237"/>
      <c r="N364" s="2238"/>
    </row>
    <row r="365" spans="13:14">
      <c r="M365" s="2237"/>
      <c r="N365" s="2238"/>
    </row>
    <row r="366" spans="13:14">
      <c r="M366" s="2237"/>
      <c r="N366" s="2238"/>
    </row>
    <row r="367" spans="13:14">
      <c r="M367" s="2237"/>
      <c r="N367" s="2238"/>
    </row>
    <row r="368" spans="13:14">
      <c r="M368" s="2237"/>
      <c r="N368" s="2238"/>
    </row>
    <row r="369" spans="13:14">
      <c r="M369" s="2237"/>
      <c r="N369" s="2238"/>
    </row>
    <row r="370" spans="13:14">
      <c r="M370" s="2237"/>
      <c r="N370" s="2238"/>
    </row>
    <row r="371" spans="13:14">
      <c r="M371" s="2237"/>
      <c r="N371" s="2238"/>
    </row>
    <row r="372" spans="13:14">
      <c r="M372" s="2237"/>
      <c r="N372" s="2238"/>
    </row>
    <row r="373" spans="13:14">
      <c r="M373" s="2237"/>
      <c r="N373" s="2238"/>
    </row>
    <row r="374" spans="13:14">
      <c r="M374" s="2237"/>
      <c r="N374" s="2238"/>
    </row>
    <row r="375" spans="13:14">
      <c r="M375" s="2237"/>
      <c r="N375" s="2238"/>
    </row>
    <row r="376" spans="13:14">
      <c r="M376" s="2237"/>
      <c r="N376" s="2238"/>
    </row>
    <row r="377" spans="13:14">
      <c r="M377" s="2237"/>
      <c r="N377" s="2238"/>
    </row>
    <row r="378" spans="13:14">
      <c r="M378" s="2237"/>
      <c r="N378" s="2238"/>
    </row>
    <row r="379" spans="13:14">
      <c r="M379" s="2237"/>
      <c r="N379" s="2238"/>
    </row>
    <row r="380" spans="13:14">
      <c r="M380" s="2237"/>
      <c r="N380" s="2238"/>
    </row>
    <row r="381" spans="13:14">
      <c r="M381" s="2237"/>
      <c r="N381" s="2238"/>
    </row>
    <row r="382" spans="13:14">
      <c r="M382" s="2237"/>
      <c r="N382" s="2238"/>
    </row>
    <row r="383" spans="13:14">
      <c r="M383" s="2237"/>
      <c r="N383" s="2238"/>
    </row>
    <row r="384" spans="13:14">
      <c r="M384" s="2237"/>
      <c r="N384" s="2238"/>
    </row>
    <row r="385" spans="13:14">
      <c r="M385" s="2237"/>
      <c r="N385" s="2238"/>
    </row>
    <row r="386" spans="13:14">
      <c r="M386" s="2237"/>
      <c r="N386" s="2238"/>
    </row>
    <row r="387" spans="13:14">
      <c r="M387" s="2237"/>
      <c r="N387" s="2238"/>
    </row>
    <row r="388" spans="13:14">
      <c r="M388" s="2237"/>
      <c r="N388" s="2238"/>
    </row>
    <row r="389" spans="13:14">
      <c r="M389" s="2237"/>
      <c r="N389" s="2238"/>
    </row>
    <row r="390" spans="13:14">
      <c r="M390" s="2237"/>
      <c r="N390" s="2238"/>
    </row>
    <row r="391" spans="13:14">
      <c r="M391" s="2237"/>
      <c r="N391" s="2238"/>
    </row>
    <row r="392" spans="13:14">
      <c r="M392" s="2237"/>
      <c r="N392" s="2238"/>
    </row>
    <row r="393" spans="13:14">
      <c r="M393" s="2237"/>
      <c r="N393" s="2238"/>
    </row>
    <row r="394" spans="13:14">
      <c r="M394" s="2237"/>
      <c r="N394" s="2238"/>
    </row>
    <row r="395" spans="13:14">
      <c r="M395" s="2237"/>
      <c r="N395" s="2238"/>
    </row>
    <row r="396" spans="13:14">
      <c r="M396" s="2237"/>
      <c r="N396" s="2238"/>
    </row>
    <row r="397" spans="13:14">
      <c r="M397" s="2237"/>
      <c r="N397" s="2238"/>
    </row>
    <row r="398" spans="13:14">
      <c r="M398" s="2237"/>
      <c r="N398" s="2238"/>
    </row>
    <row r="399" spans="13:14">
      <c r="M399" s="2237"/>
      <c r="N399" s="2238"/>
    </row>
    <row r="400" spans="13:14">
      <c r="M400" s="2237"/>
      <c r="N400" s="2238"/>
    </row>
    <row r="401" spans="13:14">
      <c r="M401" s="2237"/>
      <c r="N401" s="2238"/>
    </row>
    <row r="402" spans="13:14">
      <c r="M402" s="2237"/>
      <c r="N402" s="2238"/>
    </row>
    <row r="403" spans="13:14">
      <c r="M403" s="2237"/>
      <c r="N403" s="2238"/>
    </row>
    <row r="404" spans="13:14">
      <c r="M404" s="2237"/>
      <c r="N404" s="2238"/>
    </row>
    <row r="405" spans="13:14">
      <c r="M405" s="2237"/>
      <c r="N405" s="2238"/>
    </row>
    <row r="406" spans="13:14">
      <c r="M406" s="2237"/>
      <c r="N406" s="2238"/>
    </row>
    <row r="407" spans="13:14">
      <c r="M407" s="2237"/>
      <c r="N407" s="2238"/>
    </row>
    <row r="408" spans="13:14">
      <c r="M408" s="2237"/>
      <c r="N408" s="2238"/>
    </row>
    <row r="409" spans="13:14">
      <c r="M409" s="2237"/>
      <c r="N409" s="2238"/>
    </row>
    <row r="410" spans="13:14">
      <c r="M410" s="2237"/>
      <c r="N410" s="2238"/>
    </row>
    <row r="411" spans="13:14">
      <c r="M411" s="2237"/>
      <c r="N411" s="2238"/>
    </row>
    <row r="412" spans="13:14">
      <c r="M412" s="2237"/>
      <c r="N412" s="2238"/>
    </row>
    <row r="413" spans="13:14">
      <c r="M413" s="2237"/>
      <c r="N413" s="2238"/>
    </row>
    <row r="414" spans="13:14">
      <c r="M414" s="2237"/>
      <c r="N414" s="2238"/>
    </row>
    <row r="415" spans="13:14">
      <c r="M415" s="2237"/>
      <c r="N415" s="2238"/>
    </row>
    <row r="416" spans="13:14">
      <c r="M416" s="2237"/>
      <c r="N416" s="2238"/>
    </row>
    <row r="417" spans="13:14">
      <c r="M417" s="2237"/>
      <c r="N417" s="2238"/>
    </row>
    <row r="418" spans="13:14">
      <c r="M418" s="2237"/>
      <c r="N418" s="2238"/>
    </row>
    <row r="419" spans="13:14">
      <c r="M419" s="2237"/>
      <c r="N419" s="2238"/>
    </row>
    <row r="420" spans="13:14">
      <c r="M420" s="2237"/>
      <c r="N420" s="2238"/>
    </row>
    <row r="421" spans="13:14">
      <c r="M421" s="2237"/>
      <c r="N421" s="2238"/>
    </row>
    <row r="422" spans="13:14">
      <c r="M422" s="2237"/>
      <c r="N422" s="2238"/>
    </row>
    <row r="423" spans="13:14">
      <c r="M423" s="2237"/>
      <c r="N423" s="2238"/>
    </row>
    <row r="424" spans="13:14">
      <c r="M424" s="2237"/>
      <c r="N424" s="2238"/>
    </row>
    <row r="425" spans="13:14">
      <c r="M425" s="2237"/>
      <c r="N425" s="2238"/>
    </row>
    <row r="426" spans="13:14">
      <c r="M426" s="2237"/>
      <c r="N426" s="2238"/>
    </row>
    <row r="427" spans="13:14">
      <c r="M427" s="2237"/>
      <c r="N427" s="2238"/>
    </row>
    <row r="428" spans="13:14">
      <c r="M428" s="2237"/>
      <c r="N428" s="2238"/>
    </row>
    <row r="429" spans="13:14">
      <c r="M429" s="2237"/>
      <c r="N429" s="2238"/>
    </row>
    <row r="430" spans="13:14">
      <c r="M430" s="2237"/>
      <c r="N430" s="2238"/>
    </row>
    <row r="431" spans="13:14">
      <c r="M431" s="2237"/>
      <c r="N431" s="2238"/>
    </row>
    <row r="432" spans="13:14">
      <c r="M432" s="2237"/>
      <c r="N432" s="2238"/>
    </row>
    <row r="433" spans="13:14">
      <c r="M433" s="2237"/>
      <c r="N433" s="2238"/>
    </row>
    <row r="434" spans="13:14">
      <c r="M434" s="2237"/>
      <c r="N434" s="2238"/>
    </row>
    <row r="435" spans="13:14">
      <c r="M435" s="2237"/>
      <c r="N435" s="2238"/>
    </row>
    <row r="436" spans="13:14">
      <c r="M436" s="2237"/>
      <c r="N436" s="2238"/>
    </row>
    <row r="437" spans="13:14">
      <c r="M437" s="2237"/>
      <c r="N437" s="2238"/>
    </row>
    <row r="438" spans="13:14">
      <c r="M438" s="2237"/>
      <c r="N438" s="2238"/>
    </row>
    <row r="439" spans="13:14">
      <c r="M439" s="2237"/>
      <c r="N439" s="2238"/>
    </row>
    <row r="440" spans="13:14">
      <c r="M440" s="2237"/>
      <c r="N440" s="2238"/>
    </row>
    <row r="441" spans="13:14">
      <c r="M441" s="2237"/>
      <c r="N441" s="2238"/>
    </row>
    <row r="442" spans="13:14">
      <c r="M442" s="2237"/>
      <c r="N442" s="2238"/>
    </row>
    <row r="443" spans="13:14">
      <c r="M443" s="2237"/>
      <c r="N443" s="2238"/>
    </row>
    <row r="444" spans="13:14">
      <c r="M444" s="2237"/>
      <c r="N444" s="2238"/>
    </row>
    <row r="445" spans="13:14">
      <c r="M445" s="2237"/>
      <c r="N445" s="2238"/>
    </row>
    <row r="446" spans="13:14">
      <c r="M446" s="2237"/>
      <c r="N446" s="2238"/>
    </row>
    <row r="447" spans="13:14">
      <c r="M447" s="2237"/>
      <c r="N447" s="2238"/>
    </row>
    <row r="448" spans="13:14">
      <c r="M448" s="2237"/>
      <c r="N448" s="2238"/>
    </row>
    <row r="449" spans="13:14">
      <c r="M449" s="2237"/>
      <c r="N449" s="2238"/>
    </row>
    <row r="450" spans="13:14">
      <c r="M450" s="2237"/>
      <c r="N450" s="2238"/>
    </row>
    <row r="451" spans="13:14">
      <c r="M451" s="2237"/>
      <c r="N451" s="2238"/>
    </row>
    <row r="452" spans="13:14">
      <c r="M452" s="2237"/>
      <c r="N452" s="2238"/>
    </row>
    <row r="453" spans="13:14">
      <c r="M453" s="2237"/>
      <c r="N453" s="2238"/>
    </row>
    <row r="454" spans="13:14">
      <c r="M454" s="2237"/>
      <c r="N454" s="2238"/>
    </row>
    <row r="455" spans="13:14">
      <c r="M455" s="2237"/>
      <c r="N455" s="2238"/>
    </row>
    <row r="456" spans="13:14">
      <c r="M456" s="2237"/>
      <c r="N456" s="2238"/>
    </row>
    <row r="457" spans="13:14">
      <c r="M457" s="2237"/>
      <c r="N457" s="2238"/>
    </row>
    <row r="458" spans="13:14">
      <c r="M458" s="2237"/>
      <c r="N458" s="2238"/>
    </row>
    <row r="459" spans="13:14">
      <c r="M459" s="2237"/>
      <c r="N459" s="2238"/>
    </row>
    <row r="460" spans="13:14">
      <c r="M460" s="2237"/>
      <c r="N460" s="2238"/>
    </row>
    <row r="461" spans="13:14">
      <c r="M461" s="2237"/>
      <c r="N461" s="2238"/>
    </row>
    <row r="462" spans="13:14">
      <c r="M462" s="2237"/>
      <c r="N462" s="2238"/>
    </row>
    <row r="463" spans="13:14">
      <c r="M463" s="2237"/>
      <c r="N463" s="2238"/>
    </row>
    <row r="464" spans="13:14">
      <c r="M464" s="2237"/>
      <c r="N464" s="2238"/>
    </row>
    <row r="465" spans="13:14">
      <c r="M465" s="2237"/>
      <c r="N465" s="2238"/>
    </row>
    <row r="466" spans="13:14">
      <c r="M466" s="2237"/>
      <c r="N466" s="2238"/>
    </row>
    <row r="467" spans="13:14">
      <c r="M467" s="2237"/>
      <c r="N467" s="2238"/>
    </row>
    <row r="468" spans="13:14">
      <c r="M468" s="2237"/>
      <c r="N468" s="2238"/>
    </row>
    <row r="469" spans="13:14">
      <c r="M469" s="2237"/>
      <c r="N469" s="2238"/>
    </row>
    <row r="470" spans="13:14">
      <c r="M470" s="2237"/>
      <c r="N470" s="2238"/>
    </row>
    <row r="471" spans="13:14">
      <c r="M471" s="2237"/>
      <c r="N471" s="2238"/>
    </row>
    <row r="472" spans="13:14">
      <c r="M472" s="2237"/>
      <c r="N472" s="2238"/>
    </row>
    <row r="473" spans="13:14">
      <c r="M473" s="2237"/>
      <c r="N473" s="2238"/>
    </row>
    <row r="474" spans="13:14">
      <c r="M474" s="2237"/>
      <c r="N474" s="2238"/>
    </row>
    <row r="475" spans="13:14">
      <c r="M475" s="2237"/>
      <c r="N475" s="2238"/>
    </row>
    <row r="476" spans="13:14">
      <c r="M476" s="2237"/>
      <c r="N476" s="2238"/>
    </row>
    <row r="477" spans="13:14">
      <c r="M477" s="2237"/>
      <c r="N477" s="2238"/>
    </row>
    <row r="478" spans="13:14">
      <c r="M478" s="2237"/>
      <c r="N478" s="2238"/>
    </row>
    <row r="479" spans="13:14">
      <c r="M479" s="2237"/>
      <c r="N479" s="2238"/>
    </row>
    <row r="480" spans="13:14">
      <c r="M480" s="2237"/>
      <c r="N480" s="2238"/>
    </row>
    <row r="481" spans="13:14">
      <c r="M481" s="2237"/>
      <c r="N481" s="2238"/>
    </row>
    <row r="482" spans="13:14">
      <c r="M482" s="2237"/>
      <c r="N482" s="2238"/>
    </row>
    <row r="483" spans="13:14">
      <c r="M483" s="2237"/>
      <c r="N483" s="2238"/>
    </row>
    <row r="484" spans="13:14">
      <c r="M484" s="2237"/>
      <c r="N484" s="2238"/>
    </row>
    <row r="485" spans="13:14">
      <c r="M485" s="2237"/>
      <c r="N485" s="2238"/>
    </row>
    <row r="486" spans="13:14">
      <c r="M486" s="2237"/>
      <c r="N486" s="2238"/>
    </row>
    <row r="487" spans="13:14">
      <c r="M487" s="2237"/>
      <c r="N487" s="2238"/>
    </row>
    <row r="488" spans="13:14">
      <c r="M488" s="2237"/>
      <c r="N488" s="2238"/>
    </row>
    <row r="489" spans="13:14">
      <c r="M489" s="2237"/>
      <c r="N489" s="2238"/>
    </row>
    <row r="490" spans="13:14">
      <c r="M490" s="2237"/>
      <c r="N490" s="2238"/>
    </row>
    <row r="491" spans="13:14">
      <c r="M491" s="2237"/>
      <c r="N491" s="2238"/>
    </row>
    <row r="492" spans="13:14">
      <c r="M492" s="2237"/>
      <c r="N492" s="2238"/>
    </row>
    <row r="493" spans="13:14">
      <c r="M493" s="2237"/>
      <c r="N493" s="2238"/>
    </row>
    <row r="494" spans="13:14">
      <c r="M494" s="2237"/>
      <c r="N494" s="2238"/>
    </row>
    <row r="495" spans="13:14">
      <c r="M495" s="2237"/>
      <c r="N495" s="2238"/>
    </row>
    <row r="496" spans="13:14">
      <c r="M496" s="2237"/>
      <c r="N496" s="2238"/>
    </row>
    <row r="497" spans="13:14">
      <c r="M497" s="2237"/>
      <c r="N497" s="2238"/>
    </row>
    <row r="498" spans="13:14">
      <c r="M498" s="2237"/>
      <c r="N498" s="2238"/>
    </row>
    <row r="499" spans="13:14">
      <c r="M499" s="2237"/>
      <c r="N499" s="2238"/>
    </row>
    <row r="500" spans="13:14">
      <c r="M500" s="2237"/>
      <c r="N500" s="2238"/>
    </row>
    <row r="501" spans="13:14">
      <c r="M501" s="2237"/>
      <c r="N501" s="2238"/>
    </row>
    <row r="502" spans="13:14">
      <c r="M502" s="2237"/>
      <c r="N502" s="2238"/>
    </row>
    <row r="503" spans="13:14">
      <c r="M503" s="2237"/>
      <c r="N503" s="2238"/>
    </row>
    <row r="504" spans="13:14">
      <c r="M504" s="2237"/>
      <c r="N504" s="2238"/>
    </row>
    <row r="505" spans="13:14">
      <c r="M505" s="2237"/>
      <c r="N505" s="2238"/>
    </row>
    <row r="506" spans="13:14">
      <c r="M506" s="2237"/>
      <c r="N506" s="2238"/>
    </row>
    <row r="507" spans="13:14">
      <c r="M507" s="2237"/>
      <c r="N507" s="2238"/>
    </row>
    <row r="508" spans="13:14">
      <c r="M508" s="2237"/>
      <c r="N508" s="2238"/>
    </row>
    <row r="509" spans="13:14">
      <c r="M509" s="2237"/>
      <c r="N509" s="2238"/>
    </row>
    <row r="510" spans="13:14">
      <c r="M510" s="2237"/>
      <c r="N510" s="2238"/>
    </row>
    <row r="511" spans="13:14">
      <c r="M511" s="2237"/>
      <c r="N511" s="2238"/>
    </row>
    <row r="512" spans="13:14">
      <c r="M512" s="2237"/>
      <c r="N512" s="2238"/>
    </row>
    <row r="513" spans="13:14">
      <c r="M513" s="2237"/>
      <c r="N513" s="2238"/>
    </row>
    <row r="514" spans="13:14">
      <c r="M514" s="2237"/>
      <c r="N514" s="2238"/>
    </row>
    <row r="515" spans="13:14">
      <c r="M515" s="2237"/>
      <c r="N515" s="2238"/>
    </row>
    <row r="516" spans="13:14">
      <c r="M516" s="2237"/>
      <c r="N516" s="2238"/>
    </row>
    <row r="517" spans="13:14">
      <c r="M517" s="2237"/>
      <c r="N517" s="2238"/>
    </row>
    <row r="518" spans="13:14">
      <c r="M518" s="2237"/>
      <c r="N518" s="2238"/>
    </row>
    <row r="519" spans="13:14">
      <c r="M519" s="2237"/>
      <c r="N519" s="2238"/>
    </row>
    <row r="520" spans="13:14">
      <c r="M520" s="2237"/>
      <c r="N520" s="2238"/>
    </row>
    <row r="521" spans="13:14">
      <c r="M521" s="2237"/>
      <c r="N521" s="2238"/>
    </row>
    <row r="522" spans="13:14">
      <c r="M522" s="2237"/>
      <c r="N522" s="2238"/>
    </row>
    <row r="523" spans="13:14">
      <c r="M523" s="2237"/>
      <c r="N523" s="2238"/>
    </row>
    <row r="524" spans="13:14">
      <c r="M524" s="2237"/>
      <c r="N524" s="2238"/>
    </row>
    <row r="525" spans="13:14">
      <c r="M525" s="2237"/>
      <c r="N525" s="2238"/>
    </row>
    <row r="526" spans="13:14">
      <c r="M526" s="2237"/>
      <c r="N526" s="2238"/>
    </row>
    <row r="527" spans="13:14">
      <c r="M527" s="2237"/>
      <c r="N527" s="2238"/>
    </row>
    <row r="528" spans="13:14">
      <c r="M528" s="2237"/>
      <c r="N528" s="2238"/>
    </row>
    <row r="529" spans="13:14">
      <c r="M529" s="2237"/>
      <c r="N529" s="2238"/>
    </row>
    <row r="530" spans="13:14">
      <c r="M530" s="2237"/>
      <c r="N530" s="2238"/>
    </row>
    <row r="531" spans="13:14">
      <c r="M531" s="2237"/>
      <c r="N531" s="2238"/>
    </row>
    <row r="532" spans="13:14">
      <c r="M532" s="2237"/>
      <c r="N532" s="2238"/>
    </row>
    <row r="533" spans="13:14">
      <c r="M533" s="2237"/>
      <c r="N533" s="2238"/>
    </row>
    <row r="534" spans="13:14">
      <c r="M534" s="2237"/>
      <c r="N534" s="2238"/>
    </row>
    <row r="535" spans="13:14">
      <c r="M535" s="2237"/>
      <c r="N535" s="2238"/>
    </row>
    <row r="536" spans="13:14">
      <c r="M536" s="2237"/>
      <c r="N536" s="2238"/>
    </row>
    <row r="537" spans="13:14">
      <c r="M537" s="2237"/>
      <c r="N537" s="2238"/>
    </row>
    <row r="538" spans="13:14">
      <c r="M538" s="2237"/>
      <c r="N538" s="2238"/>
    </row>
    <row r="539" spans="13:14">
      <c r="M539" s="2237"/>
      <c r="N539" s="2238"/>
    </row>
    <row r="540" spans="13:14">
      <c r="M540" s="2237"/>
      <c r="N540" s="2238"/>
    </row>
    <row r="541" spans="13:14">
      <c r="M541" s="2237"/>
      <c r="N541" s="2238"/>
    </row>
    <row r="542" spans="13:14">
      <c r="M542" s="2237"/>
      <c r="N542" s="2238"/>
    </row>
    <row r="543" spans="13:14">
      <c r="M543" s="2237"/>
      <c r="N543" s="2238"/>
    </row>
    <row r="544" spans="13:14">
      <c r="M544" s="2237"/>
      <c r="N544" s="2238"/>
    </row>
    <row r="545" spans="13:14">
      <c r="M545" s="2237"/>
      <c r="N545" s="2238"/>
    </row>
    <row r="546" spans="13:14">
      <c r="M546" s="2237"/>
      <c r="N546" s="2238"/>
    </row>
    <row r="547" spans="13:14">
      <c r="M547" s="2237"/>
      <c r="N547" s="2238"/>
    </row>
    <row r="548" spans="13:14">
      <c r="M548" s="2237"/>
      <c r="N548" s="2238"/>
    </row>
    <row r="549" spans="13:14">
      <c r="M549" s="2237"/>
      <c r="N549" s="2238"/>
    </row>
    <row r="550" spans="13:14">
      <c r="M550" s="2237"/>
      <c r="N550" s="2238"/>
    </row>
    <row r="551" spans="13:14">
      <c r="M551" s="2237"/>
      <c r="N551" s="2238"/>
    </row>
    <row r="552" spans="13:14">
      <c r="M552" s="2237"/>
      <c r="N552" s="2238"/>
    </row>
    <row r="553" spans="13:14">
      <c r="M553" s="2237"/>
      <c r="N553" s="2238"/>
    </row>
    <row r="554" spans="13:14">
      <c r="M554" s="2237"/>
      <c r="N554" s="2238"/>
    </row>
    <row r="555" spans="13:14">
      <c r="M555" s="2237"/>
      <c r="N555" s="2238"/>
    </row>
    <row r="556" spans="13:14">
      <c r="M556" s="2237"/>
      <c r="N556" s="2238"/>
    </row>
    <row r="557" spans="13:14">
      <c r="M557" s="2237"/>
      <c r="N557" s="2238"/>
    </row>
    <row r="558" spans="13:14">
      <c r="M558" s="2237"/>
      <c r="N558" s="2238"/>
    </row>
    <row r="559" spans="13:14">
      <c r="M559" s="2237"/>
      <c r="N559" s="2238"/>
    </row>
    <row r="560" spans="13:14">
      <c r="M560" s="2237"/>
      <c r="N560" s="2238"/>
    </row>
    <row r="561" spans="13:14">
      <c r="M561" s="2237"/>
      <c r="N561" s="2238"/>
    </row>
    <row r="562" spans="13:14">
      <c r="M562" s="2237"/>
      <c r="N562" s="2238"/>
    </row>
    <row r="563" spans="13:14">
      <c r="M563" s="2237"/>
      <c r="N563" s="2238"/>
    </row>
    <row r="564" spans="13:14">
      <c r="M564" s="2237"/>
      <c r="N564" s="2238"/>
    </row>
    <row r="565" spans="13:14">
      <c r="M565" s="2237"/>
      <c r="N565" s="2238"/>
    </row>
    <row r="566" spans="13:14">
      <c r="M566" s="2237"/>
      <c r="N566" s="2238"/>
    </row>
    <row r="567" spans="13:14">
      <c r="M567" s="2237"/>
      <c r="N567" s="2238"/>
    </row>
    <row r="568" spans="13:14">
      <c r="M568" s="2237"/>
      <c r="N568" s="2238"/>
    </row>
    <row r="569" spans="13:14">
      <c r="M569" s="2237"/>
      <c r="N569" s="2238"/>
    </row>
    <row r="570" spans="13:14">
      <c r="M570" s="2237"/>
      <c r="N570" s="2238"/>
    </row>
    <row r="571" spans="13:14">
      <c r="M571" s="2237"/>
      <c r="N571" s="2238"/>
    </row>
    <row r="572" spans="13:14">
      <c r="M572" s="2237"/>
      <c r="N572" s="2238"/>
    </row>
    <row r="573" spans="13:14">
      <c r="M573" s="2237"/>
      <c r="N573" s="2238"/>
    </row>
    <row r="574" spans="13:14">
      <c r="M574" s="2237"/>
      <c r="N574" s="2238"/>
    </row>
    <row r="575" spans="13:14">
      <c r="M575" s="2237"/>
      <c r="N575" s="2238"/>
    </row>
    <row r="576" spans="13:14">
      <c r="M576" s="2237"/>
      <c r="N576" s="2238"/>
    </row>
    <row r="577" spans="13:14">
      <c r="M577" s="2237"/>
      <c r="N577" s="2238"/>
    </row>
    <row r="578" spans="13:14">
      <c r="M578" s="2237"/>
      <c r="N578" s="2238"/>
    </row>
    <row r="579" spans="13:14">
      <c r="M579" s="2237"/>
      <c r="N579" s="2238"/>
    </row>
    <row r="580" spans="13:14">
      <c r="M580" s="2237"/>
      <c r="N580" s="2238"/>
    </row>
    <row r="581" spans="13:14">
      <c r="M581" s="2237"/>
      <c r="N581" s="2238"/>
    </row>
    <row r="582" spans="13:14">
      <c r="M582" s="2237"/>
      <c r="N582" s="2238"/>
    </row>
    <row r="583" spans="13:14">
      <c r="M583" s="2237"/>
      <c r="N583" s="2238"/>
    </row>
    <row r="584" spans="13:14">
      <c r="M584" s="2237"/>
      <c r="N584" s="2238"/>
    </row>
    <row r="585" spans="13:14">
      <c r="M585" s="2237"/>
      <c r="N585" s="2238"/>
    </row>
    <row r="586" spans="13:14">
      <c r="M586" s="2237"/>
      <c r="N586" s="2238"/>
    </row>
    <row r="587" spans="13:14">
      <c r="M587" s="2237"/>
      <c r="N587" s="2238"/>
    </row>
    <row r="588" spans="13:14">
      <c r="M588" s="2237"/>
      <c r="N588" s="2238"/>
    </row>
    <row r="589" spans="13:14">
      <c r="M589" s="2237"/>
      <c r="N589" s="2238"/>
    </row>
    <row r="590" spans="13:14">
      <c r="M590" s="2237"/>
      <c r="N590" s="2238"/>
    </row>
    <row r="591" spans="13:14">
      <c r="M591" s="2237"/>
      <c r="N591" s="2238"/>
    </row>
    <row r="592" spans="13:14">
      <c r="M592" s="2237"/>
      <c r="N592" s="2238"/>
    </row>
    <row r="593" spans="13:14">
      <c r="M593" s="2237"/>
      <c r="N593" s="2238"/>
    </row>
    <row r="594" spans="13:14">
      <c r="M594" s="2237"/>
      <c r="N594" s="2238"/>
    </row>
    <row r="595" spans="13:14">
      <c r="M595" s="2237"/>
      <c r="N595" s="2238"/>
    </row>
    <row r="596" spans="13:14">
      <c r="M596" s="2237"/>
      <c r="N596" s="2238"/>
    </row>
    <row r="597" spans="13:14">
      <c r="M597" s="2237"/>
      <c r="N597" s="2238"/>
    </row>
    <row r="598" spans="13:14">
      <c r="M598" s="2237"/>
      <c r="N598" s="2238"/>
    </row>
    <row r="599" spans="13:14">
      <c r="M599" s="2237"/>
      <c r="N599" s="2238"/>
    </row>
    <row r="600" spans="13:14">
      <c r="M600" s="2237"/>
      <c r="N600" s="2238"/>
    </row>
    <row r="601" spans="13:14">
      <c r="M601" s="2237"/>
      <c r="N601" s="2238"/>
    </row>
    <row r="602" spans="13:14">
      <c r="M602" s="2237"/>
      <c r="N602" s="2238"/>
    </row>
    <row r="603" spans="13:14">
      <c r="M603" s="2237"/>
      <c r="N603" s="2238"/>
    </row>
    <row r="604" spans="13:14">
      <c r="M604" s="2237"/>
      <c r="N604" s="2238"/>
    </row>
    <row r="605" spans="13:14">
      <c r="M605" s="2237"/>
      <c r="N605" s="2238"/>
    </row>
    <row r="606" spans="13:14">
      <c r="M606" s="2237"/>
      <c r="N606" s="2238"/>
    </row>
    <row r="607" spans="13:14">
      <c r="M607" s="2237"/>
      <c r="N607" s="2238"/>
    </row>
    <row r="608" spans="13:14">
      <c r="M608" s="2237"/>
      <c r="N608" s="2238"/>
    </row>
    <row r="609" spans="13:14">
      <c r="M609" s="2237"/>
      <c r="N609" s="2238"/>
    </row>
    <row r="610" spans="13:14">
      <c r="M610" s="2237"/>
      <c r="N610" s="2238"/>
    </row>
    <row r="611" spans="13:14">
      <c r="M611" s="2237"/>
      <c r="N611" s="2238"/>
    </row>
    <row r="612" spans="13:14">
      <c r="M612" s="2237"/>
      <c r="N612" s="2238"/>
    </row>
    <row r="613" spans="13:14">
      <c r="M613" s="2237"/>
      <c r="N613" s="2238"/>
    </row>
    <row r="614" spans="13:14">
      <c r="M614" s="2237"/>
      <c r="N614" s="2238"/>
    </row>
    <row r="615" spans="13:14">
      <c r="M615" s="2237"/>
      <c r="N615" s="2238"/>
    </row>
    <row r="616" spans="13:14">
      <c r="M616" s="2237"/>
      <c r="N616" s="2238"/>
    </row>
    <row r="617" spans="13:14">
      <c r="M617" s="2237"/>
      <c r="N617" s="2238"/>
    </row>
    <row r="618" spans="13:14">
      <c r="M618" s="2237"/>
      <c r="N618" s="2238"/>
    </row>
    <row r="619" spans="13:14">
      <c r="M619" s="2237"/>
      <c r="N619" s="2238"/>
    </row>
    <row r="620" spans="13:14">
      <c r="M620" s="2237"/>
      <c r="N620" s="2238"/>
    </row>
    <row r="621" spans="13:14">
      <c r="M621" s="2237"/>
      <c r="N621" s="2238"/>
    </row>
    <row r="622" spans="13:14">
      <c r="M622" s="2237"/>
      <c r="N622" s="2238"/>
    </row>
    <row r="623" spans="13:14">
      <c r="M623" s="2237"/>
      <c r="N623" s="2238"/>
    </row>
    <row r="624" spans="13:14">
      <c r="M624" s="2237"/>
      <c r="N624" s="2238"/>
    </row>
    <row r="625" spans="13:14">
      <c r="M625" s="2237"/>
      <c r="N625" s="2238"/>
    </row>
    <row r="626" spans="13:14">
      <c r="M626" s="2237"/>
      <c r="N626" s="2238"/>
    </row>
    <row r="627" spans="13:14">
      <c r="M627" s="2237"/>
      <c r="N627" s="2238"/>
    </row>
    <row r="628" spans="13:14">
      <c r="M628" s="2237"/>
      <c r="N628" s="2238"/>
    </row>
    <row r="629" spans="13:14">
      <c r="M629" s="2237"/>
      <c r="N629" s="2238"/>
    </row>
    <row r="630" spans="13:14">
      <c r="M630" s="2237"/>
      <c r="N630" s="2238"/>
    </row>
    <row r="631" spans="13:14">
      <c r="M631" s="2237"/>
      <c r="N631" s="2238"/>
    </row>
    <row r="632" spans="13:14">
      <c r="M632" s="2237"/>
      <c r="N632" s="2238"/>
    </row>
    <row r="633" spans="13:14">
      <c r="M633" s="2237"/>
      <c r="N633" s="2238"/>
    </row>
    <row r="634" spans="13:14">
      <c r="M634" s="2237"/>
      <c r="N634" s="2238"/>
    </row>
    <row r="635" spans="13:14">
      <c r="M635" s="2237"/>
      <c r="N635" s="2238"/>
    </row>
    <row r="636" spans="13:14">
      <c r="M636" s="2237"/>
      <c r="N636" s="2238"/>
    </row>
    <row r="637" spans="13:14">
      <c r="M637" s="2237"/>
      <c r="N637" s="2238"/>
    </row>
    <row r="638" spans="13:14">
      <c r="M638" s="2237"/>
      <c r="N638" s="2238"/>
    </row>
    <row r="639" spans="13:14">
      <c r="M639" s="2237"/>
      <c r="N639" s="2238"/>
    </row>
    <row r="640" spans="13:14">
      <c r="M640" s="2237"/>
      <c r="N640" s="2238"/>
    </row>
    <row r="641" spans="13:14">
      <c r="M641" s="2237"/>
      <c r="N641" s="2238"/>
    </row>
    <row r="642" spans="13:14">
      <c r="M642" s="2237"/>
      <c r="N642" s="2238"/>
    </row>
    <row r="643" spans="13:14">
      <c r="M643" s="2237"/>
      <c r="N643" s="2238"/>
    </row>
    <row r="644" spans="13:14">
      <c r="M644" s="2237"/>
      <c r="N644" s="2238"/>
    </row>
    <row r="645" spans="13:14">
      <c r="M645" s="2237"/>
      <c r="N645" s="2238"/>
    </row>
    <row r="646" spans="13:14">
      <c r="M646" s="2237"/>
      <c r="N646" s="2238"/>
    </row>
    <row r="647" spans="13:14">
      <c r="M647" s="2237"/>
      <c r="N647" s="2238"/>
    </row>
    <row r="648" spans="13:14">
      <c r="M648" s="2237"/>
      <c r="N648" s="2238"/>
    </row>
    <row r="649" spans="13:14">
      <c r="M649" s="2237"/>
      <c r="N649" s="2238"/>
    </row>
    <row r="650" spans="13:14">
      <c r="M650" s="2237"/>
      <c r="N650" s="2238"/>
    </row>
    <row r="651" spans="13:14">
      <c r="M651" s="2237"/>
      <c r="N651" s="2238"/>
    </row>
    <row r="652" spans="13:14">
      <c r="M652" s="2237"/>
      <c r="N652" s="2238"/>
    </row>
    <row r="653" spans="13:14">
      <c r="M653" s="2237"/>
      <c r="N653" s="2238"/>
    </row>
    <row r="654" spans="13:14">
      <c r="M654" s="2237"/>
      <c r="N654" s="2238"/>
    </row>
    <row r="655" spans="13:14">
      <c r="M655" s="2237"/>
      <c r="N655" s="2238"/>
    </row>
    <row r="656" spans="13:14">
      <c r="M656" s="2237"/>
      <c r="N656" s="2238"/>
    </row>
    <row r="657" spans="13:14">
      <c r="M657" s="2237"/>
      <c r="N657" s="2238"/>
    </row>
    <row r="658" spans="13:14">
      <c r="M658" s="2237"/>
      <c r="N658" s="2238"/>
    </row>
    <row r="659" spans="13:14">
      <c r="M659" s="2237"/>
      <c r="N659" s="2238"/>
    </row>
    <row r="660" spans="13:14">
      <c r="M660" s="2237"/>
      <c r="N660" s="2238"/>
    </row>
    <row r="661" spans="13:14">
      <c r="M661" s="2237"/>
      <c r="N661" s="2238"/>
    </row>
    <row r="662" spans="13:14">
      <c r="M662" s="2237"/>
      <c r="N662" s="2238"/>
    </row>
    <row r="663" spans="13:14">
      <c r="M663" s="2237"/>
      <c r="N663" s="2238"/>
    </row>
    <row r="664" spans="13:14">
      <c r="M664" s="2237"/>
      <c r="N664" s="2238"/>
    </row>
    <row r="665" spans="13:14">
      <c r="M665" s="2237"/>
      <c r="N665" s="2238"/>
    </row>
    <row r="666" spans="13:14">
      <c r="M666" s="2237"/>
      <c r="N666" s="2238"/>
    </row>
    <row r="667" spans="13:14">
      <c r="M667" s="2237"/>
      <c r="N667" s="2238"/>
    </row>
    <row r="668" spans="13:14">
      <c r="M668" s="2237"/>
      <c r="N668" s="2238"/>
    </row>
    <row r="669" spans="13:14">
      <c r="M669" s="2237"/>
      <c r="N669" s="2238"/>
    </row>
    <row r="670" spans="13:14">
      <c r="M670" s="2237"/>
      <c r="N670" s="2238"/>
    </row>
    <row r="671" spans="13:14">
      <c r="M671" s="2237"/>
      <c r="N671" s="2238"/>
    </row>
    <row r="672" spans="13:14">
      <c r="M672" s="2237"/>
      <c r="N672" s="2238"/>
    </row>
    <row r="673" spans="13:14">
      <c r="M673" s="2237"/>
      <c r="N673" s="2238"/>
    </row>
    <row r="674" spans="13:14">
      <c r="M674" s="2237"/>
      <c r="N674" s="2238"/>
    </row>
    <row r="675" spans="13:14">
      <c r="M675" s="2237"/>
      <c r="N675" s="2238"/>
    </row>
    <row r="676" spans="13:14">
      <c r="M676" s="2237"/>
      <c r="N676" s="2238"/>
    </row>
    <row r="677" spans="13:14">
      <c r="M677" s="2237"/>
      <c r="N677" s="2238"/>
    </row>
    <row r="678" spans="13:14">
      <c r="M678" s="2237"/>
      <c r="N678" s="2238"/>
    </row>
    <row r="679" spans="13:14">
      <c r="M679" s="2237"/>
      <c r="N679" s="2238"/>
    </row>
    <row r="680" spans="13:14">
      <c r="M680" s="2237"/>
      <c r="N680" s="2238"/>
    </row>
    <row r="681" spans="13:14">
      <c r="M681" s="2237"/>
      <c r="N681" s="2238"/>
    </row>
    <row r="682" spans="13:14">
      <c r="M682" s="2237"/>
      <c r="N682" s="2238"/>
    </row>
    <row r="683" spans="13:14">
      <c r="M683" s="2237"/>
      <c r="N683" s="2238"/>
    </row>
    <row r="684" spans="13:14">
      <c r="M684" s="2237"/>
      <c r="N684" s="2238"/>
    </row>
    <row r="685" spans="13:14">
      <c r="M685" s="2237"/>
      <c r="N685" s="2238"/>
    </row>
    <row r="686" spans="13:14">
      <c r="M686" s="2237"/>
      <c r="N686" s="2238"/>
    </row>
    <row r="687" spans="13:14">
      <c r="M687" s="2237"/>
      <c r="N687" s="2238"/>
    </row>
    <row r="688" spans="13:14">
      <c r="M688" s="2237"/>
      <c r="N688" s="2238"/>
    </row>
    <row r="689" spans="13:14">
      <c r="M689" s="2237"/>
      <c r="N689" s="2238"/>
    </row>
    <row r="690" spans="13:14">
      <c r="M690" s="2237"/>
      <c r="N690" s="2238"/>
    </row>
    <row r="691" spans="13:14">
      <c r="M691" s="2237"/>
      <c r="N691" s="2238"/>
    </row>
    <row r="692" spans="13:14">
      <c r="M692" s="2237"/>
      <c r="N692" s="2238"/>
    </row>
    <row r="693" spans="13:14">
      <c r="M693" s="2237"/>
      <c r="N693" s="2238"/>
    </row>
    <row r="694" spans="13:14">
      <c r="M694" s="2237"/>
      <c r="N694" s="2238"/>
    </row>
    <row r="695" spans="13:14">
      <c r="M695" s="2237"/>
      <c r="N695" s="2238"/>
    </row>
    <row r="696" spans="13:14">
      <c r="M696" s="2237"/>
      <c r="N696" s="2238"/>
    </row>
    <row r="697" spans="13:14">
      <c r="M697" s="2237"/>
      <c r="N697" s="2238"/>
    </row>
    <row r="698" spans="13:14">
      <c r="M698" s="2237"/>
      <c r="N698" s="2238"/>
    </row>
    <row r="699" spans="13:14">
      <c r="M699" s="2237"/>
      <c r="N699" s="2238"/>
    </row>
    <row r="700" spans="13:14">
      <c r="M700" s="2237"/>
      <c r="N700" s="2238"/>
    </row>
    <row r="701" spans="13:14">
      <c r="M701" s="2237"/>
      <c r="N701" s="2238"/>
    </row>
    <row r="702" spans="13:14">
      <c r="M702" s="2237"/>
      <c r="N702" s="2238"/>
    </row>
    <row r="703" spans="13:14">
      <c r="M703" s="2237"/>
      <c r="N703" s="2238"/>
    </row>
    <row r="704" spans="13:14">
      <c r="M704" s="2237"/>
      <c r="N704" s="2238"/>
    </row>
    <row r="705" spans="13:14">
      <c r="M705" s="2237"/>
      <c r="N705" s="2238"/>
    </row>
    <row r="706" spans="13:14">
      <c r="M706" s="2237"/>
      <c r="N706" s="2238"/>
    </row>
    <row r="707" spans="13:14">
      <c r="M707" s="2237"/>
      <c r="N707" s="2238"/>
    </row>
    <row r="708" spans="13:14">
      <c r="M708" s="2237"/>
      <c r="N708" s="2238"/>
    </row>
    <row r="709" spans="13:14">
      <c r="M709" s="2237"/>
      <c r="N709" s="2238"/>
    </row>
    <row r="710" spans="13:14">
      <c r="M710" s="2237"/>
      <c r="N710" s="2238"/>
    </row>
    <row r="711" spans="13:14">
      <c r="M711" s="2237"/>
      <c r="N711" s="2238"/>
    </row>
    <row r="712" spans="13:14">
      <c r="M712" s="2237"/>
      <c r="N712" s="2238"/>
    </row>
    <row r="713" spans="13:14">
      <c r="M713" s="2237"/>
      <c r="N713" s="2238"/>
    </row>
    <row r="714" spans="13:14">
      <c r="M714" s="2237"/>
      <c r="N714" s="2238"/>
    </row>
    <row r="715" spans="13:14">
      <c r="M715" s="2237"/>
      <c r="N715" s="2238"/>
    </row>
    <row r="716" spans="13:14">
      <c r="M716" s="2237"/>
      <c r="N716" s="2238"/>
    </row>
    <row r="717" spans="13:14">
      <c r="M717" s="2237"/>
      <c r="N717" s="2238"/>
    </row>
    <row r="718" spans="13:14">
      <c r="M718" s="2237"/>
      <c r="N718" s="2238"/>
    </row>
    <row r="719" spans="13:14">
      <c r="M719" s="2237"/>
      <c r="N719" s="2238"/>
    </row>
    <row r="720" spans="13:14">
      <c r="M720" s="2237"/>
      <c r="N720" s="2238"/>
    </row>
    <row r="721" spans="13:14">
      <c r="M721" s="2237"/>
      <c r="N721" s="2238"/>
    </row>
    <row r="722" spans="13:14">
      <c r="M722" s="2237"/>
      <c r="N722" s="2238"/>
    </row>
    <row r="723" spans="13:14">
      <c r="M723" s="2237"/>
      <c r="N723" s="2238"/>
    </row>
    <row r="724" spans="13:14">
      <c r="M724" s="2237"/>
      <c r="N724" s="2238"/>
    </row>
    <row r="725" spans="13:14">
      <c r="M725" s="2237"/>
      <c r="N725" s="2238"/>
    </row>
    <row r="726" spans="13:14">
      <c r="M726" s="2237"/>
      <c r="N726" s="2238"/>
    </row>
    <row r="727" spans="13:14">
      <c r="M727" s="2237"/>
      <c r="N727" s="2238"/>
    </row>
    <row r="728" spans="13:14">
      <c r="M728" s="2237"/>
      <c r="N728" s="2238"/>
    </row>
    <row r="729" spans="13:14">
      <c r="M729" s="2237"/>
      <c r="N729" s="2238"/>
    </row>
    <row r="730" spans="13:14">
      <c r="M730" s="2237"/>
      <c r="N730" s="2238"/>
    </row>
    <row r="731" spans="13:14">
      <c r="M731" s="2237"/>
      <c r="N731" s="2238"/>
    </row>
    <row r="732" spans="13:14">
      <c r="M732" s="2237"/>
      <c r="N732" s="2238"/>
    </row>
    <row r="733" spans="13:14">
      <c r="M733" s="2237"/>
      <c r="N733" s="2238"/>
    </row>
    <row r="734" spans="13:14">
      <c r="M734" s="2237"/>
      <c r="N734" s="2238"/>
    </row>
    <row r="735" spans="13:14">
      <c r="M735" s="2237"/>
      <c r="N735" s="2238"/>
    </row>
    <row r="736" spans="13:14">
      <c r="M736" s="2237"/>
      <c r="N736" s="2238"/>
    </row>
    <row r="737" spans="13:14">
      <c r="M737" s="2237"/>
      <c r="N737" s="2238"/>
    </row>
    <row r="738" spans="13:14">
      <c r="M738" s="2237"/>
      <c r="N738" s="2238"/>
    </row>
    <row r="739" spans="13:14">
      <c r="M739" s="2237"/>
      <c r="N739" s="2238"/>
    </row>
    <row r="740" spans="13:14">
      <c r="M740" s="2237"/>
      <c r="N740" s="2238"/>
    </row>
    <row r="741" spans="13:14">
      <c r="M741" s="2237"/>
      <c r="N741" s="2238"/>
    </row>
    <row r="742" spans="13:14">
      <c r="M742" s="2237"/>
      <c r="N742" s="2238"/>
    </row>
    <row r="743" spans="13:14">
      <c r="M743" s="2237"/>
      <c r="N743" s="2238"/>
    </row>
    <row r="744" spans="13:14">
      <c r="M744" s="2237"/>
      <c r="N744" s="2238"/>
    </row>
    <row r="745" spans="13:14">
      <c r="M745" s="2237"/>
      <c r="N745" s="2238"/>
    </row>
    <row r="746" spans="13:14">
      <c r="M746" s="2237"/>
      <c r="N746" s="2238"/>
    </row>
    <row r="747" spans="13:14">
      <c r="M747" s="2237"/>
      <c r="N747" s="2238"/>
    </row>
    <row r="748" spans="13:14">
      <c r="M748" s="2237"/>
      <c r="N748" s="2238"/>
    </row>
    <row r="749" spans="13:14">
      <c r="M749" s="2237"/>
      <c r="N749" s="2238"/>
    </row>
    <row r="750" spans="13:14">
      <c r="M750" s="2237"/>
      <c r="N750" s="2238"/>
    </row>
    <row r="751" spans="13:14">
      <c r="M751" s="2237"/>
      <c r="N751" s="2238"/>
    </row>
    <row r="752" spans="13:14">
      <c r="M752" s="2237"/>
      <c r="N752" s="2238"/>
    </row>
    <row r="753" spans="13:14">
      <c r="M753" s="2237"/>
      <c r="N753" s="2238"/>
    </row>
    <row r="754" spans="13:14">
      <c r="M754" s="2237"/>
      <c r="N754" s="2238"/>
    </row>
    <row r="755" spans="13:14">
      <c r="M755" s="2237"/>
      <c r="N755" s="2238"/>
    </row>
    <row r="756" spans="13:14">
      <c r="M756" s="2237"/>
      <c r="N756" s="2238"/>
    </row>
    <row r="757" spans="13:14">
      <c r="M757" s="2237"/>
      <c r="N757" s="2238"/>
    </row>
    <row r="758" spans="13:14">
      <c r="M758" s="2237"/>
      <c r="N758" s="2238"/>
    </row>
    <row r="759" spans="13:14">
      <c r="M759" s="2237"/>
      <c r="N759" s="2238"/>
    </row>
    <row r="760" spans="13:14">
      <c r="M760" s="2237"/>
      <c r="N760" s="2238"/>
    </row>
    <row r="761" spans="13:14">
      <c r="M761" s="2237"/>
      <c r="N761" s="2238"/>
    </row>
    <row r="762" spans="13:14">
      <c r="M762" s="2237"/>
      <c r="N762" s="2238"/>
    </row>
    <row r="763" spans="13:14">
      <c r="M763" s="2237"/>
      <c r="N763" s="2238"/>
    </row>
    <row r="764" spans="13:14">
      <c r="M764" s="2237"/>
      <c r="N764" s="2238"/>
    </row>
    <row r="765" spans="13:14">
      <c r="M765" s="2237"/>
      <c r="N765" s="2238"/>
    </row>
    <row r="766" spans="13:14">
      <c r="M766" s="2237"/>
      <c r="N766" s="2238"/>
    </row>
    <row r="767" spans="13:14">
      <c r="M767" s="2237"/>
      <c r="N767" s="2238"/>
    </row>
    <row r="768" spans="13:14">
      <c r="M768" s="2237"/>
      <c r="N768" s="2238"/>
    </row>
    <row r="769" spans="13:14">
      <c r="M769" s="2237"/>
      <c r="N769" s="2238"/>
    </row>
    <row r="770" spans="13:14">
      <c r="M770" s="2237"/>
      <c r="N770" s="2238"/>
    </row>
    <row r="771" spans="13:14">
      <c r="M771" s="2237"/>
      <c r="N771" s="2238"/>
    </row>
    <row r="772" spans="13:14">
      <c r="M772" s="2237"/>
      <c r="N772" s="2238"/>
    </row>
    <row r="773" spans="13:14">
      <c r="M773" s="2237"/>
      <c r="N773" s="2238"/>
    </row>
    <row r="774" spans="13:14">
      <c r="M774" s="2237"/>
      <c r="N774" s="2238"/>
    </row>
    <row r="775" spans="13:14">
      <c r="M775" s="2237"/>
      <c r="N775" s="2238"/>
    </row>
    <row r="776" spans="13:14">
      <c r="M776" s="2237"/>
      <c r="N776" s="2238"/>
    </row>
    <row r="777" spans="13:14">
      <c r="M777" s="2237"/>
      <c r="N777" s="2238"/>
    </row>
    <row r="778" spans="13:14">
      <c r="M778" s="2237"/>
      <c r="N778" s="2238"/>
    </row>
    <row r="779" spans="13:14">
      <c r="M779" s="2237"/>
      <c r="N779" s="2238"/>
    </row>
    <row r="780" spans="13:14">
      <c r="M780" s="2237"/>
      <c r="N780" s="2238"/>
    </row>
    <row r="781" spans="13:14">
      <c r="M781" s="2237"/>
      <c r="N781" s="2238"/>
    </row>
    <row r="782" spans="13:14">
      <c r="M782" s="2237"/>
      <c r="N782" s="2238"/>
    </row>
    <row r="783" spans="13:14">
      <c r="M783" s="2237"/>
      <c r="N783" s="2238"/>
    </row>
    <row r="784" spans="13:14">
      <c r="M784" s="2237"/>
      <c r="N784" s="2238"/>
    </row>
    <row r="785" spans="13:14">
      <c r="M785" s="2237"/>
      <c r="N785" s="2238"/>
    </row>
    <row r="786" spans="13:14">
      <c r="M786" s="2237"/>
      <c r="N786" s="2238"/>
    </row>
    <row r="787" spans="13:14">
      <c r="M787" s="2237"/>
      <c r="N787" s="2238"/>
    </row>
    <row r="788" spans="13:14">
      <c r="M788" s="2237"/>
      <c r="N788" s="2238"/>
    </row>
    <row r="789" spans="13:14">
      <c r="M789" s="2237"/>
      <c r="N789" s="2238"/>
    </row>
    <row r="790" spans="13:14">
      <c r="M790" s="2237"/>
      <c r="N790" s="2238"/>
    </row>
    <row r="791" spans="13:14">
      <c r="M791" s="2237"/>
      <c r="N791" s="2238"/>
    </row>
    <row r="792" spans="13:14">
      <c r="M792" s="2237"/>
      <c r="N792" s="2238"/>
    </row>
    <row r="793" spans="13:14">
      <c r="M793" s="2237"/>
      <c r="N793" s="2238"/>
    </row>
    <row r="794" spans="13:14">
      <c r="M794" s="2237"/>
      <c r="N794" s="2238"/>
    </row>
    <row r="795" spans="13:14">
      <c r="M795" s="2237"/>
      <c r="N795" s="2238"/>
    </row>
    <row r="796" spans="13:14">
      <c r="M796" s="2237"/>
      <c r="N796" s="2238"/>
    </row>
    <row r="797" spans="13:14">
      <c r="M797" s="2237"/>
      <c r="N797" s="2238"/>
    </row>
    <row r="798" spans="13:14">
      <c r="M798" s="2237"/>
      <c r="N798" s="2238"/>
    </row>
    <row r="799" spans="13:14">
      <c r="M799" s="2237"/>
      <c r="N799" s="2238"/>
    </row>
    <row r="800" spans="13:14">
      <c r="M800" s="2237"/>
      <c r="N800" s="2238"/>
    </row>
    <row r="801" spans="13:14">
      <c r="M801" s="2237"/>
      <c r="N801" s="2238"/>
    </row>
    <row r="802" spans="13:14">
      <c r="M802" s="2237"/>
      <c r="N802" s="2238"/>
    </row>
    <row r="803" spans="13:14">
      <c r="M803" s="2237"/>
      <c r="N803" s="2238"/>
    </row>
    <row r="804" spans="13:14">
      <c r="M804" s="2237"/>
      <c r="N804" s="2238"/>
    </row>
    <row r="805" spans="13:14">
      <c r="M805" s="2237"/>
      <c r="N805" s="2238"/>
    </row>
    <row r="806" spans="13:14">
      <c r="M806" s="2237"/>
      <c r="N806" s="2238"/>
    </row>
    <row r="807" spans="13:14">
      <c r="M807" s="2237"/>
      <c r="N807" s="2238"/>
    </row>
    <row r="808" spans="13:14">
      <c r="M808" s="2237"/>
      <c r="N808" s="2238"/>
    </row>
    <row r="809" spans="13:14">
      <c r="M809" s="2237"/>
      <c r="N809" s="2238"/>
    </row>
    <row r="810" spans="13:14">
      <c r="M810" s="2237"/>
      <c r="N810" s="2238"/>
    </row>
    <row r="811" spans="13:14">
      <c r="M811" s="2237"/>
      <c r="N811" s="2238"/>
    </row>
    <row r="812" spans="13:14">
      <c r="M812" s="2237"/>
      <c r="N812" s="2238"/>
    </row>
    <row r="813" spans="13:14">
      <c r="M813" s="2237"/>
      <c r="N813" s="2238"/>
    </row>
    <row r="814" spans="13:14">
      <c r="M814" s="2237"/>
      <c r="N814" s="2238"/>
    </row>
    <row r="815" spans="13:14">
      <c r="M815" s="2237"/>
      <c r="N815" s="2238"/>
    </row>
    <row r="816" spans="13:14">
      <c r="M816" s="2237"/>
      <c r="N816" s="2238"/>
    </row>
    <row r="817" spans="13:14">
      <c r="M817" s="2237"/>
      <c r="N817" s="2238"/>
    </row>
    <row r="818" spans="13:14">
      <c r="M818" s="2237"/>
      <c r="N818" s="2238"/>
    </row>
    <row r="819" spans="13:14">
      <c r="M819" s="2237"/>
      <c r="N819" s="2238"/>
    </row>
    <row r="820" spans="13:14">
      <c r="M820" s="2237"/>
      <c r="N820" s="2238"/>
    </row>
    <row r="821" spans="13:14">
      <c r="M821" s="2237"/>
      <c r="N821" s="2238"/>
    </row>
    <row r="822" spans="13:14">
      <c r="M822" s="2237"/>
      <c r="N822" s="2238"/>
    </row>
    <row r="823" spans="13:14">
      <c r="M823" s="2237"/>
      <c r="N823" s="2238"/>
    </row>
    <row r="824" spans="13:14">
      <c r="M824" s="2237"/>
      <c r="N824" s="2238"/>
    </row>
    <row r="825" spans="13:14">
      <c r="M825" s="2237"/>
      <c r="N825" s="2238"/>
    </row>
    <row r="826" spans="13:14">
      <c r="M826" s="2237"/>
      <c r="N826" s="2238"/>
    </row>
    <row r="827" spans="13:14">
      <c r="M827" s="2237"/>
      <c r="N827" s="2238"/>
    </row>
    <row r="828" spans="13:14">
      <c r="M828" s="2237"/>
      <c r="N828" s="2238"/>
    </row>
    <row r="829" spans="13:14">
      <c r="M829" s="2237"/>
      <c r="N829" s="2238"/>
    </row>
    <row r="830" spans="13:14">
      <c r="M830" s="2237"/>
      <c r="N830" s="2238"/>
    </row>
    <row r="831" spans="13:14">
      <c r="M831" s="2237"/>
      <c r="N831" s="2238"/>
    </row>
    <row r="832" spans="13:14">
      <c r="M832" s="2237"/>
      <c r="N832" s="2238"/>
    </row>
    <row r="833" spans="13:14">
      <c r="M833" s="2237"/>
      <c r="N833" s="2238"/>
    </row>
    <row r="834" spans="13:14">
      <c r="M834" s="2237"/>
      <c r="N834" s="2238"/>
    </row>
    <row r="835" spans="13:14">
      <c r="M835" s="2237"/>
      <c r="N835" s="2238"/>
    </row>
    <row r="836" spans="13:14">
      <c r="M836" s="2237"/>
      <c r="N836" s="2238"/>
    </row>
    <row r="837" spans="13:14">
      <c r="M837" s="2237"/>
      <c r="N837" s="2238"/>
    </row>
    <row r="838" spans="13:14">
      <c r="M838" s="2237"/>
      <c r="N838" s="2238"/>
    </row>
    <row r="839" spans="13:14">
      <c r="M839" s="2237"/>
      <c r="N839" s="2238"/>
    </row>
    <row r="840" spans="13:14">
      <c r="M840" s="2237"/>
      <c r="N840" s="2238"/>
    </row>
    <row r="841" spans="13:14">
      <c r="M841" s="2237"/>
      <c r="N841" s="2238"/>
    </row>
    <row r="842" spans="13:14">
      <c r="M842" s="2237"/>
      <c r="N842" s="2238"/>
    </row>
    <row r="843" spans="13:14">
      <c r="M843" s="2237"/>
      <c r="N843" s="2238"/>
    </row>
    <row r="844" spans="13:14">
      <c r="M844" s="2237"/>
      <c r="N844" s="2238"/>
    </row>
    <row r="845" spans="13:14">
      <c r="M845" s="2237"/>
      <c r="N845" s="2238"/>
    </row>
    <row r="846" spans="13:14">
      <c r="M846" s="2237"/>
      <c r="N846" s="2238"/>
    </row>
    <row r="847" spans="13:14">
      <c r="M847" s="2237"/>
      <c r="N847" s="2238"/>
    </row>
    <row r="848" spans="13:14">
      <c r="M848" s="2237"/>
      <c r="N848" s="2238"/>
    </row>
    <row r="849" spans="13:14">
      <c r="M849" s="2237"/>
      <c r="N849" s="2238"/>
    </row>
    <row r="850" spans="13:14">
      <c r="M850" s="2237"/>
      <c r="N850" s="2238"/>
    </row>
    <row r="851" spans="13:14">
      <c r="M851" s="2237"/>
      <c r="N851" s="2238"/>
    </row>
    <row r="852" spans="13:14">
      <c r="M852" s="2237"/>
      <c r="N852" s="2238"/>
    </row>
    <row r="853" spans="13:14">
      <c r="M853" s="2237"/>
      <c r="N853" s="2238"/>
    </row>
    <row r="854" spans="13:14">
      <c r="M854" s="2237"/>
      <c r="N854" s="2238"/>
    </row>
    <row r="855" spans="13:14">
      <c r="M855" s="2237"/>
      <c r="N855" s="2238"/>
    </row>
    <row r="856" spans="13:14">
      <c r="M856" s="2237"/>
      <c r="N856" s="2238"/>
    </row>
    <row r="857" spans="13:14">
      <c r="M857" s="2237"/>
      <c r="N857" s="2238"/>
    </row>
    <row r="858" spans="13:14">
      <c r="M858" s="2237"/>
      <c r="N858" s="2238"/>
    </row>
    <row r="859" spans="13:14">
      <c r="M859" s="2237"/>
      <c r="N859" s="2238"/>
    </row>
    <row r="860" spans="13:14">
      <c r="M860" s="2237"/>
      <c r="N860" s="2238"/>
    </row>
    <row r="861" spans="13:14">
      <c r="M861" s="2237"/>
      <c r="N861" s="2238"/>
    </row>
    <row r="862" spans="13:14">
      <c r="M862" s="2237"/>
      <c r="N862" s="2238"/>
    </row>
    <row r="863" spans="13:14">
      <c r="M863" s="2237"/>
      <c r="N863" s="2238"/>
    </row>
    <row r="864" spans="13:14">
      <c r="M864" s="2237"/>
      <c r="N864" s="2238"/>
    </row>
    <row r="865" spans="13:14">
      <c r="M865" s="2237"/>
      <c r="N865" s="2238"/>
    </row>
    <row r="866" spans="13:14">
      <c r="M866" s="2237"/>
      <c r="N866" s="2238"/>
    </row>
    <row r="867" spans="13:14">
      <c r="M867" s="2237"/>
      <c r="N867" s="2238"/>
    </row>
    <row r="868" spans="13:14">
      <c r="M868" s="2237"/>
      <c r="N868" s="2238"/>
    </row>
    <row r="869" spans="13:14">
      <c r="M869" s="2237"/>
      <c r="N869" s="2238"/>
    </row>
    <row r="870" spans="13:14">
      <c r="M870" s="2237"/>
      <c r="N870" s="2238"/>
    </row>
    <row r="871" spans="13:14">
      <c r="M871" s="2237"/>
      <c r="N871" s="2238"/>
    </row>
    <row r="872" spans="13:14">
      <c r="M872" s="2237"/>
      <c r="N872" s="2238"/>
    </row>
    <row r="873" spans="13:14">
      <c r="M873" s="2237"/>
      <c r="N873" s="2238"/>
    </row>
    <row r="874" spans="13:14">
      <c r="M874" s="2237"/>
      <c r="N874" s="2238"/>
    </row>
    <row r="875" spans="13:14">
      <c r="M875" s="2237"/>
      <c r="N875" s="2238"/>
    </row>
    <row r="876" spans="13:14">
      <c r="M876" s="2237"/>
      <c r="N876" s="2238"/>
    </row>
    <row r="877" spans="13:14">
      <c r="M877" s="2237"/>
      <c r="N877" s="2238"/>
    </row>
    <row r="878" spans="13:14">
      <c r="M878" s="2237"/>
      <c r="N878" s="2238"/>
    </row>
    <row r="879" spans="13:14">
      <c r="M879" s="2237"/>
      <c r="N879" s="2238"/>
    </row>
    <row r="880" spans="13:14">
      <c r="M880" s="2237"/>
      <c r="N880" s="2238"/>
    </row>
    <row r="881" spans="13:14">
      <c r="M881" s="2237"/>
      <c r="N881" s="2238"/>
    </row>
    <row r="882" spans="13:14">
      <c r="M882" s="2237"/>
      <c r="N882" s="2238"/>
    </row>
    <row r="883" spans="13:14">
      <c r="M883" s="2237"/>
      <c r="N883" s="2238"/>
    </row>
    <row r="884" spans="13:14">
      <c r="M884" s="2237"/>
      <c r="N884" s="2238"/>
    </row>
    <row r="885" spans="13:14">
      <c r="M885" s="2237"/>
      <c r="N885" s="2238"/>
    </row>
    <row r="886" spans="13:14">
      <c r="M886" s="2237"/>
      <c r="N886" s="2238"/>
    </row>
    <row r="887" spans="13:14">
      <c r="M887" s="2237"/>
      <c r="N887" s="2238"/>
    </row>
    <row r="888" spans="13:14">
      <c r="M888" s="2237"/>
      <c r="N888" s="2238"/>
    </row>
    <row r="889" spans="13:14">
      <c r="M889" s="2237"/>
      <c r="N889" s="2238"/>
    </row>
    <row r="890" spans="13:14">
      <c r="M890" s="2237"/>
      <c r="N890" s="2238"/>
    </row>
    <row r="891" spans="13:14">
      <c r="M891" s="2237"/>
      <c r="N891" s="2238"/>
    </row>
    <row r="892" spans="13:14">
      <c r="M892" s="2237"/>
      <c r="N892" s="2238"/>
    </row>
    <row r="893" spans="13:14">
      <c r="M893" s="2237"/>
      <c r="N893" s="2238"/>
    </row>
    <row r="894" spans="13:14">
      <c r="M894" s="2237"/>
      <c r="N894" s="2238"/>
    </row>
    <row r="895" spans="13:14">
      <c r="M895" s="2237"/>
      <c r="N895" s="2238"/>
    </row>
    <row r="896" spans="13:14">
      <c r="M896" s="2237"/>
      <c r="N896" s="2238"/>
    </row>
    <row r="897" spans="13:14">
      <c r="M897" s="2237"/>
      <c r="N897" s="2238"/>
    </row>
    <row r="898" spans="13:14">
      <c r="M898" s="2237"/>
      <c r="N898" s="2238"/>
    </row>
    <row r="899" spans="13:14">
      <c r="M899" s="2237"/>
      <c r="N899" s="2238"/>
    </row>
    <row r="900" spans="13:14">
      <c r="M900" s="2237"/>
      <c r="N900" s="2238"/>
    </row>
    <row r="901" spans="13:14">
      <c r="M901" s="2237"/>
      <c r="N901" s="2238"/>
    </row>
    <row r="902" spans="13:14">
      <c r="M902" s="2237"/>
      <c r="N902" s="2238"/>
    </row>
    <row r="903" spans="13:14">
      <c r="M903" s="2237"/>
      <c r="N903" s="2238"/>
    </row>
    <row r="904" spans="13:14">
      <c r="M904" s="2237"/>
      <c r="N904" s="2238"/>
    </row>
    <row r="905" spans="13:14">
      <c r="M905" s="2237"/>
      <c r="N905" s="2238"/>
    </row>
    <row r="906" spans="13:14">
      <c r="M906" s="2237"/>
      <c r="N906" s="2238"/>
    </row>
    <row r="907" spans="13:14">
      <c r="M907" s="2237"/>
      <c r="N907" s="2238"/>
    </row>
    <row r="908" spans="13:14">
      <c r="M908" s="2237"/>
      <c r="N908" s="2238"/>
    </row>
    <row r="909" spans="13:14">
      <c r="M909" s="2237"/>
      <c r="N909" s="2238"/>
    </row>
    <row r="910" spans="13:14">
      <c r="M910" s="2237"/>
      <c r="N910" s="2238"/>
    </row>
    <row r="911" spans="13:14">
      <c r="M911" s="2237"/>
      <c r="N911" s="2238"/>
    </row>
    <row r="912" spans="13:14">
      <c r="M912" s="2237"/>
      <c r="N912" s="2238"/>
    </row>
    <row r="913" spans="13:14">
      <c r="M913" s="2237"/>
      <c r="N913" s="2238"/>
    </row>
    <row r="914" spans="13:14">
      <c r="M914" s="2237"/>
      <c r="N914" s="2238"/>
    </row>
    <row r="915" spans="13:14">
      <c r="M915" s="2237"/>
      <c r="N915" s="2238"/>
    </row>
    <row r="916" spans="13:14">
      <c r="M916" s="2237"/>
      <c r="N916" s="2238"/>
    </row>
    <row r="917" spans="13:14">
      <c r="M917" s="2237"/>
      <c r="N917" s="2238"/>
    </row>
    <row r="918" spans="13:14">
      <c r="M918" s="2237"/>
      <c r="N918" s="2238"/>
    </row>
    <row r="919" spans="13:14">
      <c r="M919" s="2237"/>
      <c r="N919" s="2238"/>
    </row>
    <row r="920" spans="13:14">
      <c r="M920" s="2237"/>
      <c r="N920" s="2238"/>
    </row>
    <row r="921" spans="13:14">
      <c r="M921" s="2237"/>
      <c r="N921" s="2238"/>
    </row>
    <row r="922" spans="13:14">
      <c r="M922" s="2237"/>
      <c r="N922" s="2238"/>
    </row>
    <row r="923" spans="13:14">
      <c r="M923" s="2237"/>
      <c r="N923" s="2238"/>
    </row>
    <row r="924" spans="13:14">
      <c r="M924" s="2237"/>
      <c r="N924" s="2238"/>
    </row>
    <row r="925" spans="13:14">
      <c r="M925" s="2237"/>
      <c r="N925" s="2238"/>
    </row>
    <row r="926" spans="13:14">
      <c r="M926" s="2237"/>
      <c r="N926" s="2238"/>
    </row>
    <row r="927" spans="13:14">
      <c r="M927" s="2237"/>
      <c r="N927" s="2238"/>
    </row>
    <row r="928" spans="13:14">
      <c r="M928" s="2237"/>
      <c r="N928" s="2238"/>
    </row>
    <row r="929" spans="13:14">
      <c r="M929" s="2237"/>
      <c r="N929" s="2238"/>
    </row>
    <row r="930" spans="13:14">
      <c r="M930" s="2237"/>
      <c r="N930" s="2238"/>
    </row>
    <row r="931" spans="13:14">
      <c r="M931" s="2237"/>
      <c r="N931" s="2238"/>
    </row>
    <row r="932" spans="13:14">
      <c r="M932" s="2237"/>
      <c r="N932" s="2238"/>
    </row>
    <row r="933" spans="13:14">
      <c r="M933" s="2237"/>
      <c r="N933" s="2238"/>
    </row>
    <row r="934" spans="13:14">
      <c r="M934" s="2237"/>
      <c r="N934" s="2238"/>
    </row>
    <row r="935" spans="13:14">
      <c r="M935" s="2237"/>
      <c r="N935" s="2238"/>
    </row>
    <row r="936" spans="13:14">
      <c r="M936" s="2237"/>
      <c r="N936" s="2238"/>
    </row>
    <row r="937" spans="13:14">
      <c r="M937" s="2237"/>
      <c r="N937" s="2238"/>
    </row>
    <row r="938" spans="13:14">
      <c r="M938" s="2237"/>
      <c r="N938" s="2238"/>
    </row>
    <row r="939" spans="13:14">
      <c r="M939" s="2237"/>
      <c r="N939" s="2238"/>
    </row>
    <row r="940" spans="13:14">
      <c r="M940" s="2237"/>
      <c r="N940" s="2238"/>
    </row>
    <row r="941" spans="13:14">
      <c r="M941" s="2237"/>
      <c r="N941" s="2238"/>
    </row>
    <row r="942" spans="13:14">
      <c r="M942" s="2237"/>
      <c r="N942" s="2238"/>
    </row>
    <row r="943" spans="13:14">
      <c r="M943" s="2237"/>
      <c r="N943" s="2238"/>
    </row>
    <row r="944" spans="13:14">
      <c r="M944" s="2237"/>
      <c r="N944" s="2238"/>
    </row>
    <row r="945" spans="13:14">
      <c r="M945" s="2237"/>
      <c r="N945" s="2238"/>
    </row>
    <row r="946" spans="13:14">
      <c r="M946" s="2237"/>
      <c r="N946" s="2238"/>
    </row>
    <row r="947" spans="13:14">
      <c r="M947" s="2237"/>
      <c r="N947" s="2238"/>
    </row>
    <row r="948" spans="13:14">
      <c r="M948" s="2237"/>
      <c r="N948" s="2238"/>
    </row>
    <row r="949" spans="13:14">
      <c r="M949" s="2237"/>
      <c r="N949" s="2238"/>
    </row>
    <row r="950" spans="13:14">
      <c r="M950" s="2237"/>
      <c r="N950" s="2238"/>
    </row>
    <row r="951" spans="13:14">
      <c r="M951" s="2237"/>
      <c r="N951" s="2238"/>
    </row>
    <row r="952" spans="13:14">
      <c r="M952" s="2237"/>
      <c r="N952" s="2238"/>
    </row>
    <row r="953" spans="13:14">
      <c r="M953" s="2237"/>
      <c r="N953" s="2238"/>
    </row>
    <row r="954" spans="13:14">
      <c r="M954" s="2237"/>
      <c r="N954" s="2238"/>
    </row>
    <row r="955" spans="13:14">
      <c r="M955" s="2237"/>
      <c r="N955" s="2238"/>
    </row>
    <row r="956" spans="13:14">
      <c r="M956" s="2237"/>
      <c r="N956" s="2238"/>
    </row>
    <row r="957" spans="13:14">
      <c r="M957" s="2237"/>
      <c r="N957" s="2238"/>
    </row>
    <row r="958" spans="13:14">
      <c r="M958" s="2237"/>
      <c r="N958" s="2238"/>
    </row>
    <row r="959" spans="13:14">
      <c r="M959" s="2237"/>
      <c r="N959" s="2238"/>
    </row>
    <row r="960" spans="13:14">
      <c r="M960" s="2237"/>
      <c r="N960" s="2238"/>
    </row>
    <row r="961" spans="13:14">
      <c r="M961" s="2237"/>
      <c r="N961" s="2238"/>
    </row>
    <row r="962" spans="13:14">
      <c r="M962" s="2237"/>
      <c r="N962" s="2238"/>
    </row>
    <row r="963" spans="13:14">
      <c r="M963" s="2237"/>
      <c r="N963" s="2238"/>
    </row>
    <row r="964" spans="13:14">
      <c r="M964" s="2237"/>
      <c r="N964" s="2238"/>
    </row>
    <row r="965" spans="13:14">
      <c r="M965" s="2237"/>
      <c r="N965" s="2238"/>
    </row>
    <row r="966" spans="13:14">
      <c r="M966" s="2237"/>
      <c r="N966" s="2238"/>
    </row>
    <row r="967" spans="13:14">
      <c r="M967" s="2237"/>
      <c r="N967" s="2238"/>
    </row>
    <row r="968" spans="13:14">
      <c r="M968" s="2237"/>
      <c r="N968" s="2238"/>
    </row>
    <row r="969" spans="13:14">
      <c r="M969" s="2237"/>
      <c r="N969" s="2238"/>
    </row>
    <row r="970" spans="13:14">
      <c r="M970" s="2237"/>
      <c r="N970" s="2238"/>
    </row>
    <row r="971" spans="13:14">
      <c r="M971" s="2237"/>
      <c r="N971" s="2238"/>
    </row>
    <row r="972" spans="13:14">
      <c r="M972" s="2237"/>
      <c r="N972" s="2238"/>
    </row>
    <row r="973" spans="13:14">
      <c r="M973" s="2237"/>
      <c r="N973" s="2238"/>
    </row>
    <row r="974" spans="13:14">
      <c r="M974" s="2237"/>
      <c r="N974" s="2238"/>
    </row>
    <row r="975" spans="13:14">
      <c r="M975" s="2237"/>
      <c r="N975" s="2238"/>
    </row>
    <row r="976" spans="13:14">
      <c r="M976" s="2237"/>
      <c r="N976" s="2238"/>
    </row>
    <row r="977" spans="13:14">
      <c r="M977" s="2237"/>
      <c r="N977" s="2238"/>
    </row>
    <row r="978" spans="13:14">
      <c r="M978" s="2237"/>
      <c r="N978" s="2238"/>
    </row>
    <row r="979" spans="13:14">
      <c r="M979" s="2237"/>
      <c r="N979" s="2238"/>
    </row>
    <row r="980" spans="13:14">
      <c r="M980" s="2237"/>
      <c r="N980" s="2238"/>
    </row>
    <row r="981" spans="13:14">
      <c r="M981" s="2237"/>
      <c r="N981" s="2238"/>
    </row>
    <row r="982" spans="13:14">
      <c r="M982" s="2237"/>
      <c r="N982" s="2238"/>
    </row>
    <row r="983" spans="13:14">
      <c r="M983" s="2237"/>
      <c r="N983" s="2238"/>
    </row>
    <row r="984" spans="13:14">
      <c r="M984" s="2237"/>
      <c r="N984" s="2238"/>
    </row>
    <row r="985" spans="13:14">
      <c r="M985" s="2237"/>
      <c r="N985" s="2238"/>
    </row>
    <row r="986" spans="13:14">
      <c r="M986" s="2237"/>
      <c r="N986" s="2238"/>
    </row>
    <row r="987" spans="13:14">
      <c r="M987" s="2237"/>
      <c r="N987" s="2238"/>
    </row>
    <row r="988" spans="13:14">
      <c r="M988" s="2237"/>
      <c r="N988" s="2238"/>
    </row>
    <row r="989" spans="13:14">
      <c r="M989" s="2237"/>
      <c r="N989" s="2238"/>
    </row>
    <row r="990" spans="13:14">
      <c r="M990" s="2237"/>
      <c r="N990" s="2238"/>
    </row>
    <row r="991" spans="13:14">
      <c r="M991" s="2237"/>
      <c r="N991" s="2238"/>
    </row>
    <row r="992" spans="13:14">
      <c r="M992" s="2237"/>
      <c r="N992" s="2238"/>
    </row>
    <row r="993" spans="13:14">
      <c r="M993" s="2237"/>
      <c r="N993" s="2238"/>
    </row>
    <row r="994" spans="13:14">
      <c r="M994" s="2237"/>
      <c r="N994" s="2238"/>
    </row>
    <row r="995" spans="13:14">
      <c r="M995" s="2237"/>
      <c r="N995" s="2238"/>
    </row>
    <row r="996" spans="13:14">
      <c r="M996" s="2237"/>
      <c r="N996" s="2238"/>
    </row>
    <row r="997" spans="13:14">
      <c r="M997" s="2237"/>
      <c r="N997" s="2238"/>
    </row>
    <row r="998" spans="13:14">
      <c r="M998" s="2237"/>
      <c r="N998" s="2238"/>
    </row>
    <row r="999" spans="13:14">
      <c r="M999" s="2237"/>
      <c r="N999" s="2238"/>
    </row>
    <row r="1000" spans="13:14">
      <c r="M1000" s="2237"/>
      <c r="N1000" s="2238"/>
    </row>
    <row r="1001" spans="13:14">
      <c r="M1001" s="2237"/>
      <c r="N1001" s="2238"/>
    </row>
    <row r="1002" spans="13:14">
      <c r="M1002" s="2237"/>
      <c r="N1002" s="2238"/>
    </row>
    <row r="1003" spans="13:14">
      <c r="M1003" s="2237"/>
      <c r="N1003" s="2238"/>
    </row>
    <row r="1004" spans="13:14">
      <c r="M1004" s="2237"/>
      <c r="N1004" s="2238"/>
    </row>
    <row r="1005" spans="13:14">
      <c r="M1005" s="2237"/>
      <c r="N1005" s="2238"/>
    </row>
    <row r="1006" spans="13:14">
      <c r="M1006" s="2237"/>
      <c r="N1006" s="2238"/>
    </row>
    <row r="1007" spans="13:14">
      <c r="M1007" s="2237"/>
      <c r="N1007" s="2238"/>
    </row>
    <row r="1008" spans="13:14">
      <c r="M1008" s="2237"/>
      <c r="N1008" s="2238"/>
    </row>
    <row r="1009" spans="13:14">
      <c r="M1009" s="2237"/>
      <c r="N1009" s="2238"/>
    </row>
    <row r="1010" spans="13:14">
      <c r="M1010" s="2237"/>
      <c r="N1010" s="2238"/>
    </row>
    <row r="1011" spans="13:14">
      <c r="M1011" s="2237"/>
      <c r="N1011" s="2238"/>
    </row>
    <row r="1012" spans="13:14">
      <c r="M1012" s="2237"/>
      <c r="N1012" s="2238"/>
    </row>
    <row r="1013" spans="13:14">
      <c r="M1013" s="2237"/>
      <c r="N1013" s="2238"/>
    </row>
    <row r="1014" spans="13:14">
      <c r="M1014" s="2237"/>
      <c r="N1014" s="2238"/>
    </row>
    <row r="1015" spans="13:14">
      <c r="M1015" s="2237"/>
      <c r="N1015" s="2238"/>
    </row>
    <row r="1016" spans="13:14">
      <c r="M1016" s="2237"/>
      <c r="N1016" s="2238"/>
    </row>
    <row r="1017" spans="13:14">
      <c r="M1017" s="2237"/>
      <c r="N1017" s="2238"/>
    </row>
    <row r="1018" spans="13:14">
      <c r="M1018" s="2237"/>
      <c r="N1018" s="2238"/>
    </row>
    <row r="1019" spans="13:14">
      <c r="M1019" s="2237"/>
      <c r="N1019" s="2238"/>
    </row>
    <row r="1020" spans="13:14">
      <c r="M1020" s="2237"/>
      <c r="N1020" s="2238"/>
    </row>
    <row r="1021" spans="13:14">
      <c r="M1021" s="2237"/>
      <c r="N1021" s="2238"/>
    </row>
    <row r="1022" spans="13:14">
      <c r="M1022" s="2237"/>
      <c r="N1022" s="2238"/>
    </row>
    <row r="1023" spans="13:14">
      <c r="M1023" s="2237"/>
      <c r="N1023" s="2238"/>
    </row>
    <row r="1024" spans="13:14">
      <c r="M1024" s="2237"/>
      <c r="N1024" s="2238"/>
    </row>
    <row r="1025" spans="13:14">
      <c r="M1025" s="2237"/>
      <c r="N1025" s="2238"/>
    </row>
    <row r="1026" spans="13:14">
      <c r="M1026" s="2237"/>
      <c r="N1026" s="2238"/>
    </row>
    <row r="1027" spans="13:14">
      <c r="M1027" s="2237"/>
      <c r="N1027" s="2238"/>
    </row>
    <row r="1028" spans="13:14">
      <c r="M1028" s="2237"/>
      <c r="N1028" s="2238"/>
    </row>
    <row r="1029" spans="13:14">
      <c r="M1029" s="2237"/>
      <c r="N1029" s="2238"/>
    </row>
    <row r="1030" spans="13:14">
      <c r="M1030" s="2237"/>
      <c r="N1030" s="2238"/>
    </row>
    <row r="1031" spans="13:14">
      <c r="M1031" s="2237"/>
      <c r="N1031" s="2238"/>
    </row>
    <row r="1032" spans="13:14">
      <c r="M1032" s="2237"/>
      <c r="N1032" s="2238"/>
    </row>
    <row r="1033" spans="13:14">
      <c r="M1033" s="2237"/>
      <c r="N1033" s="2238"/>
    </row>
    <row r="1034" spans="13:14">
      <c r="M1034" s="2237"/>
      <c r="N1034" s="2238"/>
    </row>
    <row r="1035" spans="13:14">
      <c r="M1035" s="2237"/>
      <c r="N1035" s="2238"/>
    </row>
    <row r="1036" spans="13:14">
      <c r="M1036" s="2237"/>
      <c r="N1036" s="2238"/>
    </row>
    <row r="1037" spans="13:14">
      <c r="M1037" s="2237"/>
      <c r="N1037" s="2238"/>
    </row>
    <row r="1038" spans="13:14">
      <c r="M1038" s="2237"/>
      <c r="N1038" s="2238"/>
    </row>
    <row r="1039" spans="13:14">
      <c r="M1039" s="2237"/>
      <c r="N1039" s="2238"/>
    </row>
    <row r="1040" spans="13:14">
      <c r="M1040" s="2237"/>
      <c r="N1040" s="2238"/>
    </row>
    <row r="1041" spans="13:14">
      <c r="M1041" s="2237"/>
      <c r="N1041" s="2238"/>
    </row>
    <row r="1042" spans="13:14">
      <c r="M1042" s="2237"/>
      <c r="N1042" s="2238"/>
    </row>
    <row r="1043" spans="13:14">
      <c r="M1043" s="2237"/>
      <c r="N1043" s="2238"/>
    </row>
    <row r="1044" spans="13:14">
      <c r="M1044" s="2237"/>
      <c r="N1044" s="2238"/>
    </row>
    <row r="1045" spans="13:14">
      <c r="M1045" s="2237"/>
      <c r="N1045" s="2238"/>
    </row>
    <row r="1046" spans="13:14">
      <c r="M1046" s="2237"/>
      <c r="N1046" s="2238"/>
    </row>
    <row r="1047" spans="13:14">
      <c r="M1047" s="2237"/>
      <c r="N1047" s="2238"/>
    </row>
    <row r="1048" spans="13:14">
      <c r="M1048" s="2237"/>
      <c r="N1048" s="2238"/>
    </row>
    <row r="1049" spans="13:14">
      <c r="M1049" s="2237"/>
      <c r="N1049" s="2238"/>
    </row>
    <row r="1050" spans="13:14">
      <c r="M1050" s="2237"/>
      <c r="N1050" s="2238"/>
    </row>
    <row r="1051" spans="13:14">
      <c r="M1051" s="2237"/>
      <c r="N1051" s="2238"/>
    </row>
    <row r="1052" spans="13:14">
      <c r="M1052" s="2237"/>
      <c r="N1052" s="2238"/>
    </row>
    <row r="1053" spans="13:14">
      <c r="M1053" s="2237"/>
      <c r="N1053" s="2238"/>
    </row>
    <row r="1054" spans="13:14">
      <c r="M1054" s="2237"/>
      <c r="N1054" s="2238"/>
    </row>
    <row r="1055" spans="13:14">
      <c r="M1055" s="2237"/>
      <c r="N1055" s="2238"/>
    </row>
    <row r="1056" spans="13:14">
      <c r="M1056" s="2237"/>
      <c r="N1056" s="2238"/>
    </row>
    <row r="1057" spans="13:14">
      <c r="M1057" s="2237"/>
      <c r="N1057" s="2238"/>
    </row>
    <row r="1058" spans="13:14">
      <c r="M1058" s="2237"/>
      <c r="N1058" s="2238"/>
    </row>
    <row r="1059" spans="13:14">
      <c r="M1059" s="2237"/>
      <c r="N1059" s="2238"/>
    </row>
    <row r="1060" spans="13:14">
      <c r="M1060" s="2237"/>
      <c r="N1060" s="2238"/>
    </row>
    <row r="1061" spans="13:14">
      <c r="M1061" s="2237"/>
      <c r="N1061" s="2238"/>
    </row>
    <row r="1062" spans="13:14">
      <c r="M1062" s="2237"/>
      <c r="N1062" s="2238"/>
    </row>
    <row r="1063" spans="13:14">
      <c r="M1063" s="2237"/>
      <c r="N1063" s="2238"/>
    </row>
    <row r="1064" spans="13:14">
      <c r="M1064" s="2237"/>
      <c r="N1064" s="2238"/>
    </row>
    <row r="1065" spans="13:14">
      <c r="M1065" s="2237"/>
      <c r="N1065" s="2238"/>
    </row>
    <row r="1066" spans="13:14">
      <c r="M1066" s="2237"/>
      <c r="N1066" s="2238"/>
    </row>
    <row r="1067" spans="13:14">
      <c r="M1067" s="2237"/>
      <c r="N1067" s="2238"/>
    </row>
    <row r="1068" spans="13:14">
      <c r="M1068" s="2237"/>
      <c r="N1068" s="2238"/>
    </row>
    <row r="1069" spans="13:14">
      <c r="M1069" s="2237"/>
      <c r="N1069" s="2238"/>
    </row>
    <row r="1070" spans="13:14">
      <c r="M1070" s="2237"/>
      <c r="N1070" s="2238"/>
    </row>
    <row r="1071" spans="13:14">
      <c r="M1071" s="2237"/>
      <c r="N1071" s="2238"/>
    </row>
    <row r="1072" spans="13:14">
      <c r="M1072" s="2237"/>
      <c r="N1072" s="2238"/>
    </row>
    <row r="1073" spans="13:14">
      <c r="M1073" s="2237"/>
      <c r="N1073" s="2238"/>
    </row>
    <row r="1074" spans="13:14">
      <c r="M1074" s="2237"/>
      <c r="N1074" s="2238"/>
    </row>
    <row r="1075" spans="13:14">
      <c r="M1075" s="2237"/>
      <c r="N1075" s="2238"/>
    </row>
    <row r="1076" spans="13:14">
      <c r="M1076" s="2237"/>
      <c r="N1076" s="2238"/>
    </row>
    <row r="1077" spans="13:14">
      <c r="M1077" s="2237"/>
      <c r="N1077" s="2238"/>
    </row>
    <row r="1078" spans="13:14">
      <c r="M1078" s="2237"/>
      <c r="N1078" s="2238"/>
    </row>
    <row r="1079" spans="13:14">
      <c r="M1079" s="2237"/>
      <c r="N1079" s="2238"/>
    </row>
    <row r="1080" spans="13:14">
      <c r="M1080" s="2237"/>
      <c r="N1080" s="2238"/>
    </row>
    <row r="1081" spans="13:14">
      <c r="M1081" s="2237"/>
      <c r="N1081" s="2238"/>
    </row>
    <row r="1082" spans="13:14">
      <c r="M1082" s="2237"/>
      <c r="N1082" s="2238"/>
    </row>
    <row r="1083" spans="13:14">
      <c r="M1083" s="2237"/>
      <c r="N1083" s="2238"/>
    </row>
    <row r="1084" spans="13:14">
      <c r="M1084" s="2237"/>
      <c r="N1084" s="2238"/>
    </row>
    <row r="1085" spans="13:14">
      <c r="M1085" s="2237"/>
      <c r="N1085" s="2238"/>
    </row>
    <row r="1086" spans="13:14">
      <c r="M1086" s="2237"/>
      <c r="N1086" s="2238"/>
    </row>
    <row r="1087" spans="13:14">
      <c r="M1087" s="2237"/>
      <c r="N1087" s="2238"/>
    </row>
    <row r="1088" spans="13:14">
      <c r="M1088" s="2237"/>
      <c r="N1088" s="2238"/>
    </row>
    <row r="1089" spans="13:14">
      <c r="M1089" s="2237"/>
      <c r="N1089" s="2238"/>
    </row>
    <row r="1090" spans="13:14">
      <c r="M1090" s="2237"/>
      <c r="N1090" s="2238"/>
    </row>
    <row r="1091" spans="13:14">
      <c r="M1091" s="2237"/>
      <c r="N1091" s="2238"/>
    </row>
    <row r="1092" spans="13:14">
      <c r="M1092" s="2237"/>
      <c r="N1092" s="2238"/>
    </row>
    <row r="1093" spans="13:14">
      <c r="M1093" s="2237"/>
      <c r="N1093" s="2238"/>
    </row>
    <row r="1094" spans="13:14">
      <c r="M1094" s="2237"/>
      <c r="N1094" s="2238"/>
    </row>
    <row r="1095" spans="13:14">
      <c r="M1095" s="2237"/>
      <c r="N1095" s="2238"/>
    </row>
    <row r="1096" spans="13:14">
      <c r="M1096" s="2237"/>
      <c r="N1096" s="2238"/>
    </row>
    <row r="1097" spans="13:14">
      <c r="M1097" s="2237"/>
      <c r="N1097" s="2238"/>
    </row>
    <row r="1098" spans="13:14">
      <c r="M1098" s="2237"/>
      <c r="N1098" s="2238"/>
    </row>
    <row r="1099" spans="13:14">
      <c r="M1099" s="2237"/>
      <c r="N1099" s="2238"/>
    </row>
    <row r="1100" spans="13:14">
      <c r="M1100" s="2237"/>
      <c r="N1100" s="2238"/>
    </row>
    <row r="1101" spans="13:14">
      <c r="M1101" s="2237"/>
      <c r="N1101" s="2238"/>
    </row>
    <row r="1102" spans="13:14">
      <c r="M1102" s="2237"/>
      <c r="N1102" s="2238"/>
    </row>
    <row r="1103" spans="13:14">
      <c r="M1103" s="2237"/>
      <c r="N1103" s="2238"/>
    </row>
    <row r="1104" spans="13:14">
      <c r="M1104" s="2237"/>
      <c r="N1104" s="2238"/>
    </row>
    <row r="1105" spans="13:14">
      <c r="M1105" s="2237"/>
      <c r="N1105" s="2238"/>
    </row>
    <row r="1106" spans="13:14">
      <c r="M1106" s="2237"/>
      <c r="N1106" s="2238"/>
    </row>
    <row r="1107" spans="13:14">
      <c r="M1107" s="2237"/>
      <c r="N1107" s="2238"/>
    </row>
    <row r="1108" spans="13:14">
      <c r="M1108" s="2237"/>
      <c r="N1108" s="2238"/>
    </row>
    <row r="1109" spans="13:14">
      <c r="M1109" s="2237"/>
      <c r="N1109" s="2238"/>
    </row>
    <row r="1110" spans="13:14">
      <c r="M1110" s="2237"/>
      <c r="N1110" s="2238"/>
    </row>
    <row r="1111" spans="13:14">
      <c r="M1111" s="2237"/>
      <c r="N1111" s="2238"/>
    </row>
    <row r="1112" spans="13:14">
      <c r="M1112" s="2237"/>
      <c r="N1112" s="2238"/>
    </row>
    <row r="1113" spans="13:14">
      <c r="M1113" s="2237"/>
      <c r="N1113" s="2238"/>
    </row>
    <row r="1114" spans="13:14">
      <c r="M1114" s="2237"/>
      <c r="N1114" s="2238"/>
    </row>
    <row r="1115" spans="13:14">
      <c r="M1115" s="2237"/>
      <c r="N1115" s="2238"/>
    </row>
    <row r="1116" spans="13:14">
      <c r="M1116" s="2237"/>
      <c r="N1116" s="2238"/>
    </row>
    <row r="1117" spans="13:14">
      <c r="M1117" s="2237"/>
      <c r="N1117" s="2238"/>
    </row>
    <row r="1118" spans="13:14">
      <c r="M1118" s="2237"/>
      <c r="N1118" s="2238"/>
    </row>
    <row r="1119" spans="13:14">
      <c r="M1119" s="2237"/>
      <c r="N1119" s="2238"/>
    </row>
    <row r="1120" spans="13:14">
      <c r="M1120" s="2237"/>
      <c r="N1120" s="2238"/>
    </row>
    <row r="1121" spans="13:14">
      <c r="M1121" s="2237"/>
      <c r="N1121" s="2238"/>
    </row>
    <row r="1122" spans="13:14">
      <c r="M1122" s="2237"/>
      <c r="N1122" s="2238"/>
    </row>
    <row r="1123" spans="13:14">
      <c r="M1123" s="2237"/>
      <c r="N1123" s="2238"/>
    </row>
    <row r="1124" spans="13:14">
      <c r="M1124" s="2237"/>
      <c r="N1124" s="2238"/>
    </row>
    <row r="1125" spans="13:14">
      <c r="M1125" s="2237"/>
      <c r="N1125" s="2238"/>
    </row>
    <row r="1126" spans="13:14">
      <c r="M1126" s="2237"/>
      <c r="N1126" s="2238"/>
    </row>
    <row r="1127" spans="13:14">
      <c r="M1127" s="2237"/>
      <c r="N1127" s="2238"/>
    </row>
    <row r="1128" spans="13:14">
      <c r="M1128" s="2237"/>
      <c r="N1128" s="2238"/>
    </row>
    <row r="1129" spans="13:14">
      <c r="M1129" s="2237"/>
      <c r="N1129" s="2238"/>
    </row>
    <row r="1130" spans="13:14">
      <c r="M1130" s="2237"/>
      <c r="N1130" s="2238"/>
    </row>
    <row r="1131" spans="13:14">
      <c r="M1131" s="2237"/>
      <c r="N1131" s="2238"/>
    </row>
    <row r="1132" spans="13:14">
      <c r="M1132" s="2237"/>
      <c r="N1132" s="2238"/>
    </row>
    <row r="1133" spans="13:14">
      <c r="M1133" s="2237"/>
      <c r="N1133" s="2238"/>
    </row>
    <row r="1134" spans="13:14">
      <c r="M1134" s="2237"/>
      <c r="N1134" s="2238"/>
    </row>
    <row r="1135" spans="13:14">
      <c r="M1135" s="2237"/>
      <c r="N1135" s="2238"/>
    </row>
    <row r="1136" spans="13:14">
      <c r="M1136" s="2237"/>
      <c r="N1136" s="2238"/>
    </row>
    <row r="1137" spans="13:14">
      <c r="M1137" s="2237"/>
      <c r="N1137" s="2238"/>
    </row>
    <row r="1138" spans="13:14">
      <c r="M1138" s="2237"/>
      <c r="N1138" s="2238"/>
    </row>
    <row r="1139" spans="13:14">
      <c r="M1139" s="2237"/>
      <c r="N1139" s="2238"/>
    </row>
    <row r="1140" spans="13:14">
      <c r="M1140" s="2237"/>
      <c r="N1140" s="2238"/>
    </row>
    <row r="1141" spans="13:14">
      <c r="M1141" s="2237"/>
      <c r="N1141" s="2238"/>
    </row>
    <row r="1142" spans="13:14">
      <c r="M1142" s="2237"/>
      <c r="N1142" s="2238"/>
    </row>
    <row r="1143" spans="13:14">
      <c r="M1143" s="2237"/>
      <c r="N1143" s="2238"/>
    </row>
    <row r="1144" spans="13:14">
      <c r="M1144" s="2237"/>
      <c r="N1144" s="2238"/>
    </row>
    <row r="1145" spans="13:14">
      <c r="M1145" s="2237"/>
      <c r="N1145" s="2238"/>
    </row>
    <row r="1146" spans="13:14">
      <c r="M1146" s="2237"/>
      <c r="N1146" s="2238"/>
    </row>
    <row r="1147" spans="13:14">
      <c r="M1147" s="2237"/>
      <c r="N1147" s="2238"/>
    </row>
    <row r="1148" spans="13:14">
      <c r="M1148" s="2237"/>
      <c r="N1148" s="2238"/>
    </row>
    <row r="1149" spans="13:14">
      <c r="M1149" s="2237"/>
      <c r="N1149" s="2238"/>
    </row>
    <row r="1150" spans="13:14">
      <c r="M1150" s="2237"/>
      <c r="N1150" s="2238"/>
    </row>
    <row r="1151" spans="13:14">
      <c r="M1151" s="2237"/>
      <c r="N1151" s="2238"/>
    </row>
    <row r="1152" spans="13:14">
      <c r="M1152" s="2237"/>
      <c r="N1152" s="2238"/>
    </row>
    <row r="1153" spans="13:14">
      <c r="M1153" s="2237"/>
      <c r="N1153" s="2238"/>
    </row>
    <row r="1154" spans="13:14">
      <c r="M1154" s="2237"/>
      <c r="N1154" s="2238"/>
    </row>
    <row r="1155" spans="13:14">
      <c r="M1155" s="2237"/>
      <c r="N1155" s="2238"/>
    </row>
    <row r="1156" spans="13:14">
      <c r="M1156" s="2237"/>
      <c r="N1156" s="2238"/>
    </row>
    <row r="1157" spans="13:14">
      <c r="M1157" s="2237"/>
      <c r="N1157" s="2238"/>
    </row>
    <row r="1158" spans="13:14">
      <c r="M1158" s="2237"/>
      <c r="N1158" s="2238"/>
    </row>
    <row r="1159" spans="13:14">
      <c r="M1159" s="2237"/>
      <c r="N1159" s="2238"/>
    </row>
    <row r="1160" spans="13:14">
      <c r="M1160" s="2237"/>
      <c r="N1160" s="2238"/>
    </row>
    <row r="1161" spans="13:14">
      <c r="M1161" s="2237"/>
      <c r="N1161" s="2238"/>
    </row>
    <row r="1162" spans="13:14">
      <c r="M1162" s="2237"/>
      <c r="N1162" s="2238"/>
    </row>
    <row r="1163" spans="13:14">
      <c r="M1163" s="2237"/>
      <c r="N1163" s="2238"/>
    </row>
    <row r="1164" spans="13:14">
      <c r="M1164" s="2237"/>
      <c r="N1164" s="2238"/>
    </row>
    <row r="1165" spans="13:14">
      <c r="M1165" s="2237"/>
      <c r="N1165" s="2238"/>
    </row>
    <row r="1166" spans="13:14">
      <c r="M1166" s="2237"/>
      <c r="N1166" s="2238"/>
    </row>
    <row r="1167" spans="13:14">
      <c r="M1167" s="2237"/>
      <c r="N1167" s="2238"/>
    </row>
    <row r="1168" spans="13:14">
      <c r="M1168" s="2237"/>
      <c r="N1168" s="2238"/>
    </row>
    <row r="1169" spans="13:14">
      <c r="M1169" s="2237"/>
      <c r="N1169" s="2238"/>
    </row>
    <row r="1170" spans="13:14">
      <c r="M1170" s="2237"/>
      <c r="N1170" s="2238"/>
    </row>
    <row r="1171" spans="13:14">
      <c r="M1171" s="2237"/>
      <c r="N1171" s="2238"/>
    </row>
    <row r="1172" spans="13:14">
      <c r="M1172" s="2237"/>
      <c r="N1172" s="2238"/>
    </row>
    <row r="1173" spans="13:14">
      <c r="M1173" s="2237"/>
      <c r="N1173" s="2238"/>
    </row>
    <row r="1174" spans="13:14">
      <c r="M1174" s="2237"/>
      <c r="N1174" s="2238"/>
    </row>
    <row r="1175" spans="13:14">
      <c r="M1175" s="2237"/>
      <c r="N1175" s="2238"/>
    </row>
    <row r="1176" spans="13:14">
      <c r="M1176" s="2237"/>
      <c r="N1176" s="2238"/>
    </row>
    <row r="1177" spans="13:14">
      <c r="M1177" s="2237"/>
      <c r="N1177" s="2238"/>
    </row>
    <row r="1178" spans="13:14">
      <c r="M1178" s="2237"/>
      <c r="N1178" s="2238"/>
    </row>
    <row r="1179" spans="13:14">
      <c r="M1179" s="2237"/>
      <c r="N1179" s="2238"/>
    </row>
    <row r="1180" spans="13:14">
      <c r="M1180" s="2237"/>
      <c r="N1180" s="2238"/>
    </row>
    <row r="1181" spans="13:14">
      <c r="M1181" s="2237"/>
      <c r="N1181" s="2238"/>
    </row>
    <row r="1182" spans="13:14">
      <c r="M1182" s="2237"/>
      <c r="N1182" s="2238"/>
    </row>
    <row r="1183" spans="13:14">
      <c r="M1183" s="2237"/>
      <c r="N1183" s="2238"/>
    </row>
    <row r="1184" spans="13:14">
      <c r="M1184" s="2237"/>
      <c r="N1184" s="2238"/>
    </row>
    <row r="1185" spans="13:14">
      <c r="M1185" s="2237"/>
      <c r="N1185" s="2238"/>
    </row>
    <row r="1186" spans="13:14">
      <c r="M1186" s="2237"/>
      <c r="N1186" s="2238"/>
    </row>
    <row r="1187" spans="13:14">
      <c r="M1187" s="2237"/>
      <c r="N1187" s="2238"/>
    </row>
    <row r="1188" spans="13:14">
      <c r="M1188" s="2237"/>
      <c r="N1188" s="2238"/>
    </row>
    <row r="1189" spans="13:14">
      <c r="M1189" s="2237"/>
      <c r="N1189" s="2238"/>
    </row>
    <row r="1190" spans="13:14">
      <c r="M1190" s="2237"/>
      <c r="N1190" s="2238"/>
    </row>
    <row r="1191" spans="13:14">
      <c r="M1191" s="2237"/>
      <c r="N1191" s="2238"/>
    </row>
    <row r="1192" spans="13:14">
      <c r="M1192" s="2237"/>
      <c r="N1192" s="2238"/>
    </row>
    <row r="1193" spans="13:14">
      <c r="M1193" s="2237"/>
      <c r="N1193" s="2238"/>
    </row>
    <row r="1194" spans="13:14">
      <c r="M1194" s="2237"/>
      <c r="N1194" s="2238"/>
    </row>
    <row r="1195" spans="13:14">
      <c r="M1195" s="2237"/>
      <c r="N1195" s="2238"/>
    </row>
    <row r="1196" spans="13:14">
      <c r="M1196" s="2237"/>
      <c r="N1196" s="2238"/>
    </row>
    <row r="1197" spans="13:14">
      <c r="M1197" s="2237"/>
      <c r="N1197" s="2238"/>
    </row>
    <row r="1198" spans="13:14">
      <c r="M1198" s="2237"/>
      <c r="N1198" s="2238"/>
    </row>
    <row r="1199" spans="13:14">
      <c r="M1199" s="2237"/>
      <c r="N1199" s="2238"/>
    </row>
    <row r="1200" spans="13:14">
      <c r="M1200" s="2237"/>
      <c r="N1200" s="2238"/>
    </row>
    <row r="1201" spans="13:14">
      <c r="M1201" s="2237"/>
      <c r="N1201" s="2238"/>
    </row>
    <row r="1202" spans="13:14">
      <c r="M1202" s="2237"/>
      <c r="N1202" s="2238"/>
    </row>
    <row r="1203" spans="13:14">
      <c r="M1203" s="2237"/>
      <c r="N1203" s="2238"/>
    </row>
    <row r="1204" spans="13:14">
      <c r="M1204" s="2237"/>
      <c r="N1204" s="2238"/>
    </row>
    <row r="1205" spans="13:14">
      <c r="M1205" s="2237"/>
      <c r="N1205" s="2238"/>
    </row>
    <row r="1206" spans="13:14">
      <c r="M1206" s="2237"/>
      <c r="N1206" s="2238"/>
    </row>
    <row r="1207" spans="13:14">
      <c r="M1207" s="2237"/>
      <c r="N1207" s="2238"/>
    </row>
    <row r="1208" spans="13:14">
      <c r="M1208" s="2237"/>
      <c r="N1208" s="2238"/>
    </row>
    <row r="1209" spans="13:14">
      <c r="M1209" s="2237"/>
      <c r="N1209" s="2238"/>
    </row>
    <row r="1210" spans="13:14">
      <c r="M1210" s="2237"/>
      <c r="N1210" s="2238"/>
    </row>
    <row r="1211" spans="13:14">
      <c r="M1211" s="2237"/>
      <c r="N1211" s="2238"/>
    </row>
    <row r="1212" spans="13:14">
      <c r="M1212" s="2237"/>
      <c r="N1212" s="2238"/>
    </row>
    <row r="1213" spans="13:14">
      <c r="M1213" s="2237"/>
      <c r="N1213" s="2238"/>
    </row>
    <row r="1214" spans="13:14">
      <c r="M1214" s="2237"/>
      <c r="N1214" s="2238"/>
    </row>
    <row r="1215" spans="13:14">
      <c r="M1215" s="2237"/>
      <c r="N1215" s="2238"/>
    </row>
    <row r="1216" spans="13:14">
      <c r="M1216" s="2237"/>
      <c r="N1216" s="2238"/>
    </row>
    <row r="1217" spans="13:14">
      <c r="M1217" s="2237"/>
      <c r="N1217" s="2238"/>
    </row>
    <row r="1218" spans="13:14">
      <c r="M1218" s="2237"/>
      <c r="N1218" s="2238"/>
    </row>
    <row r="1219" spans="13:14">
      <c r="M1219" s="2237"/>
      <c r="N1219" s="2238"/>
    </row>
    <row r="1220" spans="13:14">
      <c r="M1220" s="2237"/>
      <c r="N1220" s="2238"/>
    </row>
    <row r="1221" spans="13:14">
      <c r="M1221" s="2237"/>
      <c r="N1221" s="2238"/>
    </row>
    <row r="1222" spans="13:14">
      <c r="M1222" s="2237"/>
      <c r="N1222" s="2238"/>
    </row>
    <row r="1223" spans="13:14">
      <c r="M1223" s="2237"/>
      <c r="N1223" s="2238"/>
    </row>
    <row r="1224" spans="13:14">
      <c r="M1224" s="2237"/>
      <c r="N1224" s="2238"/>
    </row>
    <row r="1225" spans="13:14">
      <c r="M1225" s="2237"/>
      <c r="N1225" s="2238"/>
    </row>
    <row r="1226" spans="13:14">
      <c r="M1226" s="2237"/>
      <c r="N1226" s="2238"/>
    </row>
    <row r="1227" spans="13:14">
      <c r="M1227" s="2237"/>
      <c r="N1227" s="2238"/>
    </row>
    <row r="1228" spans="13:14">
      <c r="M1228" s="2237"/>
      <c r="N1228" s="2238"/>
    </row>
    <row r="1229" spans="13:14">
      <c r="M1229" s="2237"/>
      <c r="N1229" s="2238"/>
    </row>
    <row r="1230" spans="13:14">
      <c r="M1230" s="2237"/>
      <c r="N1230" s="2238"/>
    </row>
    <row r="1231" spans="13:14">
      <c r="M1231" s="2237"/>
      <c r="N1231" s="2238"/>
    </row>
    <row r="1232" spans="13:14">
      <c r="M1232" s="2237"/>
      <c r="N1232" s="2238"/>
    </row>
    <row r="1233" spans="13:14">
      <c r="M1233" s="2237"/>
      <c r="N1233" s="2238"/>
    </row>
    <row r="1234" spans="13:14">
      <c r="M1234" s="2237"/>
      <c r="N1234" s="2238"/>
    </row>
    <row r="1235" spans="13:14">
      <c r="M1235" s="2237"/>
      <c r="N1235" s="2238"/>
    </row>
    <row r="1236" spans="13:14">
      <c r="M1236" s="2237"/>
      <c r="N1236" s="2238"/>
    </row>
    <row r="1237" spans="13:14">
      <c r="M1237" s="2237"/>
      <c r="N1237" s="2238"/>
    </row>
    <row r="1238" spans="13:14">
      <c r="M1238" s="2237"/>
      <c r="N1238" s="2238"/>
    </row>
    <row r="1239" spans="13:14">
      <c r="M1239" s="2237"/>
      <c r="N1239" s="2238"/>
    </row>
    <row r="1240" spans="13:14">
      <c r="M1240" s="2237"/>
      <c r="N1240" s="2238"/>
    </row>
    <row r="1241" spans="13:14">
      <c r="M1241" s="2237"/>
      <c r="N1241" s="2238"/>
    </row>
    <row r="1242" spans="13:14">
      <c r="M1242" s="2237"/>
      <c r="N1242" s="2238"/>
    </row>
    <row r="1243" spans="13:14">
      <c r="M1243" s="2237"/>
      <c r="N1243" s="2238"/>
    </row>
    <row r="1244" spans="13:14">
      <c r="M1244" s="2237"/>
      <c r="N1244" s="2238"/>
    </row>
    <row r="1245" spans="13:14">
      <c r="M1245" s="2237"/>
      <c r="N1245" s="2238"/>
    </row>
    <row r="1246" spans="13:14">
      <c r="M1246" s="2237"/>
      <c r="N1246" s="2238"/>
    </row>
    <row r="1247" spans="13:14">
      <c r="M1247" s="2237"/>
      <c r="N1247" s="2238"/>
    </row>
    <row r="1248" spans="13:14">
      <c r="M1248" s="2237"/>
      <c r="N1248" s="2238"/>
    </row>
    <row r="1249" spans="13:14">
      <c r="M1249" s="2237"/>
      <c r="N1249" s="2238"/>
    </row>
    <row r="1250" spans="13:14">
      <c r="M1250" s="2237"/>
      <c r="N1250" s="2238"/>
    </row>
    <row r="1251" spans="13:14">
      <c r="M1251" s="2237"/>
      <c r="N1251" s="2238"/>
    </row>
    <row r="1252" spans="13:14">
      <c r="M1252" s="2237"/>
      <c r="N1252" s="2238"/>
    </row>
    <row r="1253" spans="13:14">
      <c r="M1253" s="2237"/>
      <c r="N1253" s="2238"/>
    </row>
    <row r="1254" spans="13:14">
      <c r="M1254" s="2237"/>
      <c r="N1254" s="2238"/>
    </row>
    <row r="1255" spans="13:14">
      <c r="M1255" s="2237"/>
      <c r="N1255" s="2238"/>
    </row>
    <row r="1256" spans="13:14">
      <c r="M1256" s="2237"/>
      <c r="N1256" s="2238"/>
    </row>
    <row r="1257" spans="13:14">
      <c r="M1257" s="2237"/>
      <c r="N1257" s="2238"/>
    </row>
    <row r="1258" spans="13:14">
      <c r="M1258" s="2237"/>
      <c r="N1258" s="2238"/>
    </row>
    <row r="1259" spans="13:14">
      <c r="M1259" s="2237"/>
      <c r="N1259" s="2238"/>
    </row>
    <row r="1260" spans="13:14">
      <c r="M1260" s="2237"/>
      <c r="N1260" s="2238"/>
    </row>
    <row r="1261" spans="13:14">
      <c r="M1261" s="2237"/>
      <c r="N1261" s="2238"/>
    </row>
    <row r="1262" spans="13:14">
      <c r="M1262" s="2237"/>
      <c r="N1262" s="2238"/>
    </row>
    <row r="1263" spans="13:14">
      <c r="M1263" s="2237"/>
      <c r="N1263" s="2238"/>
    </row>
    <row r="1264" spans="13:14">
      <c r="M1264" s="2237"/>
      <c r="N1264" s="2238"/>
    </row>
    <row r="1265" spans="13:14">
      <c r="M1265" s="2237"/>
      <c r="N1265" s="2238"/>
    </row>
    <row r="1266" spans="13:14">
      <c r="M1266" s="2237"/>
      <c r="N1266" s="2238"/>
    </row>
    <row r="1267" spans="13:14">
      <c r="M1267" s="2237"/>
      <c r="N1267" s="2238"/>
    </row>
    <row r="1268" spans="13:14">
      <c r="M1268" s="2237"/>
      <c r="N1268" s="2238"/>
    </row>
    <row r="1269" spans="13:14">
      <c r="M1269" s="2237"/>
      <c r="N1269" s="2238"/>
    </row>
    <row r="1270" spans="13:14">
      <c r="M1270" s="2237"/>
      <c r="N1270" s="2238"/>
    </row>
    <row r="1271" spans="13:14">
      <c r="M1271" s="2237"/>
      <c r="N1271" s="2238"/>
    </row>
    <row r="1272" spans="13:14">
      <c r="M1272" s="2237"/>
      <c r="N1272" s="2238"/>
    </row>
    <row r="1273" spans="13:14">
      <c r="M1273" s="2237"/>
      <c r="N1273" s="2238"/>
    </row>
    <row r="1274" spans="13:14">
      <c r="M1274" s="2237"/>
      <c r="N1274" s="2238"/>
    </row>
    <row r="1275" spans="13:14">
      <c r="M1275" s="2237"/>
      <c r="N1275" s="2238"/>
    </row>
    <row r="1276" spans="13:14">
      <c r="M1276" s="2237"/>
      <c r="N1276" s="2238"/>
    </row>
    <row r="1277" spans="13:14">
      <c r="M1277" s="2237"/>
      <c r="N1277" s="2238"/>
    </row>
    <row r="1278" spans="13:14">
      <c r="M1278" s="2237"/>
      <c r="N1278" s="2238"/>
    </row>
    <row r="1279" spans="13:14">
      <c r="M1279" s="2237"/>
      <c r="N1279" s="2238"/>
    </row>
    <row r="1280" spans="13:14">
      <c r="M1280" s="2237"/>
      <c r="N1280" s="2238"/>
    </row>
    <row r="1281" spans="13:14">
      <c r="M1281" s="2237"/>
      <c r="N1281" s="2238"/>
    </row>
    <row r="1282" spans="13:14">
      <c r="M1282" s="2237"/>
      <c r="N1282" s="2238"/>
    </row>
    <row r="1283" spans="13:14">
      <c r="M1283" s="2237"/>
      <c r="N1283" s="2238"/>
    </row>
    <row r="1284" spans="13:14">
      <c r="M1284" s="2237"/>
      <c r="N1284" s="2238"/>
    </row>
    <row r="1285" spans="13:14">
      <c r="M1285" s="2237"/>
      <c r="N1285" s="2238"/>
    </row>
    <row r="1286" spans="13:14">
      <c r="M1286" s="2237"/>
      <c r="N1286" s="2238"/>
    </row>
    <row r="1287" spans="13:14">
      <c r="M1287" s="2237"/>
      <c r="N1287" s="2238"/>
    </row>
    <row r="1288" spans="13:14">
      <c r="M1288" s="2237"/>
      <c r="N1288" s="2238"/>
    </row>
    <row r="1289" spans="13:14">
      <c r="M1289" s="2237"/>
      <c r="N1289" s="2238"/>
    </row>
    <row r="1290" spans="13:14">
      <c r="M1290" s="2237"/>
      <c r="N1290" s="2238"/>
    </row>
    <row r="1291" spans="13:14">
      <c r="M1291" s="2237"/>
      <c r="N1291" s="2238"/>
    </row>
    <row r="1292" spans="13:14">
      <c r="M1292" s="2237"/>
      <c r="N1292" s="2238"/>
    </row>
    <row r="1293" spans="13:14">
      <c r="M1293" s="2237"/>
      <c r="N1293" s="2238"/>
    </row>
    <row r="1294" spans="13:14">
      <c r="M1294" s="2237"/>
      <c r="N1294" s="2238"/>
    </row>
    <row r="1295" spans="13:14">
      <c r="M1295" s="2237"/>
      <c r="N1295" s="2238"/>
    </row>
    <row r="1296" spans="13:14">
      <c r="M1296" s="2237"/>
      <c r="N1296" s="2238"/>
    </row>
    <row r="1297" spans="13:14">
      <c r="M1297" s="2237"/>
      <c r="N1297" s="2238"/>
    </row>
    <row r="1298" spans="13:14">
      <c r="M1298" s="2237"/>
      <c r="N1298" s="2238"/>
    </row>
    <row r="1299" spans="13:14">
      <c r="M1299" s="2237"/>
      <c r="N1299" s="2238"/>
    </row>
    <row r="1300" spans="13:14">
      <c r="M1300" s="2237"/>
      <c r="N1300" s="2238"/>
    </row>
    <row r="1301" spans="13:14">
      <c r="M1301" s="2237"/>
      <c r="N1301" s="2238"/>
    </row>
    <row r="1302" spans="13:14">
      <c r="M1302" s="2237"/>
      <c r="N1302" s="2238"/>
    </row>
    <row r="1303" spans="13:14">
      <c r="M1303" s="2237"/>
      <c r="N1303" s="2238"/>
    </row>
    <row r="1304" spans="13:14">
      <c r="M1304" s="2237"/>
      <c r="N1304" s="2238"/>
    </row>
    <row r="1305" spans="13:14">
      <c r="M1305" s="2237"/>
      <c r="N1305" s="2238"/>
    </row>
    <row r="1306" spans="13:14">
      <c r="M1306" s="2237"/>
      <c r="N1306" s="2238"/>
    </row>
    <row r="1307" spans="13:14">
      <c r="M1307" s="2237"/>
      <c r="N1307" s="2238"/>
    </row>
    <row r="1308" spans="13:14">
      <c r="M1308" s="2237"/>
      <c r="N1308" s="2238"/>
    </row>
    <row r="1309" spans="13:14">
      <c r="M1309" s="2237"/>
      <c r="N1309" s="2238"/>
    </row>
    <row r="1310" spans="13:14">
      <c r="M1310" s="2237"/>
      <c r="N1310" s="2238"/>
    </row>
    <row r="1311" spans="13:14">
      <c r="M1311" s="2237"/>
      <c r="N1311" s="2238"/>
    </row>
    <row r="1312" spans="13:14">
      <c r="M1312" s="2237"/>
      <c r="N1312" s="2238"/>
    </row>
    <row r="1313" spans="13:14">
      <c r="M1313" s="2237"/>
      <c r="N1313" s="2238"/>
    </row>
    <row r="1314" spans="13:14">
      <c r="M1314" s="2237"/>
      <c r="N1314" s="2238"/>
    </row>
    <row r="1315" spans="13:14">
      <c r="M1315" s="2237"/>
      <c r="N1315" s="2238"/>
    </row>
    <row r="1316" spans="13:14">
      <c r="M1316" s="2237"/>
      <c r="N1316" s="2238"/>
    </row>
    <row r="1317" spans="13:14">
      <c r="M1317" s="2237"/>
      <c r="N1317" s="2238"/>
    </row>
    <row r="1318" spans="13:14">
      <c r="M1318" s="2237"/>
      <c r="N1318" s="2238"/>
    </row>
    <row r="1319" spans="13:14">
      <c r="M1319" s="2237"/>
      <c r="N1319" s="2238"/>
    </row>
    <row r="1320" spans="13:14">
      <c r="M1320" s="2237"/>
      <c r="N1320" s="2238"/>
    </row>
    <row r="1321" spans="13:14">
      <c r="M1321" s="2237"/>
      <c r="N1321" s="2238"/>
    </row>
    <row r="1322" spans="13:14">
      <c r="M1322" s="2237"/>
      <c r="N1322" s="2238"/>
    </row>
    <row r="1323" spans="13:14">
      <c r="M1323" s="2237"/>
      <c r="N1323" s="2238"/>
    </row>
    <row r="1324" spans="13:14">
      <c r="M1324" s="2237"/>
      <c r="N1324" s="2238"/>
    </row>
    <row r="1325" spans="13:14">
      <c r="M1325" s="2237"/>
      <c r="N1325" s="2238"/>
    </row>
    <row r="1326" spans="13:14">
      <c r="M1326" s="2237"/>
      <c r="N1326" s="2238"/>
    </row>
    <row r="1327" spans="13:14">
      <c r="M1327" s="2237"/>
      <c r="N1327" s="2238"/>
    </row>
    <row r="1328" spans="13:14">
      <c r="M1328" s="2237"/>
      <c r="N1328" s="2238"/>
    </row>
    <row r="1329" spans="13:14">
      <c r="M1329" s="2237"/>
      <c r="N1329" s="2238"/>
    </row>
    <row r="1330" spans="13:14">
      <c r="M1330" s="2237"/>
      <c r="N1330" s="2238"/>
    </row>
    <row r="1331" spans="13:14">
      <c r="M1331" s="2237"/>
      <c r="N1331" s="2238"/>
    </row>
    <row r="1332" spans="13:14">
      <c r="M1332" s="2237"/>
      <c r="N1332" s="2238"/>
    </row>
    <row r="1333" spans="13:14">
      <c r="M1333" s="2237"/>
      <c r="N1333" s="2238"/>
    </row>
    <row r="1334" spans="13:14">
      <c r="M1334" s="2237"/>
      <c r="N1334" s="2238"/>
    </row>
    <row r="1335" spans="13:14">
      <c r="M1335" s="2237"/>
      <c r="N1335" s="2238"/>
    </row>
    <row r="1336" spans="13:14">
      <c r="M1336" s="2237"/>
      <c r="N1336" s="2238"/>
    </row>
    <row r="1337" spans="13:14">
      <c r="M1337" s="2237"/>
      <c r="N1337" s="2238"/>
    </row>
    <row r="1338" spans="13:14">
      <c r="M1338" s="2237"/>
      <c r="N1338" s="2238"/>
    </row>
    <row r="1339" spans="13:14">
      <c r="M1339" s="2237"/>
      <c r="N1339" s="2238"/>
    </row>
    <row r="1340" spans="13:14">
      <c r="M1340" s="2237"/>
      <c r="N1340" s="2238"/>
    </row>
    <row r="1341" spans="13:14">
      <c r="M1341" s="2237"/>
      <c r="N1341" s="2238"/>
    </row>
    <row r="1342" spans="13:14">
      <c r="M1342" s="2237"/>
      <c r="N1342" s="2238"/>
    </row>
    <row r="1343" spans="13:14">
      <c r="M1343" s="2237"/>
      <c r="N1343" s="2238"/>
    </row>
    <row r="1344" spans="13:14">
      <c r="M1344" s="2237"/>
      <c r="N1344" s="2238"/>
    </row>
    <row r="1345" spans="13:14">
      <c r="M1345" s="2237"/>
      <c r="N1345" s="2238"/>
    </row>
    <row r="1346" spans="13:14">
      <c r="M1346" s="2237"/>
      <c r="N1346" s="2238"/>
    </row>
    <row r="1347" spans="13:14">
      <c r="M1347" s="2237"/>
      <c r="N1347" s="2238"/>
    </row>
    <row r="1348" spans="13:14">
      <c r="M1348" s="2237"/>
      <c r="N1348" s="2238"/>
    </row>
    <row r="1349" spans="13:14">
      <c r="M1349" s="2237"/>
      <c r="N1349" s="2238"/>
    </row>
    <row r="1350" spans="13:14">
      <c r="M1350" s="2237"/>
      <c r="N1350" s="2238"/>
    </row>
    <row r="1351" spans="13:14">
      <c r="M1351" s="2237"/>
      <c r="N1351" s="2238"/>
    </row>
    <row r="1352" spans="13:14">
      <c r="M1352" s="2237"/>
      <c r="N1352" s="2238"/>
    </row>
    <row r="1353" spans="13:14">
      <c r="M1353" s="2237"/>
      <c r="N1353" s="2238"/>
    </row>
    <row r="1354" spans="13:14">
      <c r="M1354" s="2237"/>
      <c r="N1354" s="2238"/>
    </row>
    <row r="1355" spans="13:14">
      <c r="M1355" s="2237"/>
      <c r="N1355" s="2238"/>
    </row>
    <row r="1356" spans="13:14">
      <c r="M1356" s="2237"/>
      <c r="N1356" s="2238"/>
    </row>
    <row r="1357" spans="13:14">
      <c r="M1357" s="2237"/>
      <c r="N1357" s="2238"/>
    </row>
    <row r="1358" spans="13:14">
      <c r="M1358" s="2237"/>
      <c r="N1358" s="2238"/>
    </row>
    <row r="1359" spans="13:14">
      <c r="M1359" s="2237"/>
      <c r="N1359" s="2238"/>
    </row>
    <row r="1360" spans="13:14">
      <c r="M1360" s="2237"/>
      <c r="N1360" s="2238"/>
    </row>
    <row r="1361" spans="13:14">
      <c r="M1361" s="2237"/>
      <c r="N1361" s="2238"/>
    </row>
    <row r="1362" spans="13:14">
      <c r="M1362" s="2237"/>
      <c r="N1362" s="2238"/>
    </row>
    <row r="1363" spans="13:14">
      <c r="M1363" s="2237"/>
      <c r="N1363" s="2238"/>
    </row>
    <row r="1364" spans="13:14">
      <c r="M1364" s="2237"/>
      <c r="N1364" s="2238"/>
    </row>
    <row r="1365" spans="13:14">
      <c r="M1365" s="2237"/>
      <c r="N1365" s="2238"/>
    </row>
    <row r="1366" spans="13:14">
      <c r="M1366" s="2237"/>
      <c r="N1366" s="2238"/>
    </row>
    <row r="1367" spans="13:14">
      <c r="M1367" s="2237"/>
      <c r="N1367" s="2238"/>
    </row>
    <row r="1368" spans="13:14">
      <c r="M1368" s="2237"/>
      <c r="N1368" s="2238"/>
    </row>
    <row r="1369" spans="13:14">
      <c r="M1369" s="2237"/>
      <c r="N1369" s="2238"/>
    </row>
    <row r="1370" spans="13:14">
      <c r="M1370" s="2237"/>
      <c r="N1370" s="2238"/>
    </row>
    <row r="1371" spans="13:14">
      <c r="M1371" s="2237"/>
      <c r="N1371" s="2238"/>
    </row>
    <row r="1372" spans="13:14">
      <c r="M1372" s="2237"/>
      <c r="N1372" s="2238"/>
    </row>
    <row r="1373" spans="13:14">
      <c r="M1373" s="2237"/>
      <c r="N1373" s="2238"/>
    </row>
    <row r="1374" spans="13:14">
      <c r="M1374" s="2237"/>
      <c r="N1374" s="2238"/>
    </row>
    <row r="1375" spans="13:14">
      <c r="M1375" s="2237"/>
      <c r="N1375" s="2238"/>
    </row>
    <row r="1376" spans="13:14">
      <c r="M1376" s="2237"/>
      <c r="N1376" s="2238"/>
    </row>
    <row r="1377" spans="13:14">
      <c r="M1377" s="2237"/>
      <c r="N1377" s="2238"/>
    </row>
    <row r="1378" spans="13:14">
      <c r="M1378" s="2237"/>
      <c r="N1378" s="2238"/>
    </row>
    <row r="1379" spans="13:14">
      <c r="M1379" s="2237"/>
      <c r="N1379" s="2238"/>
    </row>
    <row r="1380" spans="13:14">
      <c r="M1380" s="2237"/>
      <c r="N1380" s="2238"/>
    </row>
    <row r="1381" spans="13:14">
      <c r="M1381" s="2237"/>
      <c r="N1381" s="2238"/>
    </row>
    <row r="1382" spans="13:14">
      <c r="M1382" s="2237"/>
      <c r="N1382" s="2238"/>
    </row>
    <row r="1383" spans="13:14">
      <c r="M1383" s="2237"/>
      <c r="N1383" s="2238"/>
    </row>
    <row r="1384" spans="13:14">
      <c r="M1384" s="2237"/>
      <c r="N1384" s="2238"/>
    </row>
    <row r="1385" spans="13:14">
      <c r="M1385" s="2237"/>
      <c r="N1385" s="2238"/>
    </row>
    <row r="1386" spans="13:14">
      <c r="M1386" s="2237"/>
      <c r="N1386" s="2238"/>
    </row>
    <row r="1387" spans="13:14">
      <c r="M1387" s="2237"/>
      <c r="N1387" s="2238"/>
    </row>
    <row r="1388" spans="13:14">
      <c r="M1388" s="2237"/>
      <c r="N1388" s="2238"/>
    </row>
    <row r="1389" spans="13:14">
      <c r="M1389" s="2237"/>
      <c r="N1389" s="2238"/>
    </row>
    <row r="1390" spans="13:14">
      <c r="M1390" s="2237"/>
      <c r="N1390" s="2238"/>
    </row>
    <row r="1391" spans="13:14">
      <c r="M1391" s="2237"/>
      <c r="N1391" s="2238"/>
    </row>
    <row r="1392" spans="13:14">
      <c r="M1392" s="2237"/>
      <c r="N1392" s="2238"/>
    </row>
    <row r="1393" spans="13:14">
      <c r="M1393" s="2237"/>
      <c r="N1393" s="2238"/>
    </row>
    <row r="1394" spans="13:14">
      <c r="M1394" s="2237"/>
      <c r="N1394" s="2238"/>
    </row>
    <row r="1395" spans="13:14">
      <c r="M1395" s="2237"/>
      <c r="N1395" s="2238"/>
    </row>
    <row r="1396" spans="13:14">
      <c r="M1396" s="2237"/>
      <c r="N1396" s="2238"/>
    </row>
    <row r="1397" spans="13:14">
      <c r="M1397" s="2237"/>
      <c r="N1397" s="2238"/>
    </row>
    <row r="1398" spans="13:14">
      <c r="M1398" s="2237"/>
      <c r="N1398" s="2238"/>
    </row>
    <row r="1399" spans="13:14">
      <c r="M1399" s="2237"/>
      <c r="N1399" s="2238"/>
    </row>
    <row r="1400" spans="13:14">
      <c r="M1400" s="2237"/>
      <c r="N1400" s="2238"/>
    </row>
    <row r="1401" spans="13:14">
      <c r="M1401" s="2237"/>
      <c r="N1401" s="2238"/>
    </row>
    <row r="1402" spans="13:14">
      <c r="M1402" s="2237"/>
      <c r="N1402" s="2238"/>
    </row>
    <row r="1403" spans="13:14">
      <c r="M1403" s="2237"/>
      <c r="N1403" s="2238"/>
    </row>
    <row r="1404" spans="13:14">
      <c r="M1404" s="2237"/>
      <c r="N1404" s="2238"/>
    </row>
    <row r="1405" spans="13:14">
      <c r="M1405" s="2237"/>
      <c r="N1405" s="2238"/>
    </row>
    <row r="1406" spans="13:14">
      <c r="M1406" s="2237"/>
      <c r="N1406" s="2238"/>
    </row>
    <row r="1407" spans="13:14">
      <c r="M1407" s="2237"/>
      <c r="N1407" s="2238"/>
    </row>
    <row r="1408" spans="13:14">
      <c r="M1408" s="2237"/>
      <c r="N1408" s="2238"/>
    </row>
    <row r="1409" spans="13:14">
      <c r="M1409" s="2237"/>
      <c r="N1409" s="2238"/>
    </row>
    <row r="1410" spans="13:14">
      <c r="M1410" s="2237"/>
      <c r="N1410" s="2238"/>
    </row>
    <row r="1411" spans="13:14">
      <c r="M1411" s="2237"/>
      <c r="N1411" s="2238"/>
    </row>
    <row r="1412" spans="13:14">
      <c r="M1412" s="2237"/>
      <c r="N1412" s="2238"/>
    </row>
    <row r="1413" spans="13:14">
      <c r="M1413" s="2237"/>
      <c r="N1413" s="2238"/>
    </row>
    <row r="1414" spans="13:14">
      <c r="M1414" s="2237"/>
      <c r="N1414" s="2238"/>
    </row>
    <row r="1415" spans="13:14">
      <c r="M1415" s="2237"/>
      <c r="N1415" s="2238"/>
    </row>
    <row r="1416" spans="13:14">
      <c r="M1416" s="2237"/>
      <c r="N1416" s="2238"/>
    </row>
    <row r="1417" spans="13:14">
      <c r="M1417" s="2237"/>
      <c r="N1417" s="2238"/>
    </row>
    <row r="1418" spans="13:14">
      <c r="M1418" s="2237"/>
      <c r="N1418" s="2238"/>
    </row>
    <row r="1419" spans="13:14">
      <c r="M1419" s="2237"/>
      <c r="N1419" s="2238"/>
    </row>
    <row r="1420" spans="13:14">
      <c r="M1420" s="2237"/>
      <c r="N1420" s="2238"/>
    </row>
    <row r="1421" spans="13:14">
      <c r="M1421" s="2237"/>
      <c r="N1421" s="2238"/>
    </row>
    <row r="1422" spans="13:14">
      <c r="M1422" s="2237"/>
      <c r="N1422" s="2238"/>
    </row>
    <row r="1423" spans="13:14">
      <c r="M1423" s="2237"/>
      <c r="N1423" s="2238"/>
    </row>
    <row r="1424" spans="13:14">
      <c r="M1424" s="2237"/>
      <c r="N1424" s="2238"/>
    </row>
    <row r="1425" spans="13:14">
      <c r="M1425" s="2237"/>
      <c r="N1425" s="2238"/>
    </row>
    <row r="1426" spans="13:14">
      <c r="M1426" s="2237"/>
      <c r="N1426" s="2238"/>
    </row>
    <row r="1427" spans="13:14">
      <c r="M1427" s="2237"/>
      <c r="N1427" s="2238"/>
    </row>
    <row r="1428" spans="13:14">
      <c r="M1428" s="2237"/>
      <c r="N1428" s="2238"/>
    </row>
    <row r="1429" spans="13:14">
      <c r="M1429" s="2237"/>
      <c r="N1429" s="2238"/>
    </row>
    <row r="1430" spans="13:14">
      <c r="M1430" s="2237"/>
      <c r="N1430" s="2238"/>
    </row>
    <row r="1431" spans="13:14">
      <c r="M1431" s="2237"/>
      <c r="N1431" s="2238"/>
    </row>
    <row r="1432" spans="13:14">
      <c r="M1432" s="2237"/>
      <c r="N1432" s="2238"/>
    </row>
    <row r="1433" spans="13:14">
      <c r="M1433" s="2237"/>
      <c r="N1433" s="2238"/>
    </row>
    <row r="1434" spans="13:14">
      <c r="M1434" s="2237"/>
      <c r="N1434" s="2238"/>
    </row>
    <row r="1435" spans="13:14">
      <c r="M1435" s="2237"/>
      <c r="N1435" s="2238"/>
    </row>
    <row r="1436" spans="13:14">
      <c r="M1436" s="2237"/>
      <c r="N1436" s="2238"/>
    </row>
    <row r="1437" spans="13:14">
      <c r="M1437" s="2237"/>
      <c r="N1437" s="2238"/>
    </row>
    <row r="1438" spans="13:14">
      <c r="M1438" s="2237"/>
      <c r="N1438" s="2238"/>
    </row>
    <row r="1439" spans="13:14">
      <c r="M1439" s="2237"/>
      <c r="N1439" s="2238"/>
    </row>
    <row r="1440" spans="13:14">
      <c r="M1440" s="2237"/>
      <c r="N1440" s="2238"/>
    </row>
    <row r="1441" spans="13:14">
      <c r="M1441" s="2237"/>
      <c r="N1441" s="2238"/>
    </row>
    <row r="1442" spans="13:14">
      <c r="M1442" s="2237"/>
      <c r="N1442" s="2238"/>
    </row>
    <row r="1443" spans="13:14">
      <c r="M1443" s="2237"/>
      <c r="N1443" s="2238"/>
    </row>
    <row r="1444" spans="13:14">
      <c r="M1444" s="2237"/>
      <c r="N1444" s="2238"/>
    </row>
    <row r="1445" spans="13:14">
      <c r="M1445" s="2237"/>
      <c r="N1445" s="2238"/>
    </row>
    <row r="1446" spans="13:14">
      <c r="M1446" s="2237"/>
      <c r="N1446" s="2238"/>
    </row>
    <row r="1447" spans="13:14">
      <c r="M1447" s="2237"/>
      <c r="N1447" s="2238"/>
    </row>
    <row r="1448" spans="13:14">
      <c r="M1448" s="2237"/>
      <c r="N1448" s="2238"/>
    </row>
    <row r="1449" spans="13:14">
      <c r="M1449" s="2237"/>
      <c r="N1449" s="2238"/>
    </row>
    <row r="1450" spans="13:14">
      <c r="M1450" s="2237"/>
      <c r="N1450" s="2238"/>
    </row>
    <row r="1451" spans="13:14">
      <c r="M1451" s="2237"/>
      <c r="N1451" s="2238"/>
    </row>
    <row r="1452" spans="13:14">
      <c r="M1452" s="2237"/>
      <c r="N1452" s="2238"/>
    </row>
    <row r="1453" spans="13:14">
      <c r="M1453" s="2237"/>
      <c r="N1453" s="2238"/>
    </row>
    <row r="1454" spans="13:14">
      <c r="M1454" s="2237"/>
      <c r="N1454" s="2238"/>
    </row>
    <row r="1455" spans="13:14">
      <c r="M1455" s="2237"/>
      <c r="N1455" s="2238"/>
    </row>
    <row r="1456" spans="13:14">
      <c r="M1456" s="2237"/>
      <c r="N1456" s="2238"/>
    </row>
    <row r="1457" spans="13:14">
      <c r="M1457" s="2237"/>
      <c r="N1457" s="2238"/>
    </row>
    <row r="1458" spans="13:14">
      <c r="M1458" s="2237"/>
      <c r="N1458" s="2238"/>
    </row>
    <row r="1459" spans="13:14">
      <c r="M1459" s="2237"/>
      <c r="N1459" s="2238"/>
    </row>
    <row r="1460" spans="13:14">
      <c r="M1460" s="2237"/>
      <c r="N1460" s="2238"/>
    </row>
    <row r="1461" spans="13:14">
      <c r="M1461" s="2237"/>
      <c r="N1461" s="2238"/>
    </row>
    <row r="1462" spans="13:14">
      <c r="M1462" s="2237"/>
      <c r="N1462" s="2238"/>
    </row>
    <row r="1463" spans="13:14">
      <c r="M1463" s="2237"/>
      <c r="N1463" s="2238"/>
    </row>
    <row r="1464" spans="13:14">
      <c r="M1464" s="2237"/>
      <c r="N1464" s="2238"/>
    </row>
    <row r="1465" spans="13:14">
      <c r="M1465" s="2237"/>
      <c r="N1465" s="2238"/>
    </row>
    <row r="1466" spans="13:14">
      <c r="M1466" s="2237"/>
      <c r="N1466" s="2238"/>
    </row>
    <row r="1467" spans="13:14">
      <c r="M1467" s="2237"/>
      <c r="N1467" s="2238"/>
    </row>
    <row r="1468" spans="13:14">
      <c r="M1468" s="2237"/>
      <c r="N1468" s="2238"/>
    </row>
    <row r="1469" spans="13:14">
      <c r="M1469" s="2237"/>
      <c r="N1469" s="2238"/>
    </row>
    <row r="1470" spans="13:14">
      <c r="M1470" s="2237"/>
      <c r="N1470" s="2238"/>
    </row>
    <row r="1471" spans="13:14">
      <c r="M1471" s="2237"/>
      <c r="N1471" s="2238"/>
    </row>
    <row r="1472" spans="13:14">
      <c r="M1472" s="2237"/>
      <c r="N1472" s="2238"/>
    </row>
    <row r="1473" spans="13:14">
      <c r="M1473" s="2237"/>
      <c r="N1473" s="2238"/>
    </row>
    <row r="1474" spans="13:14">
      <c r="M1474" s="2237"/>
      <c r="N1474" s="2238"/>
    </row>
    <row r="1475" spans="13:14">
      <c r="M1475" s="2237"/>
      <c r="N1475" s="2238"/>
    </row>
    <row r="1476" spans="13:14">
      <c r="M1476" s="2237"/>
      <c r="N1476" s="2238"/>
    </row>
    <row r="1477" spans="13:14">
      <c r="M1477" s="2237"/>
      <c r="N1477" s="2238"/>
    </row>
    <row r="1478" spans="13:14">
      <c r="M1478" s="2237"/>
      <c r="N1478" s="2238"/>
    </row>
    <row r="1479" spans="13:14">
      <c r="M1479" s="2237"/>
      <c r="N1479" s="2238"/>
    </row>
    <row r="1480" spans="13:14">
      <c r="M1480" s="2237"/>
      <c r="N1480" s="2238"/>
    </row>
    <row r="1481" spans="13:14">
      <c r="M1481" s="2237"/>
      <c r="N1481" s="2238"/>
    </row>
    <row r="1482" spans="13:14">
      <c r="M1482" s="2237"/>
      <c r="N1482" s="2238"/>
    </row>
    <row r="1483" spans="13:14">
      <c r="M1483" s="2237"/>
      <c r="N1483" s="2238"/>
    </row>
    <row r="1484" spans="13:14">
      <c r="M1484" s="2237"/>
      <c r="N1484" s="2238"/>
    </row>
    <row r="1485" spans="13:14">
      <c r="M1485" s="2237"/>
      <c r="N1485" s="2238"/>
    </row>
    <row r="1486" spans="13:14">
      <c r="M1486" s="2237"/>
      <c r="N1486" s="2238"/>
    </row>
    <row r="1487" spans="13:14">
      <c r="M1487" s="2237"/>
      <c r="N1487" s="2238"/>
    </row>
    <row r="1488" spans="13:14">
      <c r="M1488" s="2237"/>
      <c r="N1488" s="2238"/>
    </row>
    <row r="1489" spans="13:14">
      <c r="M1489" s="2237"/>
      <c r="N1489" s="2238"/>
    </row>
    <row r="1490" spans="13:14">
      <c r="M1490" s="2237"/>
      <c r="N1490" s="2238"/>
    </row>
    <row r="1491" spans="13:14">
      <c r="M1491" s="2237"/>
      <c r="N1491" s="2238"/>
    </row>
    <row r="1492" spans="13:14">
      <c r="M1492" s="2237"/>
      <c r="N1492" s="2238"/>
    </row>
    <row r="1493" spans="13:14">
      <c r="M1493" s="2237"/>
      <c r="N1493" s="2238"/>
    </row>
    <row r="1494" spans="13:14">
      <c r="M1494" s="2237"/>
      <c r="N1494" s="2238"/>
    </row>
    <row r="1495" spans="13:14">
      <c r="M1495" s="2237"/>
      <c r="N1495" s="2238"/>
    </row>
    <row r="1496" spans="13:14">
      <c r="M1496" s="2237"/>
      <c r="N1496" s="2238"/>
    </row>
    <row r="1497" spans="13:14">
      <c r="M1497" s="2237"/>
      <c r="N1497" s="2238"/>
    </row>
    <row r="1498" spans="13:14">
      <c r="M1498" s="2237"/>
      <c r="N1498" s="2238"/>
    </row>
    <row r="1499" spans="13:14">
      <c r="M1499" s="2237"/>
      <c r="N1499" s="2238"/>
    </row>
    <row r="1500" spans="13:14">
      <c r="M1500" s="2237"/>
      <c r="N1500" s="2238"/>
    </row>
    <row r="1501" spans="13:14">
      <c r="M1501" s="2237"/>
      <c r="N1501" s="2238"/>
    </row>
    <row r="1502" spans="13:14">
      <c r="M1502" s="2237"/>
      <c r="N1502" s="2238"/>
    </row>
    <row r="1503" spans="13:14">
      <c r="M1503" s="2237"/>
      <c r="N1503" s="2238"/>
    </row>
    <row r="1504" spans="13:14">
      <c r="M1504" s="2237"/>
      <c r="N1504" s="2238"/>
    </row>
    <row r="1505" spans="13:14">
      <c r="M1505" s="2237"/>
      <c r="N1505" s="2238"/>
    </row>
    <row r="1506" spans="13:14">
      <c r="M1506" s="2237"/>
      <c r="N1506" s="2238"/>
    </row>
    <row r="1507" spans="13:14">
      <c r="M1507" s="2237"/>
      <c r="N1507" s="2238"/>
    </row>
    <row r="1508" spans="13:14">
      <c r="M1508" s="2237"/>
      <c r="N1508" s="2238"/>
    </row>
    <row r="1509" spans="13:14">
      <c r="M1509" s="2237"/>
      <c r="N1509" s="2238"/>
    </row>
    <row r="1510" spans="13:14">
      <c r="M1510" s="2237"/>
      <c r="N1510" s="2238"/>
    </row>
    <row r="1511" spans="13:14">
      <c r="M1511" s="2237"/>
      <c r="N1511" s="2238"/>
    </row>
    <row r="1512" spans="13:14">
      <c r="M1512" s="2237"/>
      <c r="N1512" s="2238"/>
    </row>
    <row r="1513" spans="13:14">
      <c r="M1513" s="2237"/>
      <c r="N1513" s="2238"/>
    </row>
    <row r="1514" spans="13:14">
      <c r="M1514" s="2237"/>
      <c r="N1514" s="2238"/>
    </row>
    <row r="1515" spans="13:14">
      <c r="M1515" s="2237"/>
      <c r="N1515" s="2238"/>
    </row>
    <row r="1516" spans="13:14">
      <c r="M1516" s="2237"/>
      <c r="N1516" s="2238"/>
    </row>
    <row r="1517" spans="13:14">
      <c r="M1517" s="2237"/>
      <c r="N1517" s="2238"/>
    </row>
    <row r="1518" spans="13:14">
      <c r="M1518" s="2237"/>
      <c r="N1518" s="2238"/>
    </row>
    <row r="1519" spans="13:14">
      <c r="M1519" s="2237"/>
      <c r="N1519" s="2238"/>
    </row>
    <row r="1520" spans="13:14">
      <c r="M1520" s="2237"/>
      <c r="N1520" s="2238"/>
    </row>
    <row r="1521" spans="13:14">
      <c r="M1521" s="2237"/>
      <c r="N1521" s="2238"/>
    </row>
    <row r="1522" spans="13:14">
      <c r="M1522" s="2237"/>
      <c r="N1522" s="2238"/>
    </row>
    <row r="1523" spans="13:14">
      <c r="M1523" s="2237"/>
      <c r="N1523" s="2238"/>
    </row>
    <row r="1524" spans="13:14">
      <c r="M1524" s="2237"/>
      <c r="N1524" s="2238"/>
    </row>
    <row r="1525" spans="13:14">
      <c r="M1525" s="2237"/>
      <c r="N1525" s="2238"/>
    </row>
    <row r="1526" spans="13:14">
      <c r="M1526" s="2237"/>
      <c r="N1526" s="2238"/>
    </row>
    <row r="1527" spans="13:14">
      <c r="M1527" s="2237"/>
      <c r="N1527" s="2238"/>
    </row>
    <row r="1528" spans="13:14">
      <c r="M1528" s="2237"/>
      <c r="N1528" s="2238"/>
    </row>
    <row r="1529" spans="13:14">
      <c r="M1529" s="2237"/>
      <c r="N1529" s="2238"/>
    </row>
    <row r="1530" spans="13:14">
      <c r="M1530" s="2237"/>
      <c r="N1530" s="2238"/>
    </row>
    <row r="1531" spans="13:14">
      <c r="M1531" s="2237"/>
      <c r="N1531" s="2238"/>
    </row>
    <row r="1532" spans="13:14">
      <c r="M1532" s="2237"/>
      <c r="N1532" s="2238"/>
    </row>
    <row r="1533" spans="13:14">
      <c r="M1533" s="2237"/>
      <c r="N1533" s="2238"/>
    </row>
    <row r="1534" spans="13:14">
      <c r="M1534" s="2237"/>
      <c r="N1534" s="2238"/>
    </row>
    <row r="1535" spans="13:14">
      <c r="M1535" s="2237"/>
      <c r="N1535" s="2238"/>
    </row>
    <row r="1536" spans="13:14">
      <c r="M1536" s="2237"/>
      <c r="N1536" s="2238"/>
    </row>
    <row r="1537" spans="13:14">
      <c r="M1537" s="2237"/>
      <c r="N1537" s="2238"/>
    </row>
    <row r="1538" spans="13:14">
      <c r="M1538" s="2237"/>
      <c r="N1538" s="2238"/>
    </row>
    <row r="1539" spans="13:14">
      <c r="M1539" s="2237"/>
      <c r="N1539" s="2238"/>
    </row>
    <row r="1540" spans="13:14">
      <c r="M1540" s="2237"/>
      <c r="N1540" s="2238"/>
    </row>
    <row r="1541" spans="13:14">
      <c r="M1541" s="2237"/>
      <c r="N1541" s="2238"/>
    </row>
    <row r="1542" spans="13:14">
      <c r="M1542" s="2237"/>
      <c r="N1542" s="2238"/>
    </row>
    <row r="1543" spans="13:14">
      <c r="M1543" s="2237"/>
      <c r="N1543" s="2238"/>
    </row>
    <row r="1544" spans="13:14">
      <c r="M1544" s="2237"/>
      <c r="N1544" s="2238"/>
    </row>
    <row r="1545" spans="13:14">
      <c r="M1545" s="2237"/>
      <c r="N1545" s="2238"/>
    </row>
    <row r="1546" spans="13:14">
      <c r="M1546" s="2237"/>
      <c r="N1546" s="2238"/>
    </row>
    <row r="1547" spans="13:14">
      <c r="M1547" s="2237"/>
      <c r="N1547" s="2238"/>
    </row>
    <row r="1548" spans="13:14">
      <c r="M1548" s="2237"/>
      <c r="N1548" s="2238"/>
    </row>
    <row r="1549" spans="13:14">
      <c r="M1549" s="2237"/>
      <c r="N1549" s="2238"/>
    </row>
    <row r="1550" spans="13:14">
      <c r="M1550" s="2237"/>
      <c r="N1550" s="2238"/>
    </row>
    <row r="1551" spans="13:14">
      <c r="M1551" s="2237"/>
      <c r="N1551" s="2238"/>
    </row>
    <row r="1552" spans="13:14">
      <c r="M1552" s="2237"/>
      <c r="N1552" s="2238"/>
    </row>
    <row r="1553" spans="13:14">
      <c r="M1553" s="2237"/>
      <c r="N1553" s="2238"/>
    </row>
    <row r="1554" spans="13:14">
      <c r="M1554" s="2237"/>
      <c r="N1554" s="2238"/>
    </row>
    <row r="1555" spans="13:14">
      <c r="M1555" s="2237"/>
      <c r="N1555" s="2238"/>
    </row>
    <row r="1556" spans="13:14">
      <c r="M1556" s="2237"/>
      <c r="N1556" s="2238"/>
    </row>
    <row r="1557" spans="13:14">
      <c r="M1557" s="2237"/>
      <c r="N1557" s="2238"/>
    </row>
    <row r="1558" spans="13:14">
      <c r="M1558" s="2237"/>
      <c r="N1558" s="2238"/>
    </row>
    <row r="1559" spans="13:14">
      <c r="M1559" s="2237"/>
      <c r="N1559" s="2238"/>
    </row>
    <row r="1560" spans="13:14">
      <c r="M1560" s="2237"/>
      <c r="N1560" s="2238"/>
    </row>
    <row r="1561" spans="13:14">
      <c r="M1561" s="2237"/>
      <c r="N1561" s="2238"/>
    </row>
    <row r="1562" spans="13:14">
      <c r="M1562" s="2237"/>
      <c r="N1562" s="2238"/>
    </row>
    <row r="1563" spans="13:14">
      <c r="M1563" s="2237"/>
      <c r="N1563" s="2238"/>
    </row>
    <row r="1564" spans="13:14">
      <c r="M1564" s="2237"/>
      <c r="N1564" s="2238"/>
    </row>
    <row r="1565" spans="13:14">
      <c r="M1565" s="2237"/>
      <c r="N1565" s="2238"/>
    </row>
    <row r="1566" spans="13:14">
      <c r="M1566" s="2237"/>
      <c r="N1566" s="2238"/>
    </row>
    <row r="1567" spans="13:14">
      <c r="M1567" s="2237"/>
      <c r="N1567" s="2238"/>
    </row>
    <row r="1568" spans="13:14">
      <c r="M1568" s="2237"/>
      <c r="N1568" s="2238"/>
    </row>
    <row r="1569" spans="13:14">
      <c r="M1569" s="2237"/>
      <c r="N1569" s="2238"/>
    </row>
    <row r="1570" spans="13:14">
      <c r="M1570" s="2237"/>
      <c r="N1570" s="2238"/>
    </row>
    <row r="1571" spans="13:14">
      <c r="M1571" s="2237"/>
      <c r="N1571" s="2238"/>
    </row>
    <row r="1572" spans="13:14">
      <c r="M1572" s="2237"/>
      <c r="N1572" s="2238"/>
    </row>
    <row r="1573" spans="13:14">
      <c r="M1573" s="2237"/>
      <c r="N1573" s="2238"/>
    </row>
    <row r="1574" spans="13:14">
      <c r="M1574" s="2237"/>
      <c r="N1574" s="2238"/>
    </row>
    <row r="1575" spans="13:14">
      <c r="M1575" s="2237"/>
      <c r="N1575" s="2238"/>
    </row>
    <row r="1576" spans="13:14">
      <c r="M1576" s="2237"/>
      <c r="N1576" s="2238"/>
    </row>
    <row r="1577" spans="13:14">
      <c r="M1577" s="2237"/>
      <c r="N1577" s="2238"/>
    </row>
    <row r="1578" spans="13:14">
      <c r="M1578" s="2237"/>
      <c r="N1578" s="2238"/>
    </row>
    <row r="1579" spans="13:14">
      <c r="M1579" s="2237"/>
      <c r="N1579" s="2238"/>
    </row>
    <row r="1580" spans="13:14">
      <c r="M1580" s="2237"/>
      <c r="N1580" s="2238"/>
    </row>
    <row r="1581" spans="13:14">
      <c r="M1581" s="2237"/>
      <c r="N1581" s="2238"/>
    </row>
    <row r="1582" spans="13:14">
      <c r="M1582" s="2237"/>
      <c r="N1582" s="2238"/>
    </row>
    <row r="1583" spans="13:14">
      <c r="M1583" s="2237"/>
      <c r="N1583" s="2238"/>
    </row>
    <row r="1584" spans="13:14">
      <c r="M1584" s="2237"/>
      <c r="N1584" s="2238"/>
    </row>
    <row r="1585" spans="13:14">
      <c r="M1585" s="2237"/>
      <c r="N1585" s="2238"/>
    </row>
    <row r="1586" spans="13:14">
      <c r="M1586" s="2237"/>
      <c r="N1586" s="2238"/>
    </row>
    <row r="1587" spans="13:14">
      <c r="M1587" s="2237"/>
      <c r="N1587" s="2238"/>
    </row>
    <row r="1588" spans="13:14">
      <c r="M1588" s="2237"/>
      <c r="N1588" s="2238"/>
    </row>
    <row r="1589" spans="13:14">
      <c r="M1589" s="2237"/>
      <c r="N1589" s="2238"/>
    </row>
    <row r="1590" spans="13:14">
      <c r="M1590" s="2237"/>
      <c r="N1590" s="2238"/>
    </row>
    <row r="1591" spans="13:14">
      <c r="M1591" s="2237"/>
      <c r="N1591" s="2238"/>
    </row>
    <row r="1592" spans="13:14">
      <c r="M1592" s="2237"/>
      <c r="N1592" s="2238"/>
    </row>
    <row r="1593" spans="13:14">
      <c r="M1593" s="2237"/>
      <c r="N1593" s="2238"/>
    </row>
    <row r="1594" spans="13:14">
      <c r="M1594" s="2237"/>
      <c r="N1594" s="2238"/>
    </row>
    <row r="1595" spans="13:14">
      <c r="M1595" s="2237"/>
      <c r="N1595" s="2238"/>
    </row>
    <row r="1596" spans="13:14">
      <c r="M1596" s="2237"/>
      <c r="N1596" s="2238"/>
    </row>
    <row r="1597" spans="13:14">
      <c r="M1597" s="2237"/>
      <c r="N1597" s="2238"/>
    </row>
    <row r="1598" spans="13:14">
      <c r="M1598" s="2237"/>
      <c r="N1598" s="2238"/>
    </row>
    <row r="1599" spans="13:14">
      <c r="M1599" s="2237"/>
      <c r="N1599" s="2238"/>
    </row>
    <row r="1600" spans="13:14">
      <c r="M1600" s="2237"/>
      <c r="N1600" s="2238"/>
    </row>
    <row r="1601" spans="13:14">
      <c r="M1601" s="2237"/>
      <c r="N1601" s="2238"/>
    </row>
    <row r="1602" spans="13:14">
      <c r="M1602" s="2237"/>
      <c r="N1602" s="2238"/>
    </row>
    <row r="1603" spans="13:14">
      <c r="M1603" s="2237"/>
      <c r="N1603" s="2238"/>
    </row>
    <row r="1604" spans="13:14">
      <c r="M1604" s="2237"/>
      <c r="N1604" s="2238"/>
    </row>
    <row r="1605" spans="13:14">
      <c r="M1605" s="2237"/>
      <c r="N1605" s="2238"/>
    </row>
    <row r="1606" spans="13:14">
      <c r="M1606" s="2237"/>
      <c r="N1606" s="2238"/>
    </row>
    <row r="1607" spans="13:14">
      <c r="M1607" s="2237"/>
      <c r="N1607" s="2238"/>
    </row>
    <row r="1608" spans="13:14">
      <c r="M1608" s="2237"/>
      <c r="N1608" s="2238"/>
    </row>
    <row r="1609" spans="13:14">
      <c r="M1609" s="2237"/>
      <c r="N1609" s="2238"/>
    </row>
    <row r="1610" spans="13:14">
      <c r="M1610" s="2237"/>
      <c r="N1610" s="2238"/>
    </row>
    <row r="1611" spans="13:14">
      <c r="M1611" s="2237"/>
      <c r="N1611" s="2238"/>
    </row>
    <row r="1612" spans="13:14">
      <c r="M1612" s="2237"/>
      <c r="N1612" s="2238"/>
    </row>
    <row r="1613" spans="13:14">
      <c r="M1613" s="2237"/>
      <c r="N1613" s="2238"/>
    </row>
    <row r="1614" spans="13:14">
      <c r="M1614" s="2237"/>
      <c r="N1614" s="2238"/>
    </row>
    <row r="1615" spans="13:14">
      <c r="M1615" s="2237"/>
      <c r="N1615" s="2238"/>
    </row>
    <row r="1616" spans="13:14">
      <c r="M1616" s="2237"/>
      <c r="N1616" s="2238"/>
    </row>
    <row r="1617" spans="13:14">
      <c r="M1617" s="2237"/>
      <c r="N1617" s="2238"/>
    </row>
    <row r="1618" spans="13:14">
      <c r="M1618" s="2237"/>
      <c r="N1618" s="2238"/>
    </row>
    <row r="1619" spans="13:14">
      <c r="M1619" s="2237"/>
      <c r="N1619" s="2238"/>
    </row>
    <row r="1620" spans="13:14">
      <c r="M1620" s="2237"/>
      <c r="N1620" s="2238"/>
    </row>
    <row r="1621" spans="13:14">
      <c r="M1621" s="2237"/>
      <c r="N1621" s="2238"/>
    </row>
    <row r="1622" spans="13:14">
      <c r="M1622" s="2237"/>
      <c r="N1622" s="2238"/>
    </row>
    <row r="1623" spans="13:14">
      <c r="M1623" s="2237"/>
      <c r="N1623" s="2238"/>
    </row>
    <row r="1624" spans="13:14">
      <c r="M1624" s="2237"/>
      <c r="N1624" s="2238"/>
    </row>
    <row r="1625" spans="13:14">
      <c r="M1625" s="2237"/>
      <c r="N1625" s="2238"/>
    </row>
    <row r="1626" spans="13:14">
      <c r="M1626" s="2237"/>
      <c r="N1626" s="2238"/>
    </row>
    <row r="1627" spans="13:14">
      <c r="M1627" s="2237"/>
      <c r="N1627" s="2238"/>
    </row>
    <row r="1628" spans="13:14">
      <c r="M1628" s="2237"/>
      <c r="N1628" s="2238"/>
    </row>
    <row r="1629" spans="13:14">
      <c r="M1629" s="2237"/>
      <c r="N1629" s="2238"/>
    </row>
    <row r="1630" spans="13:14">
      <c r="M1630" s="2237"/>
      <c r="N1630" s="2238"/>
    </row>
    <row r="1631" spans="13:14">
      <c r="M1631" s="2237"/>
      <c r="N1631" s="2238"/>
    </row>
    <row r="1632" spans="13:14">
      <c r="M1632" s="2237"/>
      <c r="N1632" s="2238"/>
    </row>
    <row r="1633" spans="13:14">
      <c r="M1633" s="2237"/>
      <c r="N1633" s="2238"/>
    </row>
    <row r="1634" spans="13:14">
      <c r="M1634" s="2237"/>
      <c r="N1634" s="2238"/>
    </row>
    <row r="1635" spans="13:14">
      <c r="M1635" s="2237"/>
      <c r="N1635" s="2238"/>
    </row>
    <row r="1636" spans="13:14">
      <c r="M1636" s="2237"/>
      <c r="N1636" s="2238"/>
    </row>
    <row r="1637" spans="13:14">
      <c r="M1637" s="2237"/>
      <c r="N1637" s="2238"/>
    </row>
    <row r="1638" spans="13:14">
      <c r="M1638" s="2237"/>
      <c r="N1638" s="2238"/>
    </row>
    <row r="1639" spans="13:14">
      <c r="M1639" s="2237"/>
      <c r="N1639" s="2238"/>
    </row>
    <row r="1640" spans="13:14">
      <c r="M1640" s="2237"/>
      <c r="N1640" s="2238"/>
    </row>
    <row r="1641" spans="13:14">
      <c r="M1641" s="2237"/>
      <c r="N1641" s="2238"/>
    </row>
    <row r="1642" spans="13:14">
      <c r="M1642" s="2237"/>
      <c r="N1642" s="2238"/>
    </row>
    <row r="1643" spans="13:14">
      <c r="M1643" s="2237"/>
      <c r="N1643" s="2238"/>
    </row>
    <row r="1644" spans="13:14">
      <c r="M1644" s="2237"/>
      <c r="N1644" s="2238"/>
    </row>
    <row r="1645" spans="13:14">
      <c r="M1645" s="2237"/>
      <c r="N1645" s="2238"/>
    </row>
    <row r="1646" spans="13:14">
      <c r="M1646" s="2237"/>
      <c r="N1646" s="2238"/>
    </row>
    <row r="1647" spans="13:14">
      <c r="M1647" s="2237"/>
      <c r="N1647" s="2238"/>
    </row>
    <row r="1648" spans="13:14">
      <c r="M1648" s="2237"/>
      <c r="N1648" s="2238"/>
    </row>
    <row r="1649" spans="13:14">
      <c r="M1649" s="2237"/>
      <c r="N1649" s="2238"/>
    </row>
    <row r="1650" spans="13:14">
      <c r="M1650" s="2237"/>
      <c r="N1650" s="2238"/>
    </row>
    <row r="1651" spans="13:14">
      <c r="M1651" s="2237"/>
      <c r="N1651" s="2238"/>
    </row>
    <row r="1652" spans="13:14">
      <c r="M1652" s="2237"/>
      <c r="N1652" s="2238"/>
    </row>
    <row r="1653" spans="13:14">
      <c r="M1653" s="2237"/>
      <c r="N1653" s="2238"/>
    </row>
    <row r="1654" spans="13:14">
      <c r="M1654" s="2237"/>
      <c r="N1654" s="2238"/>
    </row>
    <row r="1655" spans="13:14">
      <c r="M1655" s="2237"/>
      <c r="N1655" s="2238"/>
    </row>
    <row r="1656" spans="13:14">
      <c r="M1656" s="2237"/>
      <c r="N1656" s="2238"/>
    </row>
    <row r="1657" spans="13:14">
      <c r="M1657" s="2237"/>
      <c r="N1657" s="2238"/>
    </row>
    <row r="1658" spans="13:14">
      <c r="M1658" s="2237"/>
      <c r="N1658" s="2238"/>
    </row>
    <row r="1659" spans="13:14">
      <c r="M1659" s="2237"/>
      <c r="N1659" s="2238"/>
    </row>
    <row r="1660" spans="13:14">
      <c r="M1660" s="2237"/>
      <c r="N1660" s="2238"/>
    </row>
    <row r="1661" spans="13:14">
      <c r="M1661" s="2237"/>
      <c r="N1661" s="2238"/>
    </row>
    <row r="1662" spans="13:14">
      <c r="M1662" s="2237"/>
      <c r="N1662" s="2238"/>
    </row>
    <row r="1663" spans="13:14">
      <c r="M1663" s="2237"/>
      <c r="N1663" s="2238"/>
    </row>
    <row r="1664" spans="13:14">
      <c r="M1664" s="2237"/>
      <c r="N1664" s="2238"/>
    </row>
    <row r="1665" spans="13:14">
      <c r="M1665" s="2237"/>
      <c r="N1665" s="2238"/>
    </row>
    <row r="1666" spans="13:14">
      <c r="M1666" s="2237"/>
      <c r="N1666" s="2238"/>
    </row>
    <row r="1667" spans="13:14">
      <c r="M1667" s="2237"/>
      <c r="N1667" s="2238"/>
    </row>
    <row r="1668" spans="13:14">
      <c r="M1668" s="2237"/>
      <c r="N1668" s="2238"/>
    </row>
    <row r="1669" spans="13:14">
      <c r="M1669" s="2237"/>
      <c r="N1669" s="2238"/>
    </row>
    <row r="1670" spans="13:14">
      <c r="M1670" s="2237"/>
      <c r="N1670" s="2238"/>
    </row>
    <row r="1671" spans="13:14">
      <c r="M1671" s="2237"/>
      <c r="N1671" s="2238"/>
    </row>
    <row r="1672" spans="13:14">
      <c r="M1672" s="2237"/>
      <c r="N1672" s="2238"/>
    </row>
    <row r="1673" spans="13:14">
      <c r="M1673" s="2237"/>
      <c r="N1673" s="2238"/>
    </row>
    <row r="1674" spans="13:14">
      <c r="M1674" s="2237"/>
      <c r="N1674" s="2238"/>
    </row>
    <row r="1675" spans="13:14">
      <c r="M1675" s="2237"/>
      <c r="N1675" s="2238"/>
    </row>
    <row r="1676" spans="13:14">
      <c r="M1676" s="2237"/>
      <c r="N1676" s="2238"/>
    </row>
    <row r="1677" spans="13:14">
      <c r="M1677" s="2237"/>
      <c r="N1677" s="2238"/>
    </row>
    <row r="1678" spans="13:14">
      <c r="M1678" s="2237"/>
      <c r="N1678" s="2238"/>
    </row>
    <row r="1679" spans="13:14">
      <c r="M1679" s="2237"/>
      <c r="N1679" s="2238"/>
    </row>
    <row r="1680" spans="13:14">
      <c r="M1680" s="2237"/>
      <c r="N1680" s="2238"/>
    </row>
    <row r="1681" spans="13:14">
      <c r="M1681" s="2237"/>
      <c r="N1681" s="2238"/>
    </row>
    <row r="1682" spans="13:14">
      <c r="M1682" s="2237"/>
      <c r="N1682" s="2238"/>
    </row>
    <row r="1683" spans="13:14">
      <c r="M1683" s="2237"/>
      <c r="N1683" s="2238"/>
    </row>
    <row r="1684" spans="13:14">
      <c r="M1684" s="2237"/>
      <c r="N1684" s="2238"/>
    </row>
    <row r="1685" spans="13:14">
      <c r="M1685" s="2237"/>
      <c r="N1685" s="2238"/>
    </row>
    <row r="1686" spans="13:14">
      <c r="M1686" s="2237"/>
      <c r="N1686" s="2238"/>
    </row>
    <row r="1687" spans="13:14">
      <c r="M1687" s="2237"/>
      <c r="N1687" s="2238"/>
    </row>
    <row r="1688" spans="13:14">
      <c r="M1688" s="2237"/>
      <c r="N1688" s="2238"/>
    </row>
    <row r="1689" spans="13:14">
      <c r="M1689" s="2237"/>
      <c r="N1689" s="2238"/>
    </row>
    <row r="1690" spans="13:14">
      <c r="M1690" s="2237"/>
      <c r="N1690" s="2238"/>
    </row>
    <row r="1691" spans="13:14">
      <c r="M1691" s="2237"/>
      <c r="N1691" s="2238"/>
    </row>
    <row r="1692" spans="13:14">
      <c r="M1692" s="2237"/>
      <c r="N1692" s="2238"/>
    </row>
    <row r="1693" spans="13:14">
      <c r="M1693" s="2237"/>
      <c r="N1693" s="2238"/>
    </row>
    <row r="1694" spans="13:14">
      <c r="M1694" s="2237"/>
      <c r="N1694" s="2238"/>
    </row>
    <row r="1695" spans="13:14">
      <c r="M1695" s="2237"/>
      <c r="N1695" s="2238"/>
    </row>
    <row r="1696" spans="13:14">
      <c r="M1696" s="2237"/>
      <c r="N1696" s="2238"/>
    </row>
    <row r="1697" spans="13:14">
      <c r="M1697" s="2237"/>
      <c r="N1697" s="2238"/>
    </row>
    <row r="1698" spans="13:14">
      <c r="M1698" s="2237"/>
      <c r="N1698" s="2238"/>
    </row>
    <row r="1699" spans="13:14">
      <c r="M1699" s="2237"/>
      <c r="N1699" s="2238"/>
    </row>
    <row r="1700" spans="13:14">
      <c r="M1700" s="2237"/>
      <c r="N1700" s="2238"/>
    </row>
    <row r="1701" spans="13:14">
      <c r="M1701" s="2237"/>
      <c r="N1701" s="2238"/>
    </row>
    <row r="1702" spans="13:14">
      <c r="M1702" s="2237"/>
      <c r="N1702" s="2238"/>
    </row>
    <row r="1703" spans="13:14">
      <c r="M1703" s="2237"/>
      <c r="N1703" s="2238"/>
    </row>
    <row r="1704" spans="13:14">
      <c r="M1704" s="2237"/>
      <c r="N1704" s="2238"/>
    </row>
    <row r="1705" spans="13:14">
      <c r="M1705" s="2237"/>
      <c r="N1705" s="2238"/>
    </row>
    <row r="1706" spans="13:14">
      <c r="M1706" s="2237"/>
      <c r="N1706" s="2238"/>
    </row>
    <row r="1707" spans="13:14">
      <c r="M1707" s="2237"/>
      <c r="N1707" s="2238"/>
    </row>
    <row r="1708" spans="13:14">
      <c r="M1708" s="2237"/>
      <c r="N1708" s="2238"/>
    </row>
    <row r="1709" spans="13:14">
      <c r="M1709" s="2237"/>
      <c r="N1709" s="2238"/>
    </row>
    <row r="1710" spans="13:14">
      <c r="M1710" s="2237"/>
      <c r="N1710" s="2238"/>
    </row>
    <row r="1711" spans="13:14">
      <c r="M1711" s="2237"/>
      <c r="N1711" s="2238"/>
    </row>
    <row r="1712" spans="13:14">
      <c r="M1712" s="2237"/>
      <c r="N1712" s="2238"/>
    </row>
    <row r="1713" spans="13:14">
      <c r="M1713" s="2237"/>
      <c r="N1713" s="2238"/>
    </row>
    <row r="1714" spans="13:14">
      <c r="M1714" s="2237"/>
      <c r="N1714" s="2238"/>
    </row>
    <row r="1715" spans="13:14">
      <c r="M1715" s="2237"/>
      <c r="N1715" s="2238"/>
    </row>
    <row r="1716" spans="13:14">
      <c r="M1716" s="2237"/>
      <c r="N1716" s="2238"/>
    </row>
    <row r="1717" spans="13:14">
      <c r="M1717" s="2237"/>
      <c r="N1717" s="2238"/>
    </row>
    <row r="1718" spans="13:14">
      <c r="M1718" s="2237"/>
      <c r="N1718" s="2238"/>
    </row>
    <row r="1719" spans="13:14">
      <c r="M1719" s="2237"/>
      <c r="N1719" s="2238"/>
    </row>
    <row r="1720" spans="13:14">
      <c r="M1720" s="2237"/>
      <c r="N1720" s="2238"/>
    </row>
    <row r="1721" spans="13:14">
      <c r="M1721" s="2237"/>
      <c r="N1721" s="2238"/>
    </row>
    <row r="1722" spans="13:14">
      <c r="M1722" s="2237"/>
      <c r="N1722" s="2238"/>
    </row>
    <row r="1723" spans="13:14">
      <c r="M1723" s="2237"/>
      <c r="N1723" s="2238"/>
    </row>
    <row r="1724" spans="13:14">
      <c r="M1724" s="2237"/>
      <c r="N1724" s="2238"/>
    </row>
    <row r="1725" spans="13:14">
      <c r="M1725" s="2237"/>
      <c r="N1725" s="2238"/>
    </row>
    <row r="1726" spans="13:14">
      <c r="M1726" s="2237"/>
      <c r="N1726" s="2238"/>
    </row>
    <row r="1727" spans="13:14">
      <c r="M1727" s="2237"/>
      <c r="N1727" s="2238"/>
    </row>
    <row r="1728" spans="13:14">
      <c r="M1728" s="2237"/>
      <c r="N1728" s="2238"/>
    </row>
    <row r="1729" spans="13:14">
      <c r="M1729" s="2237"/>
      <c r="N1729" s="2238"/>
    </row>
    <row r="1730" spans="13:14">
      <c r="M1730" s="2237"/>
      <c r="N1730" s="2238"/>
    </row>
    <row r="1731" spans="13:14">
      <c r="M1731" s="2237"/>
      <c r="N1731" s="2238"/>
    </row>
    <row r="1732" spans="13:14">
      <c r="M1732" s="2237"/>
      <c r="N1732" s="2238"/>
    </row>
    <row r="1733" spans="13:14">
      <c r="M1733" s="2237"/>
      <c r="N1733" s="2238"/>
    </row>
    <row r="1734" spans="13:14">
      <c r="M1734" s="2237"/>
      <c r="N1734" s="2238"/>
    </row>
    <row r="1735" spans="13:14">
      <c r="M1735" s="2237"/>
      <c r="N1735" s="2238"/>
    </row>
    <row r="1736" spans="13:14">
      <c r="M1736" s="2237"/>
      <c r="N1736" s="2238"/>
    </row>
    <row r="1737" spans="13:14">
      <c r="M1737" s="2237"/>
      <c r="N1737" s="2238"/>
    </row>
    <row r="1738" spans="13:14">
      <c r="M1738" s="2237"/>
      <c r="N1738" s="2238"/>
    </row>
    <row r="1739" spans="13:14">
      <c r="M1739" s="2237"/>
      <c r="N1739" s="2238"/>
    </row>
    <row r="1740" spans="13:14">
      <c r="M1740" s="2237"/>
      <c r="N1740" s="2238"/>
    </row>
    <row r="1741" spans="13:14">
      <c r="M1741" s="2237"/>
      <c r="N1741" s="2238"/>
    </row>
    <row r="1742" spans="13:14">
      <c r="M1742" s="2237"/>
      <c r="N1742" s="2238"/>
    </row>
    <row r="1743" spans="13:14">
      <c r="M1743" s="2237"/>
      <c r="N1743" s="2238"/>
    </row>
    <row r="1744" spans="13:14">
      <c r="M1744" s="2237"/>
      <c r="N1744" s="2238"/>
    </row>
    <row r="1745" spans="13:14">
      <c r="M1745" s="2237"/>
      <c r="N1745" s="2238"/>
    </row>
    <row r="1746" spans="13:14">
      <c r="M1746" s="2237"/>
      <c r="N1746" s="2238"/>
    </row>
    <row r="1747" spans="13:14">
      <c r="M1747" s="2237"/>
      <c r="N1747" s="2238"/>
    </row>
    <row r="1748" spans="13:14">
      <c r="M1748" s="2237"/>
      <c r="N1748" s="2238"/>
    </row>
    <row r="1749" spans="13:14">
      <c r="M1749" s="2237"/>
      <c r="N1749" s="2238"/>
    </row>
    <row r="1750" spans="13:14">
      <c r="M1750" s="2237"/>
      <c r="N1750" s="2238"/>
    </row>
    <row r="1751" spans="13:14">
      <c r="M1751" s="2237"/>
      <c r="N1751" s="2238"/>
    </row>
    <row r="1752" spans="13:14">
      <c r="M1752" s="2237"/>
      <c r="N1752" s="2238"/>
    </row>
    <row r="1753" spans="13:14">
      <c r="M1753" s="2237"/>
      <c r="N1753" s="2238"/>
    </row>
    <row r="1754" spans="13:14">
      <c r="M1754" s="2237"/>
      <c r="N1754" s="2238"/>
    </row>
    <row r="1755" spans="13:14">
      <c r="M1755" s="2237"/>
      <c r="N1755" s="2238"/>
    </row>
    <row r="1756" spans="13:14">
      <c r="M1756" s="2237"/>
      <c r="N1756" s="2238"/>
    </row>
    <row r="1757" spans="13:14">
      <c r="M1757" s="2237"/>
      <c r="N1757" s="2238"/>
    </row>
    <row r="1758" spans="13:14">
      <c r="M1758" s="2237"/>
      <c r="N1758" s="2238"/>
    </row>
    <row r="1759" spans="13:14">
      <c r="M1759" s="2237"/>
      <c r="N1759" s="2238"/>
    </row>
    <row r="1760" spans="13:14">
      <c r="M1760" s="2237"/>
      <c r="N1760" s="2238"/>
    </row>
    <row r="1761" spans="13:14">
      <c r="M1761" s="2237"/>
      <c r="N1761" s="2238"/>
    </row>
    <row r="1762" spans="13:14">
      <c r="M1762" s="2237"/>
      <c r="N1762" s="2238"/>
    </row>
    <row r="1763" spans="13:14">
      <c r="M1763" s="2237"/>
      <c r="N1763" s="2238"/>
    </row>
    <row r="1764" spans="13:14">
      <c r="M1764" s="2237"/>
      <c r="N1764" s="2238"/>
    </row>
    <row r="1765" spans="13:14">
      <c r="M1765" s="2237"/>
      <c r="N1765" s="2238"/>
    </row>
    <row r="1766" spans="13:14">
      <c r="M1766" s="2237"/>
      <c r="N1766" s="2238"/>
    </row>
    <row r="1767" spans="13:14">
      <c r="M1767" s="2237"/>
      <c r="N1767" s="2238"/>
    </row>
    <row r="1768" spans="13:14">
      <c r="M1768" s="2237"/>
      <c r="N1768" s="2238"/>
    </row>
    <row r="1769" spans="13:14">
      <c r="M1769" s="2237"/>
      <c r="N1769" s="2238"/>
    </row>
    <row r="1770" spans="13:14">
      <c r="M1770" s="2237"/>
      <c r="N1770" s="2238"/>
    </row>
    <row r="1771" spans="13:14">
      <c r="M1771" s="2237"/>
      <c r="N1771" s="2238"/>
    </row>
    <row r="1772" spans="13:14">
      <c r="M1772" s="2237"/>
      <c r="N1772" s="2238"/>
    </row>
    <row r="1773" spans="13:14">
      <c r="M1773" s="2237"/>
      <c r="N1773" s="2238"/>
    </row>
    <row r="1774" spans="13:14">
      <c r="M1774" s="2237"/>
      <c r="N1774" s="2238"/>
    </row>
    <row r="1775" spans="13:14">
      <c r="M1775" s="2237"/>
      <c r="N1775" s="2238"/>
    </row>
    <row r="1776" spans="13:14">
      <c r="M1776" s="2237"/>
      <c r="N1776" s="2238"/>
    </row>
    <row r="1777" spans="13:14">
      <c r="M1777" s="2237"/>
      <c r="N1777" s="2238"/>
    </row>
    <row r="1778" spans="13:14">
      <c r="M1778" s="2237"/>
      <c r="N1778" s="2238"/>
    </row>
    <row r="1779" spans="13:14">
      <c r="M1779" s="2237"/>
      <c r="N1779" s="2238"/>
    </row>
    <row r="1780" spans="13:14">
      <c r="M1780" s="2237"/>
      <c r="N1780" s="2238"/>
    </row>
    <row r="1781" spans="13:14">
      <c r="M1781" s="2237"/>
      <c r="N1781" s="2238"/>
    </row>
    <row r="1782" spans="13:14">
      <c r="M1782" s="2237"/>
      <c r="N1782" s="2238"/>
    </row>
    <row r="1783" spans="13:14">
      <c r="M1783" s="2237"/>
      <c r="N1783" s="2238"/>
    </row>
    <row r="1784" spans="13:14">
      <c r="M1784" s="2237"/>
      <c r="N1784" s="2238"/>
    </row>
    <row r="1785" spans="13:14">
      <c r="M1785" s="2237"/>
      <c r="N1785" s="2238"/>
    </row>
    <row r="1786" spans="13:14">
      <c r="M1786" s="2237"/>
      <c r="N1786" s="2238"/>
    </row>
    <row r="1787" spans="13:14">
      <c r="M1787" s="2237"/>
      <c r="N1787" s="2238"/>
    </row>
    <row r="1788" spans="13:14">
      <c r="M1788" s="2237"/>
      <c r="N1788" s="2238"/>
    </row>
    <row r="1789" spans="13:14">
      <c r="M1789" s="2237"/>
      <c r="N1789" s="2238"/>
    </row>
    <row r="1790" spans="13:14">
      <c r="M1790" s="2237"/>
      <c r="N1790" s="2238"/>
    </row>
    <row r="1791" spans="13:14">
      <c r="M1791" s="2237"/>
      <c r="N1791" s="2238"/>
    </row>
    <row r="1792" spans="13:14">
      <c r="M1792" s="2237"/>
      <c r="N1792" s="2238"/>
    </row>
    <row r="1793" spans="13:14">
      <c r="M1793" s="2237"/>
      <c r="N1793" s="2238"/>
    </row>
    <row r="1794" spans="13:14">
      <c r="M1794" s="2237"/>
      <c r="N1794" s="2238"/>
    </row>
    <row r="1795" spans="13:14">
      <c r="M1795" s="2237"/>
      <c r="N1795" s="2238"/>
    </row>
    <row r="1796" spans="13:14">
      <c r="M1796" s="2237"/>
      <c r="N1796" s="2238"/>
    </row>
    <row r="1797" spans="13:14">
      <c r="M1797" s="2237"/>
      <c r="N1797" s="2238"/>
    </row>
    <row r="1798" spans="13:14">
      <c r="M1798" s="2237"/>
      <c r="N1798" s="2238"/>
    </row>
    <row r="1799" spans="13:14">
      <c r="M1799" s="2237"/>
      <c r="N1799" s="2238"/>
    </row>
    <row r="1800" spans="13:14">
      <c r="M1800" s="2237"/>
      <c r="N1800" s="2238"/>
    </row>
    <row r="1801" spans="13:14">
      <c r="M1801" s="2237"/>
      <c r="N1801" s="2238"/>
    </row>
    <row r="1802" spans="13:14">
      <c r="M1802" s="2237"/>
      <c r="N1802" s="2238"/>
    </row>
    <row r="1803" spans="13:14">
      <c r="M1803" s="2237"/>
      <c r="N1803" s="2238"/>
    </row>
    <row r="1804" spans="13:14">
      <c r="M1804" s="2237"/>
      <c r="N1804" s="2238"/>
    </row>
    <row r="1805" spans="13:14">
      <c r="M1805" s="2237"/>
      <c r="N1805" s="2238"/>
    </row>
    <row r="1806" spans="13:14">
      <c r="M1806" s="2237"/>
      <c r="N1806" s="2238"/>
    </row>
    <row r="1807" spans="13:14">
      <c r="M1807" s="2237"/>
      <c r="N1807" s="2238"/>
    </row>
    <row r="1808" spans="13:14">
      <c r="M1808" s="2237"/>
      <c r="N1808" s="2238"/>
    </row>
    <row r="1809" spans="13:14">
      <c r="M1809" s="2237"/>
      <c r="N1809" s="2238"/>
    </row>
    <row r="1810" spans="13:14">
      <c r="M1810" s="2237"/>
      <c r="N1810" s="2238"/>
    </row>
    <row r="1811" spans="13:14">
      <c r="M1811" s="2237"/>
      <c r="N1811" s="2238"/>
    </row>
    <row r="1812" spans="13:14">
      <c r="M1812" s="2237"/>
      <c r="N1812" s="2238"/>
    </row>
    <row r="1813" spans="13:14">
      <c r="M1813" s="2237"/>
      <c r="N1813" s="2238"/>
    </row>
    <row r="1814" spans="13:14">
      <c r="M1814" s="2237"/>
      <c r="N1814" s="2238"/>
    </row>
    <row r="1815" spans="13:14">
      <c r="M1815" s="2237"/>
      <c r="N1815" s="2238"/>
    </row>
    <row r="1816" spans="13:14">
      <c r="M1816" s="2237"/>
      <c r="N1816" s="2238"/>
    </row>
    <row r="1817" spans="13:14">
      <c r="M1817" s="2237"/>
      <c r="N1817" s="2238"/>
    </row>
    <row r="1818" spans="13:14">
      <c r="M1818" s="2237"/>
      <c r="N1818" s="2238"/>
    </row>
    <row r="1819" spans="13:14">
      <c r="M1819" s="2237"/>
      <c r="N1819" s="2238"/>
    </row>
    <row r="1820" spans="13:14">
      <c r="M1820" s="2237"/>
      <c r="N1820" s="2238"/>
    </row>
    <row r="1821" spans="13:14">
      <c r="M1821" s="2237"/>
      <c r="N1821" s="2238"/>
    </row>
    <row r="1822" spans="13:14">
      <c r="M1822" s="2237"/>
      <c r="N1822" s="2238"/>
    </row>
    <row r="1823" spans="13:14">
      <c r="M1823" s="2237"/>
      <c r="N1823" s="2238"/>
    </row>
    <row r="1824" spans="13:14">
      <c r="M1824" s="2237"/>
      <c r="N1824" s="2238"/>
    </row>
    <row r="1825" spans="13:14">
      <c r="M1825" s="2237"/>
      <c r="N1825" s="2238"/>
    </row>
    <row r="1826" spans="13:14">
      <c r="M1826" s="2237"/>
      <c r="N1826" s="2238"/>
    </row>
    <row r="1827" spans="13:14">
      <c r="M1827" s="2237"/>
      <c r="N1827" s="2238"/>
    </row>
    <row r="1828" spans="13:14">
      <c r="M1828" s="2237"/>
      <c r="N1828" s="2238"/>
    </row>
    <row r="1829" spans="13:14">
      <c r="M1829" s="2237"/>
      <c r="N1829" s="2238"/>
    </row>
    <row r="1830" spans="13:14">
      <c r="M1830" s="2237"/>
      <c r="N1830" s="2238"/>
    </row>
    <row r="1831" spans="13:14">
      <c r="M1831" s="2237"/>
      <c r="N1831" s="2238"/>
    </row>
    <row r="1832" spans="13:14">
      <c r="M1832" s="2237"/>
      <c r="N1832" s="2238"/>
    </row>
    <row r="1833" spans="13:14">
      <c r="M1833" s="2237"/>
      <c r="N1833" s="2238"/>
    </row>
    <row r="1834" spans="13:14">
      <c r="M1834" s="2237"/>
      <c r="N1834" s="2238"/>
    </row>
    <row r="1835" spans="13:14">
      <c r="M1835" s="2237"/>
      <c r="N1835" s="2238"/>
    </row>
    <row r="1836" spans="13:14">
      <c r="M1836" s="2237"/>
      <c r="N1836" s="2238"/>
    </row>
    <row r="1837" spans="13:14">
      <c r="M1837" s="2237"/>
      <c r="N1837" s="2238"/>
    </row>
    <row r="1838" spans="13:14">
      <c r="M1838" s="2237"/>
      <c r="N1838" s="2238"/>
    </row>
    <row r="1839" spans="13:14">
      <c r="M1839" s="2237"/>
      <c r="N1839" s="2238"/>
    </row>
    <row r="1840" spans="13:14">
      <c r="M1840" s="2237"/>
      <c r="N1840" s="2238"/>
    </row>
    <row r="1841" spans="13:14">
      <c r="M1841" s="2237"/>
      <c r="N1841" s="2238"/>
    </row>
    <row r="1842" spans="13:14">
      <c r="M1842" s="2237"/>
      <c r="N1842" s="2238"/>
    </row>
    <row r="1843" spans="13:14">
      <c r="M1843" s="2237"/>
      <c r="N1843" s="2238"/>
    </row>
    <row r="1844" spans="13:14">
      <c r="M1844" s="2237"/>
      <c r="N1844" s="2238"/>
    </row>
    <row r="1845" spans="13:14">
      <c r="M1845" s="2237"/>
      <c r="N1845" s="2238"/>
    </row>
    <row r="1846" spans="13:14">
      <c r="M1846" s="2237"/>
      <c r="N1846" s="2238"/>
    </row>
    <row r="1847" spans="13:14">
      <c r="M1847" s="2237"/>
      <c r="N1847" s="2238"/>
    </row>
    <row r="1848" spans="13:14">
      <c r="M1848" s="2237"/>
      <c r="N1848" s="2238"/>
    </row>
    <row r="1849" spans="13:14">
      <c r="M1849" s="2237"/>
      <c r="N1849" s="2238"/>
    </row>
    <row r="1850" spans="13:14">
      <c r="M1850" s="2237"/>
      <c r="N1850" s="2238"/>
    </row>
    <row r="1851" spans="13:14">
      <c r="M1851" s="2237"/>
      <c r="N1851" s="2238"/>
    </row>
    <row r="1852" spans="13:14">
      <c r="M1852" s="2237"/>
      <c r="N1852" s="2238"/>
    </row>
    <row r="1853" spans="13:14">
      <c r="M1853" s="2237"/>
      <c r="N1853" s="2238"/>
    </row>
    <row r="1854" spans="13:14">
      <c r="M1854" s="2237"/>
      <c r="N1854" s="2238"/>
    </row>
    <row r="1855" spans="13:14">
      <c r="M1855" s="2237"/>
      <c r="N1855" s="2238"/>
    </row>
    <row r="1856" spans="13:14">
      <c r="M1856" s="2237"/>
      <c r="N1856" s="2238"/>
    </row>
    <row r="1857" spans="13:14">
      <c r="M1857" s="2237"/>
      <c r="N1857" s="2238"/>
    </row>
    <row r="1858" spans="13:14">
      <c r="M1858" s="2237"/>
      <c r="N1858" s="2238"/>
    </row>
    <row r="1859" spans="13:14">
      <c r="M1859" s="2237"/>
      <c r="N1859" s="2238"/>
    </row>
    <row r="1860" spans="13:14">
      <c r="M1860" s="2237"/>
      <c r="N1860" s="2238"/>
    </row>
    <row r="1861" spans="13:14">
      <c r="M1861" s="2237"/>
      <c r="N1861" s="2238"/>
    </row>
    <row r="1862" spans="13:14">
      <c r="M1862" s="2237"/>
      <c r="N1862" s="2238"/>
    </row>
    <row r="1863" spans="13:14">
      <c r="M1863" s="2237"/>
      <c r="N1863" s="2238"/>
    </row>
    <row r="1864" spans="13:14">
      <c r="M1864" s="2237"/>
      <c r="N1864" s="2238"/>
    </row>
    <row r="1865" spans="13:14">
      <c r="M1865" s="2237"/>
      <c r="N1865" s="2238"/>
    </row>
    <row r="1866" spans="13:14">
      <c r="M1866" s="2237"/>
      <c r="N1866" s="2238"/>
    </row>
    <row r="1867" spans="13:14">
      <c r="M1867" s="2237"/>
      <c r="N1867" s="2238"/>
    </row>
    <row r="1868" spans="13:14">
      <c r="M1868" s="2237"/>
      <c r="N1868" s="2238"/>
    </row>
    <row r="1869" spans="13:14">
      <c r="M1869" s="2237"/>
      <c r="N1869" s="2238"/>
    </row>
    <row r="1870" spans="13:14">
      <c r="M1870" s="2237"/>
      <c r="N1870" s="2238"/>
    </row>
    <row r="1871" spans="13:14">
      <c r="M1871" s="2237"/>
      <c r="N1871" s="2238"/>
    </row>
    <row r="1872" spans="13:14">
      <c r="M1872" s="2237"/>
      <c r="N1872" s="2238"/>
    </row>
    <row r="1873" spans="13:14">
      <c r="M1873" s="2237"/>
      <c r="N1873" s="2238"/>
    </row>
    <row r="1874" spans="13:14">
      <c r="M1874" s="2237"/>
      <c r="N1874" s="2238"/>
    </row>
    <row r="1875" spans="13:14">
      <c r="M1875" s="2237"/>
      <c r="N1875" s="2238"/>
    </row>
    <row r="1876" spans="13:14">
      <c r="M1876" s="2237"/>
      <c r="N1876" s="2238"/>
    </row>
    <row r="1877" spans="13:14">
      <c r="M1877" s="2237"/>
      <c r="N1877" s="2238"/>
    </row>
    <row r="1878" spans="13:14">
      <c r="M1878" s="2237"/>
      <c r="N1878" s="2238"/>
    </row>
    <row r="1879" spans="13:14">
      <c r="M1879" s="2237"/>
      <c r="N1879" s="2238"/>
    </row>
    <row r="1880" spans="13:14">
      <c r="M1880" s="2237"/>
      <c r="N1880" s="2238"/>
    </row>
    <row r="1881" spans="13:14">
      <c r="M1881" s="2237"/>
      <c r="N1881" s="2238"/>
    </row>
    <row r="1882" spans="13:14">
      <c r="M1882" s="2237"/>
      <c r="N1882" s="2238"/>
    </row>
    <row r="1883" spans="13:14">
      <c r="M1883" s="2237"/>
      <c r="N1883" s="2238"/>
    </row>
    <row r="1884" spans="13:14">
      <c r="M1884" s="2237"/>
      <c r="N1884" s="2238"/>
    </row>
    <row r="1885" spans="13:14">
      <c r="M1885" s="2237"/>
      <c r="N1885" s="2238"/>
    </row>
    <row r="1886" spans="13:14">
      <c r="M1886" s="2237"/>
      <c r="N1886" s="2238"/>
    </row>
    <row r="1887" spans="13:14">
      <c r="M1887" s="2237"/>
      <c r="N1887" s="2238"/>
    </row>
    <row r="1888" spans="13:14">
      <c r="M1888" s="2237"/>
      <c r="N1888" s="2238"/>
    </row>
    <row r="1889" spans="13:14">
      <c r="M1889" s="2237"/>
      <c r="N1889" s="2238"/>
    </row>
    <row r="1890" spans="13:14">
      <c r="M1890" s="2237"/>
      <c r="N1890" s="2238"/>
    </row>
    <row r="1891" spans="13:14">
      <c r="M1891" s="2237"/>
      <c r="N1891" s="2238"/>
    </row>
    <row r="1892" spans="13:14">
      <c r="M1892" s="2237"/>
      <c r="N1892" s="2238"/>
    </row>
    <row r="1893" spans="13:14">
      <c r="M1893" s="2237"/>
      <c r="N1893" s="2238"/>
    </row>
    <row r="1894" spans="13:14">
      <c r="M1894" s="2237"/>
      <c r="N1894" s="2238"/>
    </row>
    <row r="1895" spans="13:14">
      <c r="M1895" s="2237"/>
      <c r="N1895" s="2238"/>
    </row>
    <row r="1896" spans="13:14">
      <c r="M1896" s="2237"/>
      <c r="N1896" s="2238"/>
    </row>
    <row r="1897" spans="13:14">
      <c r="M1897" s="2237"/>
      <c r="N1897" s="2238"/>
    </row>
    <row r="1898" spans="13:14">
      <c r="M1898" s="2237"/>
      <c r="N1898" s="2238"/>
    </row>
    <row r="1899" spans="13:14">
      <c r="M1899" s="2237"/>
      <c r="N1899" s="2238"/>
    </row>
    <row r="1900" spans="13:14">
      <c r="M1900" s="2237"/>
      <c r="N1900" s="2238"/>
    </row>
    <row r="1901" spans="13:14">
      <c r="M1901" s="2237"/>
      <c r="N1901" s="2238"/>
    </row>
    <row r="1902" spans="13:14">
      <c r="M1902" s="2237"/>
      <c r="N1902" s="2238"/>
    </row>
    <row r="1903" spans="13:14">
      <c r="M1903" s="2237"/>
      <c r="N1903" s="2238"/>
    </row>
    <row r="1904" spans="13:14">
      <c r="M1904" s="2237"/>
      <c r="N1904" s="2238"/>
    </row>
    <row r="1905" spans="13:14">
      <c r="M1905" s="2237"/>
      <c r="N1905" s="2238"/>
    </row>
    <row r="1906" spans="13:14">
      <c r="M1906" s="2237"/>
      <c r="N1906" s="2238"/>
    </row>
    <row r="1907" spans="13:14">
      <c r="M1907" s="2237"/>
      <c r="N1907" s="2238"/>
    </row>
    <row r="1908" spans="13:14">
      <c r="M1908" s="2237"/>
      <c r="N1908" s="2238"/>
    </row>
    <row r="1909" spans="13:14">
      <c r="M1909" s="2237"/>
      <c r="N1909" s="2238"/>
    </row>
    <row r="1910" spans="13:14">
      <c r="M1910" s="2237"/>
      <c r="N1910" s="2238"/>
    </row>
    <row r="1911" spans="13:14">
      <c r="M1911" s="2237"/>
      <c r="N1911" s="2238"/>
    </row>
    <row r="1912" spans="13:14">
      <c r="M1912" s="2237"/>
      <c r="N1912" s="2238"/>
    </row>
    <row r="1913" spans="13:14">
      <c r="M1913" s="2237"/>
      <c r="N1913" s="2238"/>
    </row>
    <row r="1914" spans="13:14">
      <c r="M1914" s="2237"/>
      <c r="N1914" s="2238"/>
    </row>
    <row r="1915" spans="13:14">
      <c r="M1915" s="2237"/>
      <c r="N1915" s="2238"/>
    </row>
    <row r="1916" spans="13:14">
      <c r="M1916" s="2237"/>
      <c r="N1916" s="2238"/>
    </row>
    <row r="1917" spans="13:14">
      <c r="M1917" s="2237"/>
      <c r="N1917" s="2238"/>
    </row>
    <row r="1918" spans="13:14">
      <c r="M1918" s="2237"/>
      <c r="N1918" s="2238"/>
    </row>
    <row r="1919" spans="13:14">
      <c r="M1919" s="2237"/>
      <c r="N1919" s="2238"/>
    </row>
    <row r="1920" spans="13:14">
      <c r="M1920" s="2237"/>
      <c r="N1920" s="2238"/>
    </row>
    <row r="1921" spans="13:14">
      <c r="M1921" s="2237"/>
      <c r="N1921" s="2238"/>
    </row>
    <row r="1922" spans="13:14">
      <c r="M1922" s="2237"/>
      <c r="N1922" s="2238"/>
    </row>
    <row r="1923" spans="13:14">
      <c r="M1923" s="2237"/>
      <c r="N1923" s="2238"/>
    </row>
    <row r="1924" spans="13:14">
      <c r="M1924" s="2237"/>
      <c r="N1924" s="2238"/>
    </row>
    <row r="1925" spans="13:14">
      <c r="M1925" s="2237"/>
      <c r="N1925" s="2238"/>
    </row>
    <row r="1926" spans="13:14">
      <c r="M1926" s="2237"/>
      <c r="N1926" s="2238"/>
    </row>
    <row r="1927" spans="13:14">
      <c r="M1927" s="2237"/>
      <c r="N1927" s="2238"/>
    </row>
    <row r="1928" spans="13:14">
      <c r="M1928" s="2237"/>
      <c r="N1928" s="2238"/>
    </row>
    <row r="1929" spans="13:14">
      <c r="M1929" s="2237"/>
      <c r="N1929" s="2238"/>
    </row>
    <row r="1930" spans="13:14">
      <c r="M1930" s="2237"/>
      <c r="N1930" s="2238"/>
    </row>
    <row r="1931" spans="13:14">
      <c r="M1931" s="2237"/>
      <c r="N1931" s="2238"/>
    </row>
    <row r="1932" spans="13:14">
      <c r="M1932" s="2237"/>
      <c r="N1932" s="2238"/>
    </row>
    <row r="1933" spans="13:14">
      <c r="M1933" s="2237"/>
      <c r="N1933" s="2238"/>
    </row>
    <row r="1934" spans="13:14">
      <c r="M1934" s="2237"/>
      <c r="N1934" s="2238"/>
    </row>
    <row r="1935" spans="13:14">
      <c r="M1935" s="2237"/>
      <c r="N1935" s="2238"/>
    </row>
    <row r="1936" spans="13:14">
      <c r="M1936" s="2237"/>
      <c r="N1936" s="2238"/>
    </row>
    <row r="1937" spans="13:14">
      <c r="M1937" s="2237"/>
      <c r="N1937" s="2238"/>
    </row>
    <row r="1938" spans="13:14">
      <c r="M1938" s="2237"/>
      <c r="N1938" s="2238"/>
    </row>
    <row r="1939" spans="13:14">
      <c r="M1939" s="2237"/>
      <c r="N1939" s="2238"/>
    </row>
    <row r="1940" spans="13:14">
      <c r="M1940" s="2237"/>
      <c r="N1940" s="2238"/>
    </row>
    <row r="1941" spans="13:14">
      <c r="M1941" s="2237"/>
      <c r="N1941" s="2238"/>
    </row>
    <row r="1942" spans="13:14">
      <c r="M1942" s="2237"/>
      <c r="N1942" s="2238"/>
    </row>
    <row r="1943" spans="13:14">
      <c r="M1943" s="2237"/>
      <c r="N1943" s="2238"/>
    </row>
    <row r="1944" spans="13:14">
      <c r="M1944" s="2237"/>
      <c r="N1944" s="2238"/>
    </row>
    <row r="1945" spans="13:14">
      <c r="M1945" s="2237"/>
      <c r="N1945" s="2238"/>
    </row>
    <row r="1946" spans="13:14">
      <c r="M1946" s="2237"/>
      <c r="N1946" s="2238"/>
    </row>
    <row r="1947" spans="13:14">
      <c r="M1947" s="2237"/>
      <c r="N1947" s="2238"/>
    </row>
    <row r="1948" spans="13:14">
      <c r="M1948" s="2237"/>
      <c r="N1948" s="2238"/>
    </row>
    <row r="1949" spans="13:14">
      <c r="M1949" s="2237"/>
      <c r="N1949" s="2238"/>
    </row>
    <row r="1950" spans="13:14">
      <c r="M1950" s="2237"/>
      <c r="N1950" s="2238"/>
    </row>
    <row r="1951" spans="13:14">
      <c r="M1951" s="2237"/>
      <c r="N1951" s="2238"/>
    </row>
    <row r="1952" spans="13:14">
      <c r="M1952" s="2237"/>
      <c r="N1952" s="2238"/>
    </row>
    <row r="1953" spans="13:14">
      <c r="M1953" s="2237"/>
      <c r="N1953" s="2238"/>
    </row>
    <row r="1954" spans="13:14">
      <c r="M1954" s="2237"/>
      <c r="N1954" s="2238"/>
    </row>
    <row r="1955" spans="13:14">
      <c r="M1955" s="2237"/>
      <c r="N1955" s="2238"/>
    </row>
    <row r="1956" spans="13:14">
      <c r="M1956" s="2237"/>
      <c r="N1956" s="2238"/>
    </row>
    <row r="1957" spans="13:14">
      <c r="M1957" s="2237"/>
      <c r="N1957" s="2238"/>
    </row>
    <row r="1958" spans="13:14">
      <c r="M1958" s="2237"/>
      <c r="N1958" s="2238"/>
    </row>
    <row r="1959" spans="13:14">
      <c r="M1959" s="2237"/>
      <c r="N1959" s="2238"/>
    </row>
    <row r="1960" spans="13:14">
      <c r="M1960" s="2237"/>
      <c r="N1960" s="2238"/>
    </row>
    <row r="1961" spans="13:14">
      <c r="M1961" s="2237"/>
      <c r="N1961" s="2238"/>
    </row>
    <row r="1962" spans="13:14">
      <c r="M1962" s="2237"/>
      <c r="N1962" s="2238"/>
    </row>
    <row r="1963" spans="13:14">
      <c r="M1963" s="2237"/>
      <c r="N1963" s="2238"/>
    </row>
    <row r="1964" spans="13:14">
      <c r="M1964" s="2237"/>
      <c r="N1964" s="2238"/>
    </row>
    <row r="1965" spans="13:14">
      <c r="M1965" s="2237"/>
      <c r="N1965" s="2238"/>
    </row>
    <row r="1966" spans="13:14">
      <c r="M1966" s="2237"/>
      <c r="N1966" s="2238"/>
    </row>
    <row r="1967" spans="13:14">
      <c r="M1967" s="2237"/>
      <c r="N1967" s="2238"/>
    </row>
    <row r="1968" spans="13:14">
      <c r="M1968" s="2237"/>
      <c r="N1968" s="2238"/>
    </row>
    <row r="1969" spans="13:14">
      <c r="M1969" s="2237"/>
      <c r="N1969" s="2238"/>
    </row>
    <row r="1970" spans="13:14">
      <c r="M1970" s="2237"/>
      <c r="N1970" s="2238"/>
    </row>
    <row r="1971" spans="13:14">
      <c r="M1971" s="2237"/>
      <c r="N1971" s="2238"/>
    </row>
    <row r="1972" spans="13:14">
      <c r="M1972" s="2237"/>
      <c r="N1972" s="2238"/>
    </row>
    <row r="1973" spans="13:14">
      <c r="M1973" s="2237"/>
      <c r="N1973" s="2238"/>
    </row>
    <row r="1974" spans="13:14">
      <c r="M1974" s="2237"/>
      <c r="N1974" s="2238"/>
    </row>
    <row r="1975" spans="13:14">
      <c r="M1975" s="2237"/>
      <c r="N1975" s="2238"/>
    </row>
    <row r="1976" spans="13:14">
      <c r="M1976" s="2237"/>
      <c r="N1976" s="2238"/>
    </row>
    <row r="1977" spans="13:14">
      <c r="M1977" s="2237"/>
      <c r="N1977" s="2238"/>
    </row>
    <row r="1978" spans="13:14">
      <c r="M1978" s="2237"/>
      <c r="N1978" s="2238"/>
    </row>
    <row r="1979" spans="13:14">
      <c r="M1979" s="2237"/>
      <c r="N1979" s="2238"/>
    </row>
    <row r="1980" spans="13:14">
      <c r="M1980" s="2237"/>
      <c r="N1980" s="2238"/>
    </row>
    <row r="1981" spans="13:14">
      <c r="M1981" s="2237"/>
      <c r="N1981" s="2238"/>
    </row>
    <row r="1982" spans="13:14">
      <c r="M1982" s="2237"/>
      <c r="N1982" s="2238"/>
    </row>
    <row r="1983" spans="13:14">
      <c r="M1983" s="2237"/>
      <c r="N1983" s="2238"/>
    </row>
    <row r="1984" spans="13:14">
      <c r="M1984" s="2237"/>
      <c r="N1984" s="2238"/>
    </row>
    <row r="1985" spans="13:14">
      <c r="M1985" s="2237"/>
      <c r="N1985" s="2238"/>
    </row>
    <row r="1986" spans="13:14">
      <c r="M1986" s="2237"/>
      <c r="N1986" s="2238"/>
    </row>
    <row r="1987" spans="13:14">
      <c r="M1987" s="2237"/>
      <c r="N1987" s="2238"/>
    </row>
    <row r="1988" spans="13:14">
      <c r="M1988" s="2237"/>
      <c r="N1988" s="2238"/>
    </row>
    <row r="1989" spans="13:14">
      <c r="M1989" s="2237"/>
      <c r="N1989" s="2238"/>
    </row>
    <row r="1990" spans="13:14">
      <c r="M1990" s="2237"/>
      <c r="N1990" s="2238"/>
    </row>
    <row r="1991" spans="13:14">
      <c r="M1991" s="2237"/>
      <c r="N1991" s="2238"/>
    </row>
    <row r="1992" spans="13:14">
      <c r="M1992" s="2237"/>
      <c r="N1992" s="2238"/>
    </row>
    <row r="1993" spans="13:14">
      <c r="M1993" s="2237"/>
      <c r="N1993" s="2238"/>
    </row>
    <row r="1994" spans="13:14">
      <c r="M1994" s="2237"/>
      <c r="N1994" s="2238"/>
    </row>
    <row r="1995" spans="13:14">
      <c r="M1995" s="2237"/>
      <c r="N1995" s="2238"/>
    </row>
    <row r="1996" spans="13:14">
      <c r="M1996" s="2237"/>
      <c r="N1996" s="2238"/>
    </row>
    <row r="1997" spans="13:14">
      <c r="M1997" s="2237"/>
      <c r="N1997" s="2238"/>
    </row>
    <row r="1998" spans="13:14">
      <c r="M1998" s="2237"/>
      <c r="N1998" s="2238"/>
    </row>
    <row r="1999" spans="13:14">
      <c r="M1999" s="2237"/>
      <c r="N1999" s="2238"/>
    </row>
    <row r="2000" spans="13:14">
      <c r="M2000" s="2237"/>
      <c r="N2000" s="2238"/>
    </row>
    <row r="2001" spans="13:14">
      <c r="M2001" s="2237"/>
      <c r="N2001" s="2238"/>
    </row>
    <row r="2002" spans="13:14">
      <c r="M2002" s="2237"/>
      <c r="N2002" s="2238"/>
    </row>
    <row r="2003" spans="13:14">
      <c r="M2003" s="2237"/>
      <c r="N2003" s="2238"/>
    </row>
    <row r="2004" spans="13:14">
      <c r="M2004" s="2237"/>
      <c r="N2004" s="2238"/>
    </row>
    <row r="2005" spans="13:14">
      <c r="M2005" s="2237"/>
      <c r="N2005" s="2238"/>
    </row>
    <row r="2006" spans="13:14">
      <c r="M2006" s="2237"/>
      <c r="N2006" s="2238"/>
    </row>
    <row r="2007" spans="13:14">
      <c r="M2007" s="2237"/>
      <c r="N2007" s="2238"/>
    </row>
    <row r="2008" spans="13:14">
      <c r="M2008" s="2237"/>
      <c r="N2008" s="2238"/>
    </row>
    <row r="2009" spans="13:14">
      <c r="M2009" s="2237"/>
      <c r="N2009" s="2238"/>
    </row>
    <row r="2010" spans="13:14">
      <c r="M2010" s="2237"/>
      <c r="N2010" s="2238"/>
    </row>
    <row r="2011" spans="13:14">
      <c r="M2011" s="2237"/>
      <c r="N2011" s="2238"/>
    </row>
    <row r="2012" spans="13:14">
      <c r="M2012" s="2237"/>
      <c r="N2012" s="2238"/>
    </row>
    <row r="2013" spans="13:14">
      <c r="M2013" s="2237"/>
      <c r="N2013" s="2238"/>
    </row>
    <row r="2014" spans="13:14">
      <c r="M2014" s="2237"/>
      <c r="N2014" s="2238"/>
    </row>
    <row r="2015" spans="13:14">
      <c r="M2015" s="2237"/>
      <c r="N2015" s="2238"/>
    </row>
    <row r="2016" spans="13:14">
      <c r="M2016" s="2237"/>
      <c r="N2016" s="2238"/>
    </row>
    <row r="2017" spans="13:14">
      <c r="M2017" s="2237"/>
      <c r="N2017" s="2238"/>
    </row>
    <row r="2018" spans="13:14">
      <c r="M2018" s="2237"/>
      <c r="N2018" s="2238"/>
    </row>
    <row r="2019" spans="13:14">
      <c r="M2019" s="2237"/>
      <c r="N2019" s="2238"/>
    </row>
    <row r="2020" spans="13:14">
      <c r="M2020" s="2237"/>
      <c r="N2020" s="2238"/>
    </row>
    <row r="2021" spans="13:14">
      <c r="M2021" s="2237"/>
      <c r="N2021" s="2238"/>
    </row>
    <row r="2022" spans="13:14">
      <c r="M2022" s="2237"/>
      <c r="N2022" s="2238"/>
    </row>
    <row r="2023" spans="13:14">
      <c r="M2023" s="2237"/>
      <c r="N2023" s="2238"/>
    </row>
    <row r="2024" spans="13:14">
      <c r="M2024" s="2237"/>
      <c r="N2024" s="2238"/>
    </row>
    <row r="2025" spans="13:14">
      <c r="M2025" s="2237"/>
      <c r="N2025" s="2238"/>
    </row>
    <row r="2026" spans="13:14">
      <c r="M2026" s="2237"/>
      <c r="N2026" s="2238"/>
    </row>
    <row r="2027" spans="13:14">
      <c r="M2027" s="2237"/>
      <c r="N2027" s="2238"/>
    </row>
    <row r="2028" spans="13:14">
      <c r="M2028" s="2237"/>
      <c r="N2028" s="2238"/>
    </row>
    <row r="2029" spans="13:14">
      <c r="M2029" s="2237"/>
      <c r="N2029" s="2238"/>
    </row>
    <row r="2030" spans="13:14">
      <c r="M2030" s="2237"/>
      <c r="N2030" s="2238"/>
    </row>
    <row r="2031" spans="13:14">
      <c r="M2031" s="2237"/>
      <c r="N2031" s="2238"/>
    </row>
    <row r="2032" spans="13:14">
      <c r="M2032" s="2237"/>
      <c r="N2032" s="2238"/>
    </row>
    <row r="2033" spans="13:14">
      <c r="M2033" s="2237"/>
      <c r="N2033" s="2238"/>
    </row>
    <row r="2034" spans="13:14">
      <c r="M2034" s="2237"/>
      <c r="N2034" s="2238"/>
    </row>
    <row r="2035" spans="13:14">
      <c r="M2035" s="2237"/>
      <c r="N2035" s="2238"/>
    </row>
    <row r="2036" spans="13:14">
      <c r="M2036" s="2237"/>
      <c r="N2036" s="2238"/>
    </row>
    <row r="2037" spans="13:14">
      <c r="M2037" s="2237"/>
      <c r="N2037" s="2238"/>
    </row>
    <row r="2038" spans="13:14">
      <c r="M2038" s="2237"/>
      <c r="N2038" s="2238"/>
    </row>
    <row r="2039" spans="13:14">
      <c r="M2039" s="2237"/>
      <c r="N2039" s="2238"/>
    </row>
    <row r="2040" spans="13:14">
      <c r="M2040" s="2237"/>
      <c r="N2040" s="2238"/>
    </row>
    <row r="2041" spans="13:14">
      <c r="M2041" s="2237"/>
      <c r="N2041" s="2238"/>
    </row>
    <row r="2042" spans="13:14">
      <c r="M2042" s="2237"/>
      <c r="N2042" s="2238"/>
    </row>
    <row r="2043" spans="13:14">
      <c r="M2043" s="2237"/>
      <c r="N2043" s="2238"/>
    </row>
    <row r="2044" spans="13:14">
      <c r="M2044" s="2237"/>
      <c r="N2044" s="2238"/>
    </row>
    <row r="2045" spans="13:14">
      <c r="M2045" s="2237"/>
      <c r="N2045" s="2238"/>
    </row>
    <row r="2046" spans="13:14">
      <c r="M2046" s="2237"/>
      <c r="N2046" s="2238"/>
    </row>
    <row r="2047" spans="13:14">
      <c r="M2047" s="2237"/>
      <c r="N2047" s="2238"/>
    </row>
    <row r="2048" spans="13:14">
      <c r="M2048" s="2237"/>
      <c r="N2048" s="2238"/>
    </row>
    <row r="2049" spans="13:14">
      <c r="M2049" s="2237"/>
      <c r="N2049" s="2238"/>
    </row>
    <row r="2050" spans="13:14">
      <c r="M2050" s="2237"/>
      <c r="N2050" s="2238"/>
    </row>
    <row r="2051" spans="13:14">
      <c r="M2051" s="2237"/>
      <c r="N2051" s="2238"/>
    </row>
    <row r="2052" spans="13:14">
      <c r="M2052" s="2237"/>
      <c r="N2052" s="2238"/>
    </row>
    <row r="2053" spans="13:14">
      <c r="M2053" s="2237"/>
      <c r="N2053" s="2238"/>
    </row>
    <row r="2054" spans="13:14">
      <c r="M2054" s="2237"/>
      <c r="N2054" s="2238"/>
    </row>
    <row r="2055" spans="13:14">
      <c r="M2055" s="2237"/>
      <c r="N2055" s="2238"/>
    </row>
    <row r="2056" spans="13:14">
      <c r="M2056" s="2237"/>
      <c r="N2056" s="2238"/>
    </row>
    <row r="2057" spans="13:14">
      <c r="M2057" s="2237"/>
      <c r="N2057" s="2238"/>
    </row>
    <row r="2058" spans="13:14">
      <c r="M2058" s="2237"/>
      <c r="N2058" s="2238"/>
    </row>
    <row r="2059" spans="13:14">
      <c r="M2059" s="2237"/>
      <c r="N2059" s="2238"/>
    </row>
    <row r="2060" spans="13:14">
      <c r="M2060" s="2237"/>
      <c r="N2060" s="2238"/>
    </row>
    <row r="2061" spans="13:14">
      <c r="M2061" s="2237"/>
      <c r="N2061" s="2238"/>
    </row>
    <row r="2062" spans="13:14">
      <c r="M2062" s="2237"/>
      <c r="N2062" s="2238"/>
    </row>
    <row r="2063" spans="13:14">
      <c r="M2063" s="2237"/>
      <c r="N2063" s="2238"/>
    </row>
    <row r="2064" spans="13:14">
      <c r="M2064" s="2237"/>
      <c r="N2064" s="2238"/>
    </row>
    <row r="2065" spans="13:14">
      <c r="M2065" s="2237"/>
      <c r="N2065" s="2238"/>
    </row>
    <row r="2066" spans="13:14">
      <c r="M2066" s="2237"/>
      <c r="N2066" s="2238"/>
    </row>
    <row r="2067" spans="13:14">
      <c r="M2067" s="2237"/>
      <c r="N2067" s="2238"/>
    </row>
    <row r="2068" spans="13:14">
      <c r="M2068" s="2237"/>
      <c r="N2068" s="2238"/>
    </row>
    <row r="2069" spans="13:14">
      <c r="M2069" s="2237"/>
      <c r="N2069" s="2238"/>
    </row>
    <row r="2070" spans="13:14">
      <c r="M2070" s="2237"/>
      <c r="N2070" s="2238"/>
    </row>
    <row r="2071" spans="13:14">
      <c r="M2071" s="2237"/>
      <c r="N2071" s="2238"/>
    </row>
    <row r="2072" spans="13:14">
      <c r="M2072" s="2237"/>
      <c r="N2072" s="2238"/>
    </row>
    <row r="2073" spans="13:14">
      <c r="M2073" s="2237"/>
      <c r="N2073" s="2238"/>
    </row>
    <row r="2074" spans="13:14">
      <c r="M2074" s="2237"/>
      <c r="N2074" s="2238"/>
    </row>
    <row r="2075" spans="13:14">
      <c r="M2075" s="2237"/>
      <c r="N2075" s="2238"/>
    </row>
    <row r="2076" spans="13:14">
      <c r="M2076" s="2237"/>
      <c r="N2076" s="2238"/>
    </row>
    <row r="2077" spans="13:14">
      <c r="M2077" s="2237"/>
      <c r="N2077" s="2238"/>
    </row>
    <row r="2078" spans="13:14">
      <c r="M2078" s="2237"/>
      <c r="N2078" s="2238"/>
    </row>
    <row r="2079" spans="13:14">
      <c r="M2079" s="2237"/>
      <c r="N2079" s="2238"/>
    </row>
    <row r="2080" spans="13:14">
      <c r="M2080" s="2237"/>
      <c r="N2080" s="2238"/>
    </row>
    <row r="2081" spans="13:14">
      <c r="M2081" s="2237"/>
      <c r="N2081" s="2238"/>
    </row>
    <row r="2082" spans="13:14">
      <c r="M2082" s="2237"/>
      <c r="N2082" s="2238"/>
    </row>
    <row r="2083" spans="13:14">
      <c r="M2083" s="2237"/>
      <c r="N2083" s="2238"/>
    </row>
    <row r="2084" spans="13:14">
      <c r="M2084" s="2237"/>
      <c r="N2084" s="2238"/>
    </row>
    <row r="2085" spans="13:14">
      <c r="M2085" s="2237"/>
      <c r="N2085" s="2238"/>
    </row>
    <row r="2086" spans="13:14">
      <c r="M2086" s="2237"/>
      <c r="N2086" s="2238"/>
    </row>
    <row r="2087" spans="13:14">
      <c r="M2087" s="2237"/>
      <c r="N2087" s="2238"/>
    </row>
    <row r="2088" spans="13:14">
      <c r="M2088" s="2237"/>
      <c r="N2088" s="2238"/>
    </row>
    <row r="2089" spans="13:14">
      <c r="M2089" s="2237"/>
      <c r="N2089" s="2238"/>
    </row>
    <row r="2090" spans="13:14">
      <c r="M2090" s="2237"/>
      <c r="N2090" s="2238"/>
    </row>
    <row r="2091" spans="13:14">
      <c r="M2091" s="2237"/>
      <c r="N2091" s="2238"/>
    </row>
    <row r="2092" spans="13:14">
      <c r="M2092" s="2237"/>
      <c r="N2092" s="2238"/>
    </row>
    <row r="2093" spans="13:14">
      <c r="M2093" s="2237"/>
      <c r="N2093" s="2238"/>
    </row>
    <row r="2094" spans="13:14">
      <c r="M2094" s="2237"/>
      <c r="N2094" s="2238"/>
    </row>
    <row r="2095" spans="13:14">
      <c r="M2095" s="2237"/>
      <c r="N2095" s="2238"/>
    </row>
    <row r="2096" spans="13:14">
      <c r="M2096" s="2237"/>
      <c r="N2096" s="2238"/>
    </row>
    <row r="2097" spans="13:14">
      <c r="M2097" s="2237"/>
      <c r="N2097" s="2238"/>
    </row>
    <row r="2098" spans="13:14">
      <c r="M2098" s="2237"/>
      <c r="N2098" s="2238"/>
    </row>
    <row r="2099" spans="13:14">
      <c r="M2099" s="2237"/>
      <c r="N2099" s="2238"/>
    </row>
    <row r="2100" spans="13:14">
      <c r="M2100" s="2237"/>
      <c r="N2100" s="2238"/>
    </row>
    <row r="2101" spans="13:14">
      <c r="M2101" s="2237"/>
      <c r="N2101" s="2238"/>
    </row>
    <row r="2102" spans="13:14">
      <c r="M2102" s="2237"/>
      <c r="N2102" s="2238"/>
    </row>
    <row r="2103" spans="13:14">
      <c r="M2103" s="2237"/>
      <c r="N2103" s="2238"/>
    </row>
    <row r="2104" spans="13:14">
      <c r="M2104" s="2237"/>
      <c r="N2104" s="2238"/>
    </row>
    <row r="2105" spans="13:14">
      <c r="M2105" s="2237"/>
      <c r="N2105" s="2238"/>
    </row>
    <row r="2106" spans="13:14">
      <c r="M2106" s="2237"/>
      <c r="N2106" s="2238"/>
    </row>
    <row r="2107" spans="13:14">
      <c r="M2107" s="2237"/>
      <c r="N2107" s="2238"/>
    </row>
    <row r="2108" spans="13:14">
      <c r="M2108" s="2237"/>
      <c r="N2108" s="2238"/>
    </row>
    <row r="2109" spans="13:14">
      <c r="M2109" s="2237"/>
      <c r="N2109" s="2238"/>
    </row>
    <row r="2110" spans="13:14">
      <c r="M2110" s="2237"/>
      <c r="N2110" s="2238"/>
    </row>
    <row r="2111" spans="13:14">
      <c r="M2111" s="2237"/>
      <c r="N2111" s="2238"/>
    </row>
    <row r="2112" spans="13:14">
      <c r="M2112" s="2237"/>
      <c r="N2112" s="2238"/>
    </row>
    <row r="2113" spans="13:14">
      <c r="M2113" s="2237"/>
      <c r="N2113" s="2238"/>
    </row>
    <row r="2114" spans="13:14">
      <c r="M2114" s="2237"/>
      <c r="N2114" s="2238"/>
    </row>
    <row r="2115" spans="13:14">
      <c r="M2115" s="2237"/>
      <c r="N2115" s="2238"/>
    </row>
    <row r="2116" spans="13:14">
      <c r="M2116" s="2237"/>
      <c r="N2116" s="2238"/>
    </row>
    <row r="2117" spans="13:14">
      <c r="M2117" s="2237"/>
      <c r="N2117" s="2238"/>
    </row>
    <row r="2118" spans="13:14">
      <c r="M2118" s="2237"/>
      <c r="N2118" s="2238"/>
    </row>
    <row r="2119" spans="13:14">
      <c r="M2119" s="2237"/>
      <c r="N2119" s="2238"/>
    </row>
    <row r="2120" spans="13:14">
      <c r="M2120" s="2237"/>
      <c r="N2120" s="2238"/>
    </row>
    <row r="2121" spans="13:14">
      <c r="M2121" s="2237"/>
      <c r="N2121" s="2238"/>
    </row>
    <row r="2122" spans="13:14">
      <c r="M2122" s="2237"/>
      <c r="N2122" s="2238"/>
    </row>
    <row r="2123" spans="13:14">
      <c r="M2123" s="2237"/>
      <c r="N2123" s="2238"/>
    </row>
    <row r="2124" spans="13:14">
      <c r="M2124" s="2237"/>
      <c r="N2124" s="2238"/>
    </row>
    <row r="2125" spans="13:14">
      <c r="M2125" s="2237"/>
      <c r="N2125" s="2238"/>
    </row>
    <row r="2126" spans="13:14">
      <c r="M2126" s="2237"/>
      <c r="N2126" s="2238"/>
    </row>
    <row r="2127" spans="13:14">
      <c r="M2127" s="2237"/>
      <c r="N2127" s="2238"/>
    </row>
    <row r="2128" spans="13:14">
      <c r="M2128" s="2237"/>
      <c r="N2128" s="2238"/>
    </row>
    <row r="2129" spans="13:14">
      <c r="M2129" s="2237"/>
      <c r="N2129" s="2238"/>
    </row>
    <row r="2130" spans="13:14">
      <c r="M2130" s="2237"/>
      <c r="N2130" s="2238"/>
    </row>
    <row r="2131" spans="13:14">
      <c r="M2131" s="2237"/>
      <c r="N2131" s="2238"/>
    </row>
    <row r="2132" spans="13:14">
      <c r="M2132" s="2237"/>
      <c r="N2132" s="2238"/>
    </row>
    <row r="2133" spans="13:14">
      <c r="M2133" s="2237"/>
      <c r="N2133" s="2238"/>
    </row>
    <row r="2134" spans="13:14">
      <c r="M2134" s="2237"/>
      <c r="N2134" s="2238"/>
    </row>
    <row r="2135" spans="13:14">
      <c r="M2135" s="2237"/>
      <c r="N2135" s="2238"/>
    </row>
    <row r="2136" spans="13:14">
      <c r="M2136" s="2237"/>
      <c r="N2136" s="2238"/>
    </row>
    <row r="2137" spans="13:14">
      <c r="M2137" s="2237"/>
      <c r="N2137" s="2238"/>
    </row>
    <row r="2138" spans="13:14">
      <c r="M2138" s="2237"/>
      <c r="N2138" s="2238"/>
    </row>
    <row r="2139" spans="13:14">
      <c r="M2139" s="2237"/>
      <c r="N2139" s="2238"/>
    </row>
    <row r="2140" spans="13:14">
      <c r="M2140" s="2237"/>
      <c r="N2140" s="2238"/>
    </row>
    <row r="2141" spans="13:14">
      <c r="M2141" s="2237"/>
      <c r="N2141" s="2238"/>
    </row>
    <row r="2142" spans="13:14">
      <c r="M2142" s="2237"/>
      <c r="N2142" s="2238"/>
    </row>
    <row r="2143" spans="13:14">
      <c r="M2143" s="2237"/>
      <c r="N2143" s="2238"/>
    </row>
    <row r="2144" spans="13:14">
      <c r="M2144" s="2237"/>
      <c r="N2144" s="2238"/>
    </row>
    <row r="2145" spans="13:14">
      <c r="M2145" s="2237"/>
      <c r="N2145" s="2238"/>
    </row>
    <row r="2146" spans="13:14">
      <c r="M2146" s="2237"/>
      <c r="N2146" s="2238"/>
    </row>
    <row r="2147" spans="13:14">
      <c r="M2147" s="2237"/>
      <c r="N2147" s="2238"/>
    </row>
    <row r="2148" spans="13:14">
      <c r="M2148" s="2237"/>
      <c r="N2148" s="2238"/>
    </row>
    <row r="2149" spans="13:14">
      <c r="M2149" s="2237"/>
      <c r="N2149" s="2238"/>
    </row>
    <row r="2150" spans="13:14">
      <c r="M2150" s="2237"/>
      <c r="N2150" s="2238"/>
    </row>
    <row r="2151" spans="13:14">
      <c r="M2151" s="2237"/>
      <c r="N2151" s="2238"/>
    </row>
    <row r="2152" spans="13:14">
      <c r="M2152" s="2237"/>
      <c r="N2152" s="2238"/>
    </row>
    <row r="2153" spans="13:14">
      <c r="M2153" s="2237"/>
      <c r="N2153" s="2238"/>
    </row>
    <row r="2154" spans="13:14">
      <c r="M2154" s="2237"/>
      <c r="N2154" s="2238"/>
    </row>
    <row r="2155" spans="13:14">
      <c r="M2155" s="2237"/>
      <c r="N2155" s="2238"/>
    </row>
    <row r="2156" spans="13:14">
      <c r="M2156" s="2237"/>
      <c r="N2156" s="2238"/>
    </row>
    <row r="2157" spans="13:14">
      <c r="M2157" s="2237"/>
      <c r="N2157" s="2238"/>
    </row>
    <row r="2158" spans="13:14">
      <c r="M2158" s="2237"/>
      <c r="N2158" s="2238"/>
    </row>
    <row r="2159" spans="13:14">
      <c r="M2159" s="2237"/>
      <c r="N2159" s="2238"/>
    </row>
    <row r="2160" spans="13:14">
      <c r="M2160" s="2237"/>
      <c r="N2160" s="2238"/>
    </row>
    <row r="2161" spans="13:14">
      <c r="M2161" s="2237"/>
      <c r="N2161" s="2238"/>
    </row>
    <row r="2162" spans="13:14">
      <c r="M2162" s="2237"/>
      <c r="N2162" s="2238"/>
    </row>
    <row r="2163" spans="13:14">
      <c r="M2163" s="2237"/>
      <c r="N2163" s="2238"/>
    </row>
    <row r="2164" spans="13:14">
      <c r="M2164" s="2237"/>
      <c r="N2164" s="2238"/>
    </row>
    <row r="2165" spans="13:14">
      <c r="M2165" s="2237"/>
      <c r="N2165" s="2238"/>
    </row>
    <row r="2166" spans="13:14">
      <c r="M2166" s="2237"/>
      <c r="N2166" s="2238"/>
    </row>
    <row r="2167" spans="13:14">
      <c r="M2167" s="2237"/>
      <c r="N2167" s="2238"/>
    </row>
    <row r="2168" spans="13:14">
      <c r="M2168" s="2237"/>
      <c r="N2168" s="2238"/>
    </row>
    <row r="2169" spans="13:14">
      <c r="M2169" s="2237"/>
      <c r="N2169" s="2238"/>
    </row>
    <row r="2170" spans="13:14">
      <c r="M2170" s="2237"/>
      <c r="N2170" s="2238"/>
    </row>
    <row r="2171" spans="13:14">
      <c r="M2171" s="2237"/>
      <c r="N2171" s="2238"/>
    </row>
    <row r="2172" spans="13:14">
      <c r="M2172" s="2237"/>
      <c r="N2172" s="2238"/>
    </row>
    <row r="2173" spans="13:14">
      <c r="M2173" s="2237"/>
      <c r="N2173" s="2238"/>
    </row>
    <row r="2174" spans="13:14">
      <c r="M2174" s="2237"/>
      <c r="N2174" s="2238"/>
    </row>
    <row r="2175" spans="13:14">
      <c r="M2175" s="2237"/>
      <c r="N2175" s="2238"/>
    </row>
    <row r="2176" spans="13:14">
      <c r="M2176" s="2237"/>
      <c r="N2176" s="2238"/>
    </row>
    <row r="2177" spans="13:14">
      <c r="M2177" s="2237"/>
      <c r="N2177" s="2238"/>
    </row>
    <row r="2178" spans="13:14">
      <c r="M2178" s="2237"/>
      <c r="N2178" s="2238"/>
    </row>
    <row r="2179" spans="13:14">
      <c r="M2179" s="2237"/>
      <c r="N2179" s="2238"/>
    </row>
    <row r="2180" spans="13:14">
      <c r="M2180" s="2237"/>
      <c r="N2180" s="2238"/>
    </row>
    <row r="2181" spans="13:14">
      <c r="M2181" s="2237"/>
      <c r="N2181" s="2238"/>
    </row>
    <row r="2182" spans="13:14">
      <c r="M2182" s="2237"/>
      <c r="N2182" s="2238"/>
    </row>
    <row r="2183" spans="13:14">
      <c r="M2183" s="2237"/>
      <c r="N2183" s="2238"/>
    </row>
    <row r="2184" spans="13:14">
      <c r="M2184" s="2237"/>
      <c r="N2184" s="2238"/>
    </row>
    <row r="2185" spans="13:14">
      <c r="M2185" s="2237"/>
      <c r="N2185" s="2238"/>
    </row>
    <row r="2186" spans="13:14">
      <c r="M2186" s="2237"/>
      <c r="N2186" s="2238"/>
    </row>
    <row r="2187" spans="13:14">
      <c r="M2187" s="2237"/>
      <c r="N2187" s="2238"/>
    </row>
    <row r="2188" spans="13:14">
      <c r="M2188" s="2237"/>
      <c r="N2188" s="2238"/>
    </row>
    <row r="2189" spans="13:14">
      <c r="M2189" s="2237"/>
      <c r="N2189" s="2238"/>
    </row>
    <row r="2190" spans="13:14">
      <c r="M2190" s="2237"/>
      <c r="N2190" s="2238"/>
    </row>
    <row r="2191" spans="13:14">
      <c r="M2191" s="2237"/>
      <c r="N2191" s="2238"/>
    </row>
    <row r="2192" spans="13:14">
      <c r="M2192" s="2237"/>
      <c r="N2192" s="2238"/>
    </row>
    <row r="2193" spans="13:14">
      <c r="M2193" s="2237"/>
      <c r="N2193" s="2238"/>
    </row>
    <row r="2194" spans="13:14">
      <c r="M2194" s="2237"/>
      <c r="N2194" s="2238"/>
    </row>
    <row r="2195" spans="13:14">
      <c r="M2195" s="2237"/>
      <c r="N2195" s="2238"/>
    </row>
    <row r="2196" spans="13:14">
      <c r="M2196" s="2237"/>
      <c r="N2196" s="2238"/>
    </row>
    <row r="2197" spans="13:14">
      <c r="M2197" s="2237"/>
      <c r="N2197" s="2238"/>
    </row>
    <row r="2198" spans="13:14">
      <c r="M2198" s="2237"/>
      <c r="N2198" s="2238"/>
    </row>
    <row r="2199" spans="13:14">
      <c r="M2199" s="2237"/>
      <c r="N2199" s="2238"/>
    </row>
    <row r="2200" spans="13:14">
      <c r="M2200" s="2237"/>
      <c r="N2200" s="2238"/>
    </row>
    <row r="2201" spans="13:14">
      <c r="M2201" s="2237"/>
      <c r="N2201" s="2238"/>
    </row>
    <row r="2202" spans="13:14">
      <c r="M2202" s="2237"/>
      <c r="N2202" s="2238"/>
    </row>
    <row r="2203" spans="13:14">
      <c r="M2203" s="2237"/>
      <c r="N2203" s="2238"/>
    </row>
    <row r="2204" spans="13:14">
      <c r="M2204" s="2237"/>
      <c r="N2204" s="2238"/>
    </row>
    <row r="2205" spans="13:14">
      <c r="M2205" s="2237"/>
      <c r="N2205" s="2238"/>
    </row>
    <row r="2206" spans="13:14">
      <c r="M2206" s="2237"/>
      <c r="N2206" s="2238"/>
    </row>
    <row r="2207" spans="13:14">
      <c r="M2207" s="2237"/>
      <c r="N2207" s="2238"/>
    </row>
    <row r="2208" spans="13:14">
      <c r="M2208" s="2237"/>
      <c r="N2208" s="2238"/>
    </row>
    <row r="2209" spans="13:14">
      <c r="M2209" s="2237"/>
      <c r="N2209" s="2238"/>
    </row>
    <row r="2210" spans="13:14">
      <c r="M2210" s="2237"/>
      <c r="N2210" s="2238"/>
    </row>
    <row r="2211" spans="13:14">
      <c r="M2211" s="2237"/>
      <c r="N2211" s="2238"/>
    </row>
    <row r="2212" spans="13:14">
      <c r="M2212" s="2237"/>
      <c r="N2212" s="2238"/>
    </row>
    <row r="2213" spans="13:14">
      <c r="M2213" s="2237"/>
      <c r="N2213" s="2238"/>
    </row>
    <row r="2214" spans="13:14">
      <c r="M2214" s="2237"/>
      <c r="N2214" s="2238"/>
    </row>
    <row r="2215" spans="13:14">
      <c r="M2215" s="2237"/>
      <c r="N2215" s="2238"/>
    </row>
    <row r="2216" spans="13:14">
      <c r="M2216" s="2237"/>
      <c r="N2216" s="2238"/>
    </row>
    <row r="2217" spans="13:14">
      <c r="M2217" s="2237"/>
      <c r="N2217" s="2238"/>
    </row>
    <row r="2218" spans="13:14">
      <c r="M2218" s="2237"/>
      <c r="N2218" s="2238"/>
    </row>
    <row r="2219" spans="13:14">
      <c r="M2219" s="2237"/>
      <c r="N2219" s="2238"/>
    </row>
    <row r="2220" spans="13:14">
      <c r="M2220" s="2237"/>
      <c r="N2220" s="2238"/>
    </row>
    <row r="2221" spans="13:14">
      <c r="M2221" s="2237"/>
      <c r="N2221" s="2238"/>
    </row>
    <row r="2222" spans="13:14">
      <c r="M2222" s="2237"/>
      <c r="N2222" s="2238"/>
    </row>
    <row r="2223" spans="13:14">
      <c r="M2223" s="2237"/>
      <c r="N2223" s="2238"/>
    </row>
    <row r="2224" spans="13:14">
      <c r="M2224" s="2237"/>
      <c r="N2224" s="2238"/>
    </row>
    <row r="2225" spans="13:14">
      <c r="M2225" s="2237"/>
      <c r="N2225" s="2238"/>
    </row>
    <row r="2226" spans="13:14">
      <c r="M2226" s="2237"/>
      <c r="N2226" s="2238"/>
    </row>
    <row r="2227" spans="13:14">
      <c r="M2227" s="2237"/>
      <c r="N2227" s="2238"/>
    </row>
    <row r="2228" spans="13:14">
      <c r="M2228" s="2237"/>
      <c r="N2228" s="2238"/>
    </row>
    <row r="2229" spans="13:14">
      <c r="M2229" s="2237"/>
      <c r="N2229" s="2238"/>
    </row>
    <row r="2230" spans="13:14">
      <c r="M2230" s="2237"/>
      <c r="N2230" s="2238"/>
    </row>
    <row r="2231" spans="13:14">
      <c r="M2231" s="2237"/>
      <c r="N2231" s="2238"/>
    </row>
    <row r="2232" spans="13:14">
      <c r="M2232" s="2237"/>
      <c r="N2232" s="2238"/>
    </row>
    <row r="2233" spans="13:14">
      <c r="M2233" s="2237"/>
      <c r="N2233" s="2238"/>
    </row>
    <row r="2234" spans="13:14">
      <c r="M2234" s="2237"/>
      <c r="N2234" s="2238"/>
    </row>
    <row r="2235" spans="13:14">
      <c r="M2235" s="2237"/>
      <c r="N2235" s="2238"/>
    </row>
    <row r="2236" spans="13:14">
      <c r="M2236" s="2237"/>
      <c r="N2236" s="2238"/>
    </row>
    <row r="2237" spans="13:14">
      <c r="M2237" s="2237"/>
      <c r="N2237" s="2238"/>
    </row>
    <row r="2238" spans="13:14">
      <c r="M2238" s="2237"/>
      <c r="N2238" s="2238"/>
    </row>
    <row r="2239" spans="13:14">
      <c r="M2239" s="2237"/>
      <c r="N2239" s="2238"/>
    </row>
    <row r="2240" spans="13:14">
      <c r="M2240" s="2237"/>
      <c r="N2240" s="2238"/>
    </row>
    <row r="2241" spans="13:14">
      <c r="M2241" s="2237"/>
      <c r="N2241" s="2238"/>
    </row>
    <row r="2242" spans="13:14">
      <c r="M2242" s="2237"/>
      <c r="N2242" s="2238"/>
    </row>
    <row r="2243" spans="13:14">
      <c r="M2243" s="2237"/>
      <c r="N2243" s="2238"/>
    </row>
    <row r="2244" spans="13:14">
      <c r="M2244" s="2237"/>
      <c r="N2244" s="2238"/>
    </row>
    <row r="2245" spans="13:14">
      <c r="M2245" s="2237"/>
      <c r="N2245" s="2238"/>
    </row>
    <row r="2246" spans="13:14">
      <c r="M2246" s="2237"/>
      <c r="N2246" s="2238"/>
    </row>
    <row r="2247" spans="13:14">
      <c r="M2247" s="2237"/>
      <c r="N2247" s="2238"/>
    </row>
    <row r="2248" spans="13:14">
      <c r="M2248" s="2237"/>
      <c r="N2248" s="2238"/>
    </row>
    <row r="2249" spans="13:14">
      <c r="M2249" s="2237"/>
      <c r="N2249" s="2238"/>
    </row>
    <row r="2250" spans="13:14">
      <c r="M2250" s="2237"/>
      <c r="N2250" s="2238"/>
    </row>
    <row r="2251" spans="13:14">
      <c r="M2251" s="2237"/>
      <c r="N2251" s="2238"/>
    </row>
    <row r="2252" spans="13:14">
      <c r="M2252" s="2237"/>
      <c r="N2252" s="2238"/>
    </row>
    <row r="2253" spans="13:14">
      <c r="M2253" s="2237"/>
      <c r="N2253" s="2238"/>
    </row>
    <row r="2254" spans="13:14">
      <c r="M2254" s="2237"/>
      <c r="N2254" s="2238"/>
    </row>
    <row r="2255" spans="13:14">
      <c r="M2255" s="2237"/>
      <c r="N2255" s="2238"/>
    </row>
    <row r="2256" spans="13:14">
      <c r="M2256" s="2237"/>
      <c r="N2256" s="2238"/>
    </row>
    <row r="2257" spans="13:14">
      <c r="M2257" s="2237"/>
      <c r="N2257" s="2238"/>
    </row>
    <row r="2258" spans="13:14">
      <c r="M2258" s="2237"/>
      <c r="N2258" s="2238"/>
    </row>
    <row r="2259" spans="13:14">
      <c r="M2259" s="2237"/>
      <c r="N2259" s="2238"/>
    </row>
    <row r="2260" spans="13:14">
      <c r="M2260" s="2237"/>
      <c r="N2260" s="2238"/>
    </row>
    <row r="2261" spans="13:14">
      <c r="M2261" s="2237"/>
      <c r="N2261" s="2238"/>
    </row>
    <row r="2262" spans="13:14">
      <c r="M2262" s="2237"/>
      <c r="N2262" s="2238"/>
    </row>
    <row r="2263" spans="13:14">
      <c r="M2263" s="2237"/>
      <c r="N2263" s="2238"/>
    </row>
    <row r="2264" spans="13:14">
      <c r="M2264" s="2237"/>
      <c r="N2264" s="2238"/>
    </row>
    <row r="2265" spans="13:14">
      <c r="M2265" s="2237"/>
      <c r="N2265" s="2238"/>
    </row>
    <row r="2266" spans="13:14">
      <c r="M2266" s="2237"/>
      <c r="N2266" s="2238"/>
    </row>
    <row r="2267" spans="13:14">
      <c r="M2267" s="2237"/>
      <c r="N2267" s="2238"/>
    </row>
    <row r="2268" spans="13:14">
      <c r="M2268" s="2237"/>
      <c r="N2268" s="2238"/>
    </row>
    <row r="2269" spans="13:14">
      <c r="M2269" s="2237"/>
      <c r="N2269" s="2238"/>
    </row>
    <row r="2270" spans="13:14">
      <c r="M2270" s="2237"/>
      <c r="N2270" s="2238"/>
    </row>
    <row r="2271" spans="13:14">
      <c r="M2271" s="2237"/>
      <c r="N2271" s="2238"/>
    </row>
    <row r="2272" spans="13:14">
      <c r="M2272" s="2237"/>
      <c r="N2272" s="2238"/>
    </row>
    <row r="2273" spans="13:14">
      <c r="M2273" s="2237"/>
      <c r="N2273" s="2238"/>
    </row>
    <row r="2274" spans="13:14">
      <c r="M2274" s="2237"/>
      <c r="N2274" s="2238"/>
    </row>
    <row r="2275" spans="13:14">
      <c r="M2275" s="2237"/>
      <c r="N2275" s="2238"/>
    </row>
    <row r="2276" spans="13:14">
      <c r="M2276" s="2237"/>
      <c r="N2276" s="2238"/>
    </row>
    <row r="2277" spans="13:14">
      <c r="M2277" s="2237"/>
      <c r="N2277" s="2238"/>
    </row>
    <row r="2278" spans="13:14">
      <c r="M2278" s="2237"/>
      <c r="N2278" s="2238"/>
    </row>
    <row r="2279" spans="13:14">
      <c r="M2279" s="2237"/>
      <c r="N2279" s="2238"/>
    </row>
    <row r="2280" spans="13:14">
      <c r="M2280" s="2237"/>
      <c r="N2280" s="2238"/>
    </row>
    <row r="2281" spans="13:14">
      <c r="M2281" s="2237"/>
      <c r="N2281" s="2238"/>
    </row>
    <row r="2282" spans="13:14">
      <c r="M2282" s="2237"/>
      <c r="N2282" s="2238"/>
    </row>
    <row r="2283" spans="13:14">
      <c r="M2283" s="2237"/>
      <c r="N2283" s="2238"/>
    </row>
    <row r="2284" spans="13:14">
      <c r="M2284" s="2237"/>
      <c r="N2284" s="2238"/>
    </row>
    <row r="2285" spans="13:14">
      <c r="M2285" s="2237"/>
      <c r="N2285" s="2238"/>
    </row>
    <row r="2286" spans="13:14">
      <c r="M2286" s="2237"/>
      <c r="N2286" s="2238"/>
    </row>
    <row r="2287" spans="13:14">
      <c r="M2287" s="2237"/>
      <c r="N2287" s="2238"/>
    </row>
    <row r="2288" spans="13:14">
      <c r="M2288" s="2237"/>
      <c r="N2288" s="2238"/>
    </row>
    <row r="2289" spans="13:14">
      <c r="M2289" s="2237"/>
      <c r="N2289" s="2238"/>
    </row>
    <row r="2290" spans="13:14">
      <c r="M2290" s="2237"/>
      <c r="N2290" s="2238"/>
    </row>
    <row r="2291" spans="13:14">
      <c r="M2291" s="2237"/>
      <c r="N2291" s="2238"/>
    </row>
    <row r="2292" spans="13:14">
      <c r="M2292" s="2237"/>
      <c r="N2292" s="2238"/>
    </row>
    <row r="2293" spans="13:14">
      <c r="M2293" s="2237"/>
      <c r="N2293" s="2238"/>
    </row>
    <row r="2294" spans="13:14">
      <c r="M2294" s="2237"/>
      <c r="N2294" s="2238"/>
    </row>
    <row r="2295" spans="13:14">
      <c r="M2295" s="2237"/>
      <c r="N2295" s="2238"/>
    </row>
    <row r="2296" spans="13:14">
      <c r="M2296" s="2237"/>
      <c r="N2296" s="2238"/>
    </row>
    <row r="2297" spans="13:14">
      <c r="M2297" s="2237"/>
      <c r="N2297" s="2238"/>
    </row>
    <row r="2298" spans="13:14">
      <c r="M2298" s="2237"/>
      <c r="N2298" s="2238"/>
    </row>
    <row r="2299" spans="13:14">
      <c r="M2299" s="2237"/>
      <c r="N2299" s="2238"/>
    </row>
    <row r="2300" spans="13:14">
      <c r="M2300" s="2237"/>
      <c r="N2300" s="2238"/>
    </row>
    <row r="2301" spans="13:14">
      <c r="M2301" s="2237"/>
      <c r="N2301" s="2238"/>
    </row>
    <row r="2302" spans="13:14">
      <c r="M2302" s="2237"/>
      <c r="N2302" s="2238"/>
    </row>
    <row r="2303" spans="13:14">
      <c r="M2303" s="2237"/>
      <c r="N2303" s="2238"/>
    </row>
    <row r="2304" spans="13:14">
      <c r="M2304" s="2237"/>
      <c r="N2304" s="2238"/>
    </row>
    <row r="2305" spans="13:14">
      <c r="M2305" s="2237"/>
      <c r="N2305" s="2238"/>
    </row>
    <row r="2306" spans="13:14">
      <c r="M2306" s="2237"/>
      <c r="N2306" s="2238"/>
    </row>
    <row r="2307" spans="13:14">
      <c r="M2307" s="2237"/>
      <c r="N2307" s="2238"/>
    </row>
    <row r="2308" spans="13:14">
      <c r="M2308" s="2237"/>
      <c r="N2308" s="2238"/>
    </row>
    <row r="2309" spans="13:14">
      <c r="M2309" s="2237"/>
      <c r="N2309" s="2238"/>
    </row>
    <row r="2310" spans="13:14">
      <c r="M2310" s="2237"/>
      <c r="N2310" s="2238"/>
    </row>
    <row r="2311" spans="13:14">
      <c r="M2311" s="2237"/>
      <c r="N2311" s="2238"/>
    </row>
    <row r="2312" spans="13:14">
      <c r="M2312" s="2237"/>
      <c r="N2312" s="2238"/>
    </row>
    <row r="2313" spans="13:14">
      <c r="M2313" s="2237"/>
      <c r="N2313" s="2238"/>
    </row>
    <row r="2314" spans="13:14">
      <c r="M2314" s="2237"/>
      <c r="N2314" s="2238"/>
    </row>
    <row r="2315" spans="13:14">
      <c r="M2315" s="2237"/>
      <c r="N2315" s="2238"/>
    </row>
    <row r="2316" spans="13:14">
      <c r="M2316" s="2237"/>
      <c r="N2316" s="2238"/>
    </row>
    <row r="2317" spans="13:14">
      <c r="M2317" s="2237"/>
      <c r="N2317" s="2238"/>
    </row>
    <row r="2318" spans="13:14">
      <c r="M2318" s="2237"/>
      <c r="N2318" s="2238"/>
    </row>
    <row r="2319" spans="13:14">
      <c r="M2319" s="2237"/>
      <c r="N2319" s="2238"/>
    </row>
    <row r="2320" spans="13:14">
      <c r="M2320" s="2237"/>
      <c r="N2320" s="2238"/>
    </row>
    <row r="2321" spans="13:14">
      <c r="M2321" s="2237"/>
      <c r="N2321" s="2238"/>
    </row>
    <row r="2322" spans="13:14">
      <c r="M2322" s="2237"/>
      <c r="N2322" s="2238"/>
    </row>
    <row r="2323" spans="13:14">
      <c r="M2323" s="2237"/>
      <c r="N2323" s="2238"/>
    </row>
    <row r="2324" spans="13:14">
      <c r="M2324" s="2237"/>
      <c r="N2324" s="2238"/>
    </row>
    <row r="2325" spans="13:14">
      <c r="M2325" s="2237"/>
      <c r="N2325" s="2238"/>
    </row>
    <row r="2326" spans="13:14">
      <c r="M2326" s="2237"/>
      <c r="N2326" s="2238"/>
    </row>
    <row r="2327" spans="13:14">
      <c r="M2327" s="2237"/>
      <c r="N2327" s="2238"/>
    </row>
    <row r="2328" spans="13:14">
      <c r="M2328" s="2237"/>
      <c r="N2328" s="2238"/>
    </row>
    <row r="2329" spans="13:14">
      <c r="M2329" s="2237"/>
      <c r="N2329" s="2238"/>
    </row>
    <row r="2330" spans="13:14">
      <c r="M2330" s="2237"/>
      <c r="N2330" s="2238"/>
    </row>
    <row r="2331" spans="13:14">
      <c r="M2331" s="2237"/>
      <c r="N2331" s="2238"/>
    </row>
    <row r="2332" spans="13:14">
      <c r="M2332" s="2237"/>
      <c r="N2332" s="2238"/>
    </row>
    <row r="2333" spans="13:14">
      <c r="M2333" s="2237"/>
      <c r="N2333" s="2238"/>
    </row>
    <row r="2334" spans="13:14">
      <c r="M2334" s="2237"/>
      <c r="N2334" s="2238"/>
    </row>
    <row r="2335" spans="13:14">
      <c r="M2335" s="2237"/>
      <c r="N2335" s="2238"/>
    </row>
    <row r="2336" spans="13:14">
      <c r="M2336" s="2237"/>
      <c r="N2336" s="2238"/>
    </row>
    <row r="2337" spans="13:14">
      <c r="M2337" s="2237"/>
      <c r="N2337" s="2238"/>
    </row>
    <row r="2338" spans="13:14">
      <c r="M2338" s="2237"/>
      <c r="N2338" s="2238"/>
    </row>
    <row r="2339" spans="13:14">
      <c r="M2339" s="2237"/>
      <c r="N2339" s="2238"/>
    </row>
    <row r="2340" spans="13:14">
      <c r="M2340" s="2237"/>
      <c r="N2340" s="2238"/>
    </row>
    <row r="2341" spans="13:14">
      <c r="M2341" s="2237"/>
      <c r="N2341" s="2238"/>
    </row>
    <row r="2342" spans="13:14">
      <c r="M2342" s="2237"/>
      <c r="N2342" s="2238"/>
    </row>
    <row r="2343" spans="13:14">
      <c r="M2343" s="2237"/>
      <c r="N2343" s="2238"/>
    </row>
    <row r="2344" spans="13:14">
      <c r="M2344" s="2237"/>
      <c r="N2344" s="2238"/>
    </row>
    <row r="2345" spans="13:14">
      <c r="M2345" s="2237"/>
      <c r="N2345" s="2238"/>
    </row>
    <row r="2346" spans="13:14">
      <c r="M2346" s="2237"/>
      <c r="N2346" s="2238"/>
    </row>
    <row r="2347" spans="13:14">
      <c r="M2347" s="2237"/>
      <c r="N2347" s="2238"/>
    </row>
    <row r="2348" spans="13:14">
      <c r="M2348" s="2237"/>
      <c r="N2348" s="2238"/>
    </row>
    <row r="2349" spans="13:14">
      <c r="M2349" s="2237"/>
      <c r="N2349" s="2238"/>
    </row>
    <row r="2350" spans="13:14">
      <c r="M2350" s="2237"/>
      <c r="N2350" s="2238"/>
    </row>
    <row r="2351" spans="13:14">
      <c r="M2351" s="2237"/>
      <c r="N2351" s="2238"/>
    </row>
    <row r="2352" spans="13:14">
      <c r="M2352" s="2237"/>
      <c r="N2352" s="2238"/>
    </row>
    <row r="2353" spans="13:14">
      <c r="M2353" s="2237"/>
      <c r="N2353" s="2238"/>
    </row>
    <row r="2354" spans="13:14">
      <c r="M2354" s="2237"/>
      <c r="N2354" s="2238"/>
    </row>
    <row r="2355" spans="13:14">
      <c r="M2355" s="2237"/>
      <c r="N2355" s="2238"/>
    </row>
    <row r="2356" spans="13:14">
      <c r="M2356" s="2237"/>
      <c r="N2356" s="2238"/>
    </row>
    <row r="2357" spans="13:14">
      <c r="M2357" s="2237"/>
      <c r="N2357" s="2238"/>
    </row>
    <row r="2358" spans="13:14">
      <c r="M2358" s="2237"/>
      <c r="N2358" s="2238"/>
    </row>
    <row r="2359" spans="13:14">
      <c r="M2359" s="2237"/>
      <c r="N2359" s="2238"/>
    </row>
    <row r="2360" spans="13:14">
      <c r="M2360" s="2237"/>
      <c r="N2360" s="2238"/>
    </row>
    <row r="2361" spans="13:14">
      <c r="M2361" s="2237"/>
      <c r="N2361" s="2238"/>
    </row>
    <row r="2362" spans="13:14">
      <c r="M2362" s="2237"/>
      <c r="N2362" s="2238"/>
    </row>
    <row r="2363" spans="13:14">
      <c r="M2363" s="2237"/>
      <c r="N2363" s="2238"/>
    </row>
    <row r="2364" spans="13:14">
      <c r="M2364" s="2237"/>
      <c r="N2364" s="2238"/>
    </row>
    <row r="2365" spans="13:14">
      <c r="M2365" s="2237"/>
      <c r="N2365" s="2238"/>
    </row>
    <row r="2366" spans="13:14">
      <c r="M2366" s="2237"/>
      <c r="N2366" s="2238"/>
    </row>
    <row r="2367" spans="13:14">
      <c r="M2367" s="2237"/>
      <c r="N2367" s="2238"/>
    </row>
    <row r="2368" spans="13:14">
      <c r="M2368" s="2237"/>
      <c r="N2368" s="2238"/>
    </row>
    <row r="2369" spans="13:14">
      <c r="M2369" s="2237"/>
      <c r="N2369" s="2238"/>
    </row>
    <row r="2370" spans="13:14">
      <c r="M2370" s="2237"/>
      <c r="N2370" s="2238"/>
    </row>
    <row r="2371" spans="13:14">
      <c r="M2371" s="2237"/>
      <c r="N2371" s="2238"/>
    </row>
    <row r="2372" spans="13:14">
      <c r="M2372" s="2237"/>
      <c r="N2372" s="2238"/>
    </row>
    <row r="2373" spans="13:14">
      <c r="M2373" s="2237"/>
      <c r="N2373" s="2238"/>
    </row>
    <row r="2374" spans="13:14">
      <c r="M2374" s="2237"/>
      <c r="N2374" s="2238"/>
    </row>
    <row r="2375" spans="13:14">
      <c r="M2375" s="2237"/>
      <c r="N2375" s="2238"/>
    </row>
    <row r="2376" spans="13:14">
      <c r="M2376" s="2237"/>
      <c r="N2376" s="2238"/>
    </row>
    <row r="2377" spans="13:14">
      <c r="M2377" s="2237"/>
      <c r="N2377" s="2238"/>
    </row>
    <row r="2378" spans="13:14">
      <c r="M2378" s="2237"/>
      <c r="N2378" s="2238"/>
    </row>
    <row r="2379" spans="13:14">
      <c r="M2379" s="2237"/>
      <c r="N2379" s="2238"/>
    </row>
    <row r="2380" spans="13:14">
      <c r="M2380" s="2237"/>
      <c r="N2380" s="2238"/>
    </row>
    <row r="2381" spans="13:14">
      <c r="M2381" s="2237"/>
      <c r="N2381" s="2238"/>
    </row>
    <row r="2382" spans="13:14">
      <c r="M2382" s="2237"/>
      <c r="N2382" s="2238"/>
    </row>
    <row r="2383" spans="13:14">
      <c r="M2383" s="2237"/>
      <c r="N2383" s="2238"/>
    </row>
    <row r="2384" spans="13:14">
      <c r="M2384" s="2237"/>
      <c r="N2384" s="2238"/>
    </row>
    <row r="2385" spans="13:14">
      <c r="M2385" s="2237"/>
      <c r="N2385" s="2238"/>
    </row>
    <row r="2386" spans="13:14">
      <c r="M2386" s="2237"/>
      <c r="N2386" s="2238"/>
    </row>
    <row r="2387" spans="13:14">
      <c r="M2387" s="2237"/>
      <c r="N2387" s="2238"/>
    </row>
    <row r="2388" spans="13:14">
      <c r="M2388" s="2237"/>
      <c r="N2388" s="2238"/>
    </row>
    <row r="2389" spans="13:14">
      <c r="M2389" s="2237"/>
      <c r="N2389" s="2238"/>
    </row>
    <row r="2390" spans="13:14">
      <c r="M2390" s="2237"/>
      <c r="N2390" s="2238"/>
    </row>
    <row r="2391" spans="13:14">
      <c r="M2391" s="2237"/>
      <c r="N2391" s="2238"/>
    </row>
    <row r="2392" spans="13:14">
      <c r="M2392" s="2237"/>
      <c r="N2392" s="2238"/>
    </row>
    <row r="2393" spans="13:14">
      <c r="M2393" s="2237"/>
      <c r="N2393" s="2238"/>
    </row>
    <row r="2394" spans="13:14">
      <c r="M2394" s="2237"/>
      <c r="N2394" s="2238"/>
    </row>
    <row r="2395" spans="13:14">
      <c r="M2395" s="2237"/>
      <c r="N2395" s="2238"/>
    </row>
    <row r="2396" spans="13:14">
      <c r="M2396" s="2237"/>
      <c r="N2396" s="2238"/>
    </row>
    <row r="2397" spans="13:14">
      <c r="M2397" s="2237"/>
      <c r="N2397" s="2238"/>
    </row>
    <row r="2398" spans="13:14">
      <c r="M2398" s="2237"/>
      <c r="N2398" s="2238"/>
    </row>
    <row r="2399" spans="13:14">
      <c r="M2399" s="2237"/>
      <c r="N2399" s="2238"/>
    </row>
    <row r="2400" spans="13:14">
      <c r="M2400" s="2237"/>
      <c r="N2400" s="2238"/>
    </row>
    <row r="2401" spans="13:14">
      <c r="M2401" s="2237"/>
      <c r="N2401" s="2238"/>
    </row>
    <row r="2402" spans="13:14">
      <c r="M2402" s="2237"/>
      <c r="N2402" s="2238"/>
    </row>
    <row r="2403" spans="13:14">
      <c r="M2403" s="2237"/>
      <c r="N2403" s="2238"/>
    </row>
    <row r="2404" spans="13:14">
      <c r="M2404" s="2237"/>
      <c r="N2404" s="2238"/>
    </row>
    <row r="2405" spans="13:14">
      <c r="M2405" s="2237"/>
      <c r="N2405" s="2238"/>
    </row>
    <row r="2406" spans="13:14">
      <c r="M2406" s="2237"/>
      <c r="N2406" s="2238"/>
    </row>
    <row r="2407" spans="13:14">
      <c r="M2407" s="2237"/>
      <c r="N2407" s="2238"/>
    </row>
    <row r="2408" spans="13:14">
      <c r="M2408" s="2237"/>
      <c r="N2408" s="2238"/>
    </row>
    <row r="2409" spans="13:14">
      <c r="M2409" s="2237"/>
      <c r="N2409" s="2238"/>
    </row>
    <row r="2410" spans="13:14">
      <c r="M2410" s="2237"/>
      <c r="N2410" s="2238"/>
    </row>
    <row r="2411" spans="13:14">
      <c r="M2411" s="2237"/>
      <c r="N2411" s="2238"/>
    </row>
    <row r="2412" spans="13:14">
      <c r="M2412" s="2237"/>
      <c r="N2412" s="2238"/>
    </row>
    <row r="2413" spans="13:14">
      <c r="M2413" s="2237"/>
      <c r="N2413" s="2238"/>
    </row>
    <row r="2414" spans="13:14">
      <c r="M2414" s="2237"/>
      <c r="N2414" s="2238"/>
    </row>
    <row r="2415" spans="13:14">
      <c r="M2415" s="2237"/>
      <c r="N2415" s="2238"/>
    </row>
    <row r="2416" spans="13:14">
      <c r="M2416" s="2237"/>
      <c r="N2416" s="2238"/>
    </row>
    <row r="2417" spans="13:14">
      <c r="M2417" s="2237"/>
      <c r="N2417" s="2238"/>
    </row>
    <row r="2418" spans="13:14">
      <c r="M2418" s="2237"/>
      <c r="N2418" s="2238"/>
    </row>
    <row r="2419" spans="13:14">
      <c r="M2419" s="2237"/>
      <c r="N2419" s="2238"/>
    </row>
    <row r="2420" spans="13:14">
      <c r="M2420" s="2237"/>
      <c r="N2420" s="2238"/>
    </row>
    <row r="2421" spans="13:14">
      <c r="M2421" s="2237"/>
      <c r="N2421" s="2238"/>
    </row>
    <row r="2422" spans="13:14">
      <c r="M2422" s="2237"/>
      <c r="N2422" s="2238"/>
    </row>
    <row r="2423" spans="13:14">
      <c r="M2423" s="2237"/>
      <c r="N2423" s="2238"/>
    </row>
    <row r="2424" spans="13:14">
      <c r="M2424" s="2237"/>
      <c r="N2424" s="2238"/>
    </row>
    <row r="2425" spans="13:14">
      <c r="M2425" s="2237"/>
      <c r="N2425" s="2238"/>
    </row>
    <row r="2426" spans="13:14">
      <c r="M2426" s="2237"/>
      <c r="N2426" s="2238"/>
    </row>
    <row r="2427" spans="13:14">
      <c r="M2427" s="2237"/>
      <c r="N2427" s="2238"/>
    </row>
    <row r="2428" spans="13:14">
      <c r="M2428" s="2237"/>
      <c r="N2428" s="2238"/>
    </row>
    <row r="2429" spans="13:14">
      <c r="M2429" s="2237"/>
      <c r="N2429" s="2238"/>
    </row>
    <row r="2430" spans="13:14">
      <c r="M2430" s="2237"/>
      <c r="N2430" s="2238"/>
    </row>
    <row r="2431" spans="13:14">
      <c r="M2431" s="2237"/>
      <c r="N2431" s="2238"/>
    </row>
    <row r="2432" spans="13:14">
      <c r="M2432" s="2237"/>
      <c r="N2432" s="2238"/>
    </row>
    <row r="2433" spans="13:14">
      <c r="M2433" s="2237"/>
      <c r="N2433" s="2238"/>
    </row>
    <row r="2434" spans="13:14">
      <c r="M2434" s="2237"/>
      <c r="N2434" s="2238"/>
    </row>
    <row r="2435" spans="13:14">
      <c r="M2435" s="2237"/>
      <c r="N2435" s="2238"/>
    </row>
    <row r="2436" spans="13:14">
      <c r="M2436" s="2237"/>
      <c r="N2436" s="2238"/>
    </row>
    <row r="2437" spans="13:14">
      <c r="M2437" s="2237"/>
      <c r="N2437" s="2238"/>
    </row>
    <row r="2438" spans="13:14">
      <c r="M2438" s="2237"/>
      <c r="N2438" s="2238"/>
    </row>
    <row r="2439" spans="13:14">
      <c r="M2439" s="2237"/>
      <c r="N2439" s="2238"/>
    </row>
    <row r="2440" spans="13:14">
      <c r="M2440" s="2237"/>
      <c r="N2440" s="2238"/>
    </row>
    <row r="2441" spans="13:14">
      <c r="M2441" s="2237"/>
      <c r="N2441" s="2238"/>
    </row>
    <row r="2442" spans="13:14">
      <c r="M2442" s="2237"/>
      <c r="N2442" s="2238"/>
    </row>
    <row r="2443" spans="13:14">
      <c r="M2443" s="2237"/>
      <c r="N2443" s="2238"/>
    </row>
    <row r="2444" spans="13:14">
      <c r="M2444" s="2237"/>
      <c r="N2444" s="2238"/>
    </row>
    <row r="2445" spans="13:14">
      <c r="M2445" s="2237"/>
      <c r="N2445" s="2238"/>
    </row>
    <row r="2446" spans="13:14">
      <c r="M2446" s="2237"/>
      <c r="N2446" s="2238"/>
    </row>
    <row r="2447" spans="13:14">
      <c r="M2447" s="2237"/>
      <c r="N2447" s="2238"/>
    </row>
    <row r="2448" spans="13:14">
      <c r="M2448" s="2237"/>
      <c r="N2448" s="2238"/>
    </row>
    <row r="2449" spans="13:14">
      <c r="M2449" s="2237"/>
      <c r="N2449" s="2238"/>
    </row>
    <row r="2450" spans="13:14">
      <c r="M2450" s="2237"/>
      <c r="N2450" s="2238"/>
    </row>
    <row r="2451" spans="13:14">
      <c r="M2451" s="2237"/>
      <c r="N2451" s="2238"/>
    </row>
    <row r="2452" spans="13:14">
      <c r="M2452" s="2237"/>
      <c r="N2452" s="2238"/>
    </row>
    <row r="2453" spans="13:14">
      <c r="M2453" s="2237"/>
      <c r="N2453" s="2238"/>
    </row>
    <row r="2454" spans="13:14">
      <c r="M2454" s="2237"/>
      <c r="N2454" s="2238"/>
    </row>
    <row r="2455" spans="13:14">
      <c r="M2455" s="2237"/>
      <c r="N2455" s="2238"/>
    </row>
    <row r="2456" spans="13:14">
      <c r="M2456" s="2237"/>
      <c r="N2456" s="2238"/>
    </row>
    <row r="2457" spans="13:14">
      <c r="M2457" s="2237"/>
      <c r="N2457" s="2238"/>
    </row>
    <row r="2458" spans="13:14">
      <c r="M2458" s="2237"/>
      <c r="N2458" s="2238"/>
    </row>
    <row r="2459" spans="13:14">
      <c r="M2459" s="2237"/>
      <c r="N2459" s="2238"/>
    </row>
    <row r="2460" spans="13:14">
      <c r="M2460" s="2237"/>
      <c r="N2460" s="2238"/>
    </row>
    <row r="2461" spans="13:14">
      <c r="M2461" s="2237"/>
      <c r="N2461" s="2238"/>
    </row>
    <row r="2462" spans="13:14">
      <c r="M2462" s="2237"/>
      <c r="N2462" s="2238"/>
    </row>
    <row r="2463" spans="13:14">
      <c r="M2463" s="2237"/>
      <c r="N2463" s="2238"/>
    </row>
    <row r="2464" spans="13:14">
      <c r="M2464" s="2237"/>
      <c r="N2464" s="2238"/>
    </row>
    <row r="2465" spans="13:14">
      <c r="M2465" s="2237"/>
      <c r="N2465" s="2238"/>
    </row>
    <row r="2466" spans="13:14">
      <c r="M2466" s="2237"/>
      <c r="N2466" s="2238"/>
    </row>
    <row r="2467" spans="13:14">
      <c r="M2467" s="2237"/>
      <c r="N2467" s="2238"/>
    </row>
    <row r="2468" spans="13:14">
      <c r="M2468" s="2237"/>
      <c r="N2468" s="2238"/>
    </row>
    <row r="2469" spans="13:14">
      <c r="M2469" s="2237"/>
      <c r="N2469" s="2238"/>
    </row>
    <row r="2470" spans="13:14">
      <c r="M2470" s="2237"/>
      <c r="N2470" s="2238"/>
    </row>
    <row r="2471" spans="13:14">
      <c r="M2471" s="2237"/>
      <c r="N2471" s="2238"/>
    </row>
    <row r="2472" spans="13:14">
      <c r="M2472" s="2237"/>
      <c r="N2472" s="2238"/>
    </row>
    <row r="2473" spans="13:14">
      <c r="M2473" s="2237"/>
      <c r="N2473" s="2238"/>
    </row>
    <row r="2474" spans="13:14">
      <c r="M2474" s="2237"/>
      <c r="N2474" s="2238"/>
    </row>
    <row r="2475" spans="13:14">
      <c r="M2475" s="2237"/>
      <c r="N2475" s="2238"/>
    </row>
    <row r="2476" spans="13:14">
      <c r="M2476" s="2237"/>
      <c r="N2476" s="2238"/>
    </row>
    <row r="2477" spans="13:14">
      <c r="M2477" s="2237"/>
      <c r="N2477" s="2238"/>
    </row>
    <row r="2478" spans="13:14">
      <c r="M2478" s="2237"/>
      <c r="N2478" s="2238"/>
    </row>
    <row r="2479" spans="13:14">
      <c r="M2479" s="2237"/>
      <c r="N2479" s="2238"/>
    </row>
    <row r="2480" spans="13:14">
      <c r="M2480" s="2237"/>
      <c r="N2480" s="2238"/>
    </row>
    <row r="2481" spans="13:14">
      <c r="M2481" s="2237"/>
      <c r="N2481" s="2238"/>
    </row>
    <row r="2482" spans="13:14">
      <c r="M2482" s="2237"/>
      <c r="N2482" s="2238"/>
    </row>
    <row r="2483" spans="13:14">
      <c r="M2483" s="2237"/>
      <c r="N2483" s="2238"/>
    </row>
    <row r="2484" spans="13:14">
      <c r="M2484" s="2237"/>
      <c r="N2484" s="2238"/>
    </row>
    <row r="2485" spans="13:14">
      <c r="M2485" s="2237"/>
      <c r="N2485" s="2238"/>
    </row>
    <row r="2486" spans="13:14">
      <c r="M2486" s="2237"/>
      <c r="N2486" s="2238"/>
    </row>
    <row r="2487" spans="13:14">
      <c r="M2487" s="2237"/>
      <c r="N2487" s="2238"/>
    </row>
    <row r="2488" spans="13:14">
      <c r="M2488" s="2237"/>
      <c r="N2488" s="2238"/>
    </row>
    <row r="2489" spans="13:14">
      <c r="M2489" s="2237"/>
      <c r="N2489" s="2238"/>
    </row>
    <row r="2490" spans="13:14">
      <c r="M2490" s="2237"/>
      <c r="N2490" s="2238"/>
    </row>
    <row r="2491" spans="13:14">
      <c r="M2491" s="2237"/>
      <c r="N2491" s="2238"/>
    </row>
    <row r="2492" spans="13:14">
      <c r="M2492" s="2237"/>
      <c r="N2492" s="2238"/>
    </row>
    <row r="2493" spans="13:14">
      <c r="M2493" s="2237"/>
      <c r="N2493" s="2238"/>
    </row>
    <row r="2494" spans="13:14">
      <c r="M2494" s="2237"/>
      <c r="N2494" s="2238"/>
    </row>
    <row r="2495" spans="13:14">
      <c r="M2495" s="2237"/>
      <c r="N2495" s="2238"/>
    </row>
    <row r="2496" spans="13:14">
      <c r="M2496" s="2237"/>
      <c r="N2496" s="2238"/>
    </row>
    <row r="2497" spans="13:14">
      <c r="M2497" s="2237"/>
      <c r="N2497" s="2238"/>
    </row>
    <row r="2498" spans="13:14">
      <c r="M2498" s="2237"/>
      <c r="N2498" s="2238"/>
    </row>
    <row r="2499" spans="13:14">
      <c r="M2499" s="2237"/>
      <c r="N2499" s="2238"/>
    </row>
    <row r="2500" spans="13:14">
      <c r="M2500" s="2237"/>
      <c r="N2500" s="2238"/>
    </row>
    <row r="2501" spans="13:14">
      <c r="M2501" s="2237"/>
      <c r="N2501" s="2238"/>
    </row>
    <row r="2502" spans="13:14">
      <c r="M2502" s="2237"/>
      <c r="N2502" s="2238"/>
    </row>
    <row r="2503" spans="13:14">
      <c r="M2503" s="2237"/>
      <c r="N2503" s="2238"/>
    </row>
    <row r="2504" spans="13:14">
      <c r="M2504" s="2237"/>
      <c r="N2504" s="2238"/>
    </row>
    <row r="2505" spans="13:14">
      <c r="M2505" s="2237"/>
      <c r="N2505" s="2238"/>
    </row>
    <row r="2506" spans="13:14">
      <c r="M2506" s="2237"/>
      <c r="N2506" s="2238"/>
    </row>
    <row r="2507" spans="13:14">
      <c r="M2507" s="2237"/>
      <c r="N2507" s="2238"/>
    </row>
    <row r="2508" spans="13:14">
      <c r="M2508" s="2237"/>
      <c r="N2508" s="2238"/>
    </row>
    <row r="2509" spans="13:14">
      <c r="M2509" s="2237"/>
      <c r="N2509" s="2238"/>
    </row>
    <row r="2510" spans="13:14">
      <c r="M2510" s="2237"/>
      <c r="N2510" s="2238"/>
    </row>
    <row r="2511" spans="13:14">
      <c r="M2511" s="2237"/>
      <c r="N2511" s="2238"/>
    </row>
    <row r="2512" spans="13:14">
      <c r="M2512" s="2237"/>
      <c r="N2512" s="2238"/>
    </row>
    <row r="2513" spans="13:14">
      <c r="M2513" s="2237"/>
      <c r="N2513" s="2238"/>
    </row>
    <row r="2514" spans="13:14">
      <c r="M2514" s="2237"/>
      <c r="N2514" s="2238"/>
    </row>
    <row r="2515" spans="13:14">
      <c r="M2515" s="2237"/>
      <c r="N2515" s="2238"/>
    </row>
    <row r="2516" spans="13:14">
      <c r="M2516" s="2237"/>
      <c r="N2516" s="2238"/>
    </row>
    <row r="2517" spans="13:14">
      <c r="M2517" s="2237"/>
      <c r="N2517" s="2238"/>
    </row>
    <row r="2518" spans="13:14">
      <c r="M2518" s="2237"/>
      <c r="N2518" s="2238"/>
    </row>
    <row r="2519" spans="13:14">
      <c r="M2519" s="2237"/>
      <c r="N2519" s="2238"/>
    </row>
    <row r="2520" spans="13:14">
      <c r="M2520" s="2237"/>
      <c r="N2520" s="2238"/>
    </row>
    <row r="2521" spans="13:14">
      <c r="M2521" s="2237"/>
      <c r="N2521" s="2238"/>
    </row>
    <row r="2522" spans="13:14">
      <c r="M2522" s="2237"/>
      <c r="N2522" s="2238"/>
    </row>
    <row r="2523" spans="13:14">
      <c r="M2523" s="2237"/>
      <c r="N2523" s="2238"/>
    </row>
    <row r="2524" spans="13:14">
      <c r="M2524" s="2237"/>
      <c r="N2524" s="2238"/>
    </row>
    <row r="2525" spans="13:14">
      <c r="M2525" s="2237"/>
      <c r="N2525" s="2238"/>
    </row>
    <row r="2526" spans="13:14">
      <c r="M2526" s="2237"/>
      <c r="N2526" s="2238"/>
    </row>
    <row r="2527" spans="13:14">
      <c r="M2527" s="2237"/>
      <c r="N2527" s="2238"/>
    </row>
    <row r="2528" spans="13:14">
      <c r="M2528" s="2237"/>
      <c r="N2528" s="2238"/>
    </row>
    <row r="2529" spans="13:14">
      <c r="M2529" s="2237"/>
      <c r="N2529" s="2238"/>
    </row>
    <row r="2530" spans="13:14">
      <c r="M2530" s="2237"/>
      <c r="N2530" s="2238"/>
    </row>
    <row r="2531" spans="13:14">
      <c r="M2531" s="2237"/>
      <c r="N2531" s="2238"/>
    </row>
    <row r="2532" spans="13:14">
      <c r="M2532" s="2237"/>
      <c r="N2532" s="2238"/>
    </row>
    <row r="2533" spans="13:14">
      <c r="M2533" s="2237"/>
      <c r="N2533" s="2238"/>
    </row>
    <row r="2534" spans="13:14">
      <c r="M2534" s="2237"/>
      <c r="N2534" s="2238"/>
    </row>
    <row r="2535" spans="13:14">
      <c r="M2535" s="2237"/>
      <c r="N2535" s="2238"/>
    </row>
    <row r="2536" spans="13:14">
      <c r="M2536" s="2237"/>
      <c r="N2536" s="2238"/>
    </row>
    <row r="2537" spans="13:14">
      <c r="M2537" s="2237"/>
      <c r="N2537" s="2238"/>
    </row>
    <row r="2538" spans="13:14">
      <c r="M2538" s="2237"/>
      <c r="N2538" s="2238"/>
    </row>
    <row r="2539" spans="13:14">
      <c r="M2539" s="2237"/>
      <c r="N2539" s="2238"/>
    </row>
    <row r="2540" spans="13:14">
      <c r="M2540" s="2237"/>
      <c r="N2540" s="2238"/>
    </row>
    <row r="2541" spans="13:14">
      <c r="M2541" s="2237"/>
      <c r="N2541" s="2238"/>
    </row>
    <row r="2542" spans="13:14">
      <c r="M2542" s="2237"/>
      <c r="N2542" s="2238"/>
    </row>
    <row r="2543" spans="13:14">
      <c r="M2543" s="2237"/>
      <c r="N2543" s="2238"/>
    </row>
    <row r="2544" spans="13:14">
      <c r="M2544" s="2237"/>
      <c r="N2544" s="2238"/>
    </row>
    <row r="2545" spans="13:14">
      <c r="M2545" s="2237"/>
      <c r="N2545" s="2238"/>
    </row>
    <row r="2546" spans="13:14">
      <c r="M2546" s="2237"/>
      <c r="N2546" s="2238"/>
    </row>
    <row r="2547" spans="13:14">
      <c r="M2547" s="2237"/>
      <c r="N2547" s="2238"/>
    </row>
    <row r="2548" spans="13:14">
      <c r="M2548" s="2237"/>
      <c r="N2548" s="2238"/>
    </row>
    <row r="2549" spans="13:14">
      <c r="M2549" s="2237"/>
      <c r="N2549" s="2238"/>
    </row>
    <row r="2550" spans="13:14">
      <c r="M2550" s="2237"/>
      <c r="N2550" s="2238"/>
    </row>
    <row r="2551" spans="13:14">
      <c r="M2551" s="2237"/>
      <c r="N2551" s="2238"/>
    </row>
    <row r="2552" spans="13:14">
      <c r="M2552" s="2237"/>
      <c r="N2552" s="2238"/>
    </row>
    <row r="2553" spans="13:14">
      <c r="M2553" s="2237"/>
      <c r="N2553" s="2238"/>
    </row>
    <row r="2554" spans="13:14">
      <c r="M2554" s="2237"/>
      <c r="N2554" s="2238"/>
    </row>
    <row r="2555" spans="13:14">
      <c r="M2555" s="2237"/>
      <c r="N2555" s="2238"/>
    </row>
    <row r="2556" spans="13:14">
      <c r="M2556" s="2237"/>
      <c r="N2556" s="2238"/>
    </row>
    <row r="2557" spans="13:14">
      <c r="M2557" s="2237"/>
      <c r="N2557" s="2238"/>
    </row>
    <row r="2558" spans="13:14">
      <c r="M2558" s="2237"/>
      <c r="N2558" s="2238"/>
    </row>
    <row r="2559" spans="13:14">
      <c r="M2559" s="2237"/>
      <c r="N2559" s="2238"/>
    </row>
    <row r="2560" spans="13:14">
      <c r="M2560" s="2237"/>
      <c r="N2560" s="2238"/>
    </row>
    <row r="2561" spans="13:14">
      <c r="M2561" s="2237"/>
      <c r="N2561" s="2238"/>
    </row>
    <row r="2562" spans="13:14">
      <c r="M2562" s="2237"/>
      <c r="N2562" s="2238"/>
    </row>
    <row r="2563" spans="13:14">
      <c r="M2563" s="2237"/>
      <c r="N2563" s="2238"/>
    </row>
    <row r="2564" spans="13:14">
      <c r="M2564" s="2237"/>
      <c r="N2564" s="2238"/>
    </row>
    <row r="2565" spans="13:14">
      <c r="M2565" s="2237"/>
      <c r="N2565" s="2238"/>
    </row>
    <row r="2566" spans="13:14">
      <c r="M2566" s="2237"/>
      <c r="N2566" s="2238"/>
    </row>
    <row r="2567" spans="13:14">
      <c r="M2567" s="2237"/>
      <c r="N2567" s="2238"/>
    </row>
    <row r="2568" spans="13:14">
      <c r="M2568" s="2237"/>
      <c r="N2568" s="2238"/>
    </row>
    <row r="2569" spans="13:14">
      <c r="M2569" s="2237"/>
      <c r="N2569" s="2238"/>
    </row>
    <row r="2570" spans="13:14">
      <c r="M2570" s="2237"/>
      <c r="N2570" s="2238"/>
    </row>
    <row r="2571" spans="13:14">
      <c r="M2571" s="2237"/>
      <c r="N2571" s="2238"/>
    </row>
    <row r="2572" spans="13:14">
      <c r="M2572" s="2237"/>
      <c r="N2572" s="2238"/>
    </row>
    <row r="2573" spans="13:14">
      <c r="M2573" s="2237"/>
      <c r="N2573" s="2238"/>
    </row>
    <row r="2574" spans="13:14">
      <c r="M2574" s="2237"/>
      <c r="N2574" s="2238"/>
    </row>
    <row r="2575" spans="13:14">
      <c r="M2575" s="2237"/>
      <c r="N2575" s="2238"/>
    </row>
    <row r="2576" spans="13:14">
      <c r="M2576" s="2237"/>
      <c r="N2576" s="2238"/>
    </row>
    <row r="2577" spans="13:14">
      <c r="M2577" s="2237"/>
      <c r="N2577" s="2238"/>
    </row>
    <row r="2578" spans="13:14">
      <c r="M2578" s="2237"/>
      <c r="N2578" s="2238"/>
    </row>
    <row r="2579" spans="13:14">
      <c r="M2579" s="2237"/>
      <c r="N2579" s="2238"/>
    </row>
    <row r="2580" spans="13:14">
      <c r="M2580" s="2237"/>
      <c r="N2580" s="2238"/>
    </row>
    <row r="2581" spans="13:14">
      <c r="M2581" s="2237"/>
      <c r="N2581" s="2238"/>
    </row>
    <row r="2582" spans="13:14">
      <c r="M2582" s="2237"/>
      <c r="N2582" s="2238"/>
    </row>
    <row r="2583" spans="13:14">
      <c r="M2583" s="2237"/>
      <c r="N2583" s="2238"/>
    </row>
    <row r="2584" spans="13:14">
      <c r="M2584" s="2237"/>
      <c r="N2584" s="2238"/>
    </row>
    <row r="2585" spans="13:14">
      <c r="M2585" s="2237"/>
      <c r="N2585" s="2238"/>
    </row>
    <row r="2586" spans="13:14">
      <c r="M2586" s="2237"/>
      <c r="N2586" s="2238"/>
    </row>
    <row r="2587" spans="13:14">
      <c r="M2587" s="2237"/>
      <c r="N2587" s="2238"/>
    </row>
    <row r="2588" spans="13:14">
      <c r="M2588" s="2237"/>
      <c r="N2588" s="2238"/>
    </row>
    <row r="2589" spans="13:14">
      <c r="M2589" s="2237"/>
      <c r="N2589" s="2238"/>
    </row>
    <row r="2590" spans="13:14">
      <c r="M2590" s="2237"/>
      <c r="N2590" s="2238"/>
    </row>
    <row r="2591" spans="13:14">
      <c r="M2591" s="2237"/>
      <c r="N2591" s="2238"/>
    </row>
    <row r="2592" spans="13:14">
      <c r="M2592" s="2237"/>
      <c r="N2592" s="2238"/>
    </row>
    <row r="2593" spans="13:14">
      <c r="M2593" s="2237"/>
      <c r="N2593" s="2238"/>
    </row>
    <row r="2594" spans="13:14">
      <c r="M2594" s="2237"/>
      <c r="N2594" s="2238"/>
    </row>
    <row r="2595" spans="13:14">
      <c r="M2595" s="2237"/>
      <c r="N2595" s="2238"/>
    </row>
    <row r="2596" spans="13:14">
      <c r="M2596" s="2237"/>
      <c r="N2596" s="2238"/>
    </row>
    <row r="2597" spans="13:14">
      <c r="M2597" s="2237"/>
      <c r="N2597" s="2238"/>
    </row>
    <row r="2598" spans="13:14">
      <c r="M2598" s="2237"/>
      <c r="N2598" s="2238"/>
    </row>
    <row r="2599" spans="13:14">
      <c r="M2599" s="2237"/>
      <c r="N2599" s="2238"/>
    </row>
    <row r="2600" spans="13:14">
      <c r="M2600" s="2237"/>
      <c r="N2600" s="2238"/>
    </row>
    <row r="2601" spans="13:14">
      <c r="M2601" s="2237"/>
      <c r="N2601" s="2238"/>
    </row>
    <row r="2602" spans="13:14">
      <c r="M2602" s="2237"/>
      <c r="N2602" s="2238"/>
    </row>
    <row r="2603" spans="13:14">
      <c r="M2603" s="2237"/>
      <c r="N2603" s="2238"/>
    </row>
    <row r="2604" spans="13:14">
      <c r="M2604" s="2237"/>
      <c r="N2604" s="2238"/>
    </row>
    <row r="2605" spans="13:14">
      <c r="M2605" s="2237"/>
      <c r="N2605" s="2238"/>
    </row>
    <row r="2606" spans="13:14">
      <c r="M2606" s="2237"/>
      <c r="N2606" s="2238"/>
    </row>
    <row r="2607" spans="13:14">
      <c r="M2607" s="2237"/>
      <c r="N2607" s="2238"/>
    </row>
    <row r="2608" spans="13:14">
      <c r="M2608" s="2237"/>
      <c r="N2608" s="2238"/>
    </row>
    <row r="2609" spans="13:14">
      <c r="M2609" s="2237"/>
      <c r="N2609" s="2238"/>
    </row>
    <row r="2610" spans="13:14">
      <c r="M2610" s="2237"/>
      <c r="N2610" s="2238"/>
    </row>
    <row r="2611" spans="13:14">
      <c r="M2611" s="2237"/>
      <c r="N2611" s="2238"/>
    </row>
    <row r="2612" spans="13:14">
      <c r="M2612" s="2237"/>
      <c r="N2612" s="2238"/>
    </row>
    <row r="2613" spans="13:14">
      <c r="M2613" s="2237"/>
      <c r="N2613" s="2238"/>
    </row>
    <row r="2614" spans="13:14">
      <c r="M2614" s="2237"/>
      <c r="N2614" s="2238"/>
    </row>
    <row r="2615" spans="13:14">
      <c r="M2615" s="2237"/>
      <c r="N2615" s="2238"/>
    </row>
    <row r="2616" spans="13:14">
      <c r="M2616" s="2237"/>
      <c r="N2616" s="2238"/>
    </row>
    <row r="2617" spans="13:14">
      <c r="M2617" s="2237"/>
      <c r="N2617" s="2238"/>
    </row>
    <row r="2618" spans="13:14">
      <c r="M2618" s="2237"/>
      <c r="N2618" s="2238"/>
    </row>
    <row r="2619" spans="13:14">
      <c r="M2619" s="2237"/>
      <c r="N2619" s="2238"/>
    </row>
    <row r="2620" spans="13:14">
      <c r="M2620" s="2237"/>
      <c r="N2620" s="2238"/>
    </row>
    <row r="2621" spans="13:14">
      <c r="M2621" s="2237"/>
      <c r="N2621" s="2238"/>
    </row>
    <row r="2622" spans="13:14">
      <c r="M2622" s="2237"/>
      <c r="N2622" s="2238"/>
    </row>
    <row r="2623" spans="13:14">
      <c r="M2623" s="2237"/>
      <c r="N2623" s="2238"/>
    </row>
    <row r="2624" spans="13:14">
      <c r="M2624" s="2237"/>
      <c r="N2624" s="2238"/>
    </row>
    <row r="2625" spans="13:14">
      <c r="M2625" s="2237"/>
      <c r="N2625" s="2238"/>
    </row>
    <row r="2626" spans="13:14">
      <c r="M2626" s="2237"/>
      <c r="N2626" s="2238"/>
    </row>
    <row r="2627" spans="13:14">
      <c r="M2627" s="2237"/>
      <c r="N2627" s="2238"/>
    </row>
    <row r="2628" spans="13:14">
      <c r="M2628" s="2237"/>
      <c r="N2628" s="2238"/>
    </row>
    <row r="2629" spans="13:14">
      <c r="M2629" s="2237"/>
      <c r="N2629" s="2238"/>
    </row>
    <row r="2630" spans="13:14">
      <c r="M2630" s="2237"/>
      <c r="N2630" s="2238"/>
    </row>
    <row r="2631" spans="13:14">
      <c r="M2631" s="2237"/>
      <c r="N2631" s="2238"/>
    </row>
    <row r="2632" spans="13:14">
      <c r="M2632" s="2237"/>
      <c r="N2632" s="2238"/>
    </row>
    <row r="2633" spans="13:14">
      <c r="M2633" s="2237"/>
      <c r="N2633" s="2238"/>
    </row>
    <row r="2634" spans="13:14">
      <c r="M2634" s="2237"/>
      <c r="N2634" s="2238"/>
    </row>
    <row r="2635" spans="13:14">
      <c r="M2635" s="2237"/>
      <c r="N2635" s="2238"/>
    </row>
    <row r="2636" spans="13:14">
      <c r="M2636" s="2237"/>
      <c r="N2636" s="2238"/>
    </row>
    <row r="2637" spans="13:14">
      <c r="M2637" s="2237"/>
      <c r="N2637" s="2238"/>
    </row>
    <row r="2638" spans="13:14">
      <c r="M2638" s="2237"/>
      <c r="N2638" s="2238"/>
    </row>
    <row r="2639" spans="13:14">
      <c r="M2639" s="2237"/>
      <c r="N2639" s="2238"/>
    </row>
    <row r="2640" spans="13:14">
      <c r="M2640" s="2237"/>
      <c r="N2640" s="2238"/>
    </row>
    <row r="2641" spans="13:14">
      <c r="M2641" s="2237"/>
      <c r="N2641" s="2238"/>
    </row>
    <row r="2642" spans="13:14">
      <c r="M2642" s="2237"/>
      <c r="N2642" s="2238"/>
    </row>
    <row r="2643" spans="13:14">
      <c r="M2643" s="2237"/>
      <c r="N2643" s="2238"/>
    </row>
    <row r="2644" spans="13:14">
      <c r="M2644" s="2237"/>
      <c r="N2644" s="2238"/>
    </row>
    <row r="2645" spans="13:14">
      <c r="M2645" s="2237"/>
      <c r="N2645" s="2238"/>
    </row>
    <row r="2646" spans="13:14">
      <c r="M2646" s="2237"/>
      <c r="N2646" s="2238"/>
    </row>
    <row r="2647" spans="13:14">
      <c r="M2647" s="2237"/>
      <c r="N2647" s="2238"/>
    </row>
    <row r="2648" spans="13:14">
      <c r="M2648" s="2237"/>
      <c r="N2648" s="2238"/>
    </row>
    <row r="2649" spans="13:14">
      <c r="M2649" s="2237"/>
      <c r="N2649" s="2238"/>
    </row>
    <row r="2650" spans="13:14">
      <c r="M2650" s="2237"/>
      <c r="N2650" s="2238"/>
    </row>
    <row r="2651" spans="13:14">
      <c r="M2651" s="2237"/>
      <c r="N2651" s="2238"/>
    </row>
    <row r="2652" spans="13:14">
      <c r="M2652" s="2237"/>
      <c r="N2652" s="2238"/>
    </row>
    <row r="2653" spans="13:14">
      <c r="M2653" s="2237"/>
      <c r="N2653" s="2238"/>
    </row>
    <row r="2654" spans="13:14">
      <c r="M2654" s="2237"/>
      <c r="N2654" s="2238"/>
    </row>
    <row r="2655" spans="13:14">
      <c r="M2655" s="2237"/>
      <c r="N2655" s="2238"/>
    </row>
    <row r="2656" spans="13:14">
      <c r="M2656" s="2237"/>
      <c r="N2656" s="2238"/>
    </row>
    <row r="2657" spans="13:14">
      <c r="M2657" s="2237"/>
      <c r="N2657" s="2238"/>
    </row>
    <row r="2658" spans="13:14">
      <c r="M2658" s="2237"/>
      <c r="N2658" s="2238"/>
    </row>
    <row r="2659" spans="13:14">
      <c r="M2659" s="2237"/>
      <c r="N2659" s="2238"/>
    </row>
    <row r="2660" spans="13:14">
      <c r="M2660" s="2237"/>
      <c r="N2660" s="2238"/>
    </row>
    <row r="2661" spans="13:14">
      <c r="M2661" s="2237"/>
      <c r="N2661" s="2238"/>
    </row>
    <row r="2662" spans="13:14">
      <c r="M2662" s="2237"/>
      <c r="N2662" s="2238"/>
    </row>
    <row r="2663" spans="13:14">
      <c r="M2663" s="2237"/>
      <c r="N2663" s="2238"/>
    </row>
    <row r="2664" spans="13:14">
      <c r="M2664" s="2237"/>
      <c r="N2664" s="2238"/>
    </row>
    <row r="2665" spans="13:14">
      <c r="M2665" s="2237"/>
      <c r="N2665" s="2238"/>
    </row>
    <row r="2666" spans="13:14">
      <c r="M2666" s="2237"/>
      <c r="N2666" s="2238"/>
    </row>
    <row r="2667" spans="13:14">
      <c r="M2667" s="2237"/>
      <c r="N2667" s="2238"/>
    </row>
    <row r="2668" spans="13:14">
      <c r="M2668" s="2237"/>
      <c r="N2668" s="2238"/>
    </row>
    <row r="2669" spans="13:14">
      <c r="M2669" s="2237"/>
      <c r="N2669" s="2238"/>
    </row>
    <row r="2670" spans="13:14">
      <c r="M2670" s="2237"/>
      <c r="N2670" s="2238"/>
    </row>
    <row r="2671" spans="13:14">
      <c r="M2671" s="2237"/>
      <c r="N2671" s="2238"/>
    </row>
    <row r="2672" spans="13:14">
      <c r="M2672" s="2237"/>
      <c r="N2672" s="2238"/>
    </row>
    <row r="2673" spans="13:14">
      <c r="M2673" s="2237"/>
      <c r="N2673" s="2238"/>
    </row>
    <row r="2674" spans="13:14">
      <c r="M2674" s="2237"/>
      <c r="N2674" s="2238"/>
    </row>
    <row r="2675" spans="13:14">
      <c r="M2675" s="2237"/>
      <c r="N2675" s="2238"/>
    </row>
    <row r="2676" spans="13:14">
      <c r="M2676" s="2237"/>
      <c r="N2676" s="2238"/>
    </row>
    <row r="2677" spans="13:14">
      <c r="M2677" s="2237"/>
      <c r="N2677" s="2238"/>
    </row>
    <row r="2678" spans="13:14">
      <c r="M2678" s="2237"/>
      <c r="N2678" s="2238"/>
    </row>
    <row r="2679" spans="13:14">
      <c r="M2679" s="2237"/>
      <c r="N2679" s="2238"/>
    </row>
    <row r="2680" spans="13:14">
      <c r="M2680" s="2237"/>
      <c r="N2680" s="2238"/>
    </row>
    <row r="2681" spans="13:14">
      <c r="M2681" s="2237"/>
      <c r="N2681" s="2238"/>
    </row>
    <row r="2682" spans="13:14">
      <c r="M2682" s="2237"/>
      <c r="N2682" s="2238"/>
    </row>
    <row r="2683" spans="13:14">
      <c r="M2683" s="2237"/>
      <c r="N2683" s="2238"/>
    </row>
    <row r="2684" spans="13:14">
      <c r="M2684" s="2237"/>
      <c r="N2684" s="2238"/>
    </row>
    <row r="2685" spans="13:14">
      <c r="M2685" s="2237"/>
      <c r="N2685" s="2238"/>
    </row>
    <row r="2686" spans="13:14">
      <c r="M2686" s="2237"/>
      <c r="N2686" s="2238"/>
    </row>
    <row r="2687" spans="13:14">
      <c r="M2687" s="2237"/>
      <c r="N2687" s="2238"/>
    </row>
    <row r="2688" spans="13:14">
      <c r="M2688" s="2237"/>
      <c r="N2688" s="2238"/>
    </row>
    <row r="2689" spans="13:14">
      <c r="M2689" s="2237"/>
      <c r="N2689" s="2238"/>
    </row>
    <row r="2690" spans="13:14">
      <c r="M2690" s="2237"/>
      <c r="N2690" s="2238"/>
    </row>
    <row r="2691" spans="13:14">
      <c r="M2691" s="2237"/>
      <c r="N2691" s="2238"/>
    </row>
    <row r="2692" spans="13:14">
      <c r="M2692" s="2237"/>
      <c r="N2692" s="2238"/>
    </row>
    <row r="2693" spans="13:14">
      <c r="M2693" s="2237"/>
      <c r="N2693" s="2238"/>
    </row>
    <row r="2694" spans="13:14">
      <c r="M2694" s="2237"/>
      <c r="N2694" s="2238"/>
    </row>
    <row r="2695" spans="13:14">
      <c r="M2695" s="2237"/>
      <c r="N2695" s="2238"/>
    </row>
    <row r="2696" spans="13:14">
      <c r="M2696" s="2237"/>
      <c r="N2696" s="2238"/>
    </row>
    <row r="2697" spans="13:14">
      <c r="M2697" s="2237"/>
      <c r="N2697" s="2238"/>
    </row>
    <row r="2698" spans="13:14">
      <c r="M2698" s="2237"/>
      <c r="N2698" s="2238"/>
    </row>
    <row r="2699" spans="13:14">
      <c r="M2699" s="2237"/>
      <c r="N2699" s="2238"/>
    </row>
    <row r="2700" spans="13:14">
      <c r="M2700" s="2237"/>
      <c r="N2700" s="2238"/>
    </row>
    <row r="2701" spans="13:14">
      <c r="M2701" s="2237"/>
      <c r="N2701" s="2238"/>
    </row>
    <row r="2702" spans="13:14">
      <c r="M2702" s="2237"/>
      <c r="N2702" s="2238"/>
    </row>
    <row r="2703" spans="13:14">
      <c r="M2703" s="2237"/>
      <c r="N2703" s="2238"/>
    </row>
    <row r="2704" spans="13:14">
      <c r="M2704" s="2237"/>
      <c r="N2704" s="2238"/>
    </row>
    <row r="2705" spans="13:14">
      <c r="M2705" s="2237"/>
      <c r="N2705" s="2238"/>
    </row>
    <row r="2706" spans="13:14">
      <c r="M2706" s="2237"/>
      <c r="N2706" s="2238"/>
    </row>
    <row r="2707" spans="13:14">
      <c r="M2707" s="2237"/>
      <c r="N2707" s="2238"/>
    </row>
    <row r="2708" spans="13:14">
      <c r="M2708" s="2237"/>
      <c r="N2708" s="2238"/>
    </row>
    <row r="2709" spans="13:14">
      <c r="M2709" s="2237"/>
      <c r="N2709" s="2238"/>
    </row>
    <row r="2710" spans="13:14">
      <c r="M2710" s="2237"/>
      <c r="N2710" s="2238"/>
    </row>
    <row r="2711" spans="13:14">
      <c r="M2711" s="2237"/>
      <c r="N2711" s="2238"/>
    </row>
    <row r="2712" spans="13:14">
      <c r="M2712" s="2237"/>
      <c r="N2712" s="2238"/>
    </row>
    <row r="2713" spans="13:14">
      <c r="M2713" s="2237"/>
      <c r="N2713" s="2238"/>
    </row>
    <row r="2714" spans="13:14">
      <c r="M2714" s="2237"/>
      <c r="N2714" s="2238"/>
    </row>
    <row r="2715" spans="13:14">
      <c r="M2715" s="2237"/>
      <c r="N2715" s="2238"/>
    </row>
    <row r="2716" spans="13:14">
      <c r="M2716" s="2237"/>
      <c r="N2716" s="2238"/>
    </row>
    <row r="2717" spans="13:14">
      <c r="M2717" s="2237"/>
      <c r="N2717" s="2238"/>
    </row>
    <row r="2718" spans="13:14">
      <c r="M2718" s="2237"/>
      <c r="N2718" s="2238"/>
    </row>
    <row r="2719" spans="13:14">
      <c r="M2719" s="2237"/>
      <c r="N2719" s="2238"/>
    </row>
    <row r="2720" spans="13:14">
      <c r="M2720" s="2237"/>
      <c r="N2720" s="2238"/>
    </row>
    <row r="2721" spans="13:14">
      <c r="M2721" s="2237"/>
      <c r="N2721" s="2238"/>
    </row>
    <row r="2722" spans="13:14">
      <c r="M2722" s="2237"/>
      <c r="N2722" s="2238"/>
    </row>
    <row r="2723" spans="13:14">
      <c r="M2723" s="2237"/>
      <c r="N2723" s="2238"/>
    </row>
    <row r="2724" spans="13:14">
      <c r="M2724" s="2237"/>
      <c r="N2724" s="2238"/>
    </row>
    <row r="2725" spans="13:14">
      <c r="M2725" s="2237"/>
      <c r="N2725" s="2238"/>
    </row>
    <row r="2726" spans="13:14">
      <c r="M2726" s="2237"/>
      <c r="N2726" s="2238"/>
    </row>
    <row r="2727" spans="13:14">
      <c r="M2727" s="2237"/>
      <c r="N2727" s="2238"/>
    </row>
    <row r="2728" spans="13:14">
      <c r="M2728" s="2237"/>
      <c r="N2728" s="2238"/>
    </row>
    <row r="2729" spans="13:14">
      <c r="M2729" s="2237"/>
      <c r="N2729" s="2238"/>
    </row>
    <row r="2730" spans="13:14">
      <c r="M2730" s="2237"/>
      <c r="N2730" s="2238"/>
    </row>
    <row r="2731" spans="13:14">
      <c r="M2731" s="2237"/>
      <c r="N2731" s="2238"/>
    </row>
    <row r="2732" spans="13:14">
      <c r="M2732" s="2237"/>
      <c r="N2732" s="2238"/>
    </row>
    <row r="2733" spans="13:14">
      <c r="M2733" s="2237"/>
      <c r="N2733" s="2238"/>
    </row>
    <row r="2734" spans="13:14">
      <c r="M2734" s="2237"/>
      <c r="N2734" s="2238"/>
    </row>
    <row r="2735" spans="13:14">
      <c r="M2735" s="2237"/>
      <c r="N2735" s="2238"/>
    </row>
    <row r="2736" spans="13:14">
      <c r="M2736" s="2237"/>
      <c r="N2736" s="2238"/>
    </row>
    <row r="2737" spans="13:14">
      <c r="M2737" s="2237"/>
      <c r="N2737" s="2238"/>
    </row>
    <row r="2738" spans="13:14">
      <c r="M2738" s="2237"/>
      <c r="N2738" s="2238"/>
    </row>
    <row r="2739" spans="13:14">
      <c r="M2739" s="2237"/>
      <c r="N2739" s="2238"/>
    </row>
    <row r="2740" spans="13:14">
      <c r="M2740" s="2237"/>
      <c r="N2740" s="2238"/>
    </row>
    <row r="2741" spans="13:14">
      <c r="M2741" s="2237"/>
      <c r="N2741" s="2238"/>
    </row>
    <row r="2742" spans="13:14">
      <c r="M2742" s="2237"/>
      <c r="N2742" s="2238"/>
    </row>
    <row r="2743" spans="13:14">
      <c r="M2743" s="2237"/>
      <c r="N2743" s="2238"/>
    </row>
    <row r="2744" spans="13:14">
      <c r="M2744" s="2237"/>
      <c r="N2744" s="2238"/>
    </row>
    <row r="2745" spans="13:14">
      <c r="M2745" s="2237"/>
      <c r="N2745" s="2238"/>
    </row>
    <row r="2746" spans="13:14">
      <c r="M2746" s="2237"/>
      <c r="N2746" s="2238"/>
    </row>
    <row r="2747" spans="13:14">
      <c r="M2747" s="2237"/>
      <c r="N2747" s="2238"/>
    </row>
    <row r="2748" spans="13:14">
      <c r="M2748" s="2237"/>
      <c r="N2748" s="2238"/>
    </row>
    <row r="2749" spans="13:14">
      <c r="M2749" s="2237"/>
      <c r="N2749" s="2238"/>
    </row>
    <row r="2750" spans="13:14">
      <c r="M2750" s="2237"/>
      <c r="N2750" s="2238"/>
    </row>
    <row r="2751" spans="13:14">
      <c r="M2751" s="2237"/>
      <c r="N2751" s="2238"/>
    </row>
    <row r="2752" spans="13:14">
      <c r="M2752" s="2237"/>
      <c r="N2752" s="2238"/>
    </row>
    <row r="2753" spans="13:14">
      <c r="M2753" s="2237"/>
      <c r="N2753" s="2238"/>
    </row>
    <row r="2754" spans="13:14">
      <c r="M2754" s="2237"/>
      <c r="N2754" s="2238"/>
    </row>
    <row r="2755" spans="13:14">
      <c r="M2755" s="2237"/>
      <c r="N2755" s="2238"/>
    </row>
    <row r="2756" spans="13:14">
      <c r="M2756" s="2237"/>
      <c r="N2756" s="2238"/>
    </row>
    <row r="2757" spans="13:14">
      <c r="M2757" s="2237"/>
      <c r="N2757" s="2238"/>
    </row>
    <row r="2758" spans="13:14">
      <c r="M2758" s="2237"/>
      <c r="N2758" s="2238"/>
    </row>
    <row r="2759" spans="13:14">
      <c r="M2759" s="2237"/>
      <c r="N2759" s="2238"/>
    </row>
    <row r="2760" spans="13:14">
      <c r="M2760" s="2237"/>
      <c r="N2760" s="2238"/>
    </row>
    <row r="2761" spans="13:14">
      <c r="M2761" s="2237"/>
      <c r="N2761" s="2238"/>
    </row>
    <row r="2762" spans="13:14">
      <c r="M2762" s="2237"/>
      <c r="N2762" s="2238"/>
    </row>
    <row r="2763" spans="13:14">
      <c r="M2763" s="2237"/>
      <c r="N2763" s="2238"/>
    </row>
    <row r="2764" spans="13:14">
      <c r="M2764" s="2237"/>
      <c r="N2764" s="2238"/>
    </row>
    <row r="2765" spans="13:14">
      <c r="M2765" s="2237"/>
      <c r="N2765" s="2238"/>
    </row>
    <row r="2766" spans="13:14">
      <c r="M2766" s="2237"/>
      <c r="N2766" s="2238"/>
    </row>
    <row r="2767" spans="13:14">
      <c r="M2767" s="2237"/>
      <c r="N2767" s="2238"/>
    </row>
    <row r="2768" spans="13:14">
      <c r="M2768" s="2237"/>
      <c r="N2768" s="2238"/>
    </row>
    <row r="2769" spans="13:14">
      <c r="M2769" s="2237"/>
      <c r="N2769" s="2238"/>
    </row>
    <row r="2770" spans="13:14">
      <c r="M2770" s="2237"/>
      <c r="N2770" s="2238"/>
    </row>
    <row r="2771" spans="13:14">
      <c r="M2771" s="2237"/>
      <c r="N2771" s="2238"/>
    </row>
    <row r="2772" spans="13:14">
      <c r="M2772" s="2237"/>
      <c r="N2772" s="2238"/>
    </row>
    <row r="2773" spans="13:14">
      <c r="M2773" s="2237"/>
      <c r="N2773" s="2238"/>
    </row>
    <row r="2774" spans="13:14">
      <c r="M2774" s="2237"/>
      <c r="N2774" s="2238"/>
    </row>
    <row r="2775" spans="13:14">
      <c r="M2775" s="2237"/>
      <c r="N2775" s="2238"/>
    </row>
    <row r="2776" spans="13:14">
      <c r="M2776" s="2237"/>
      <c r="N2776" s="2238"/>
    </row>
    <row r="2777" spans="13:14">
      <c r="M2777" s="2237"/>
      <c r="N2777" s="2238"/>
    </row>
    <row r="2778" spans="13:14">
      <c r="M2778" s="2237"/>
      <c r="N2778" s="2238"/>
    </row>
    <row r="2779" spans="13:14">
      <c r="M2779" s="2237"/>
      <c r="N2779" s="2238"/>
    </row>
    <row r="2780" spans="13:14">
      <c r="M2780" s="2237"/>
      <c r="N2780" s="2238"/>
    </row>
    <row r="2781" spans="13:14">
      <c r="M2781" s="2237"/>
      <c r="N2781" s="2238"/>
    </row>
    <row r="2782" spans="13:14">
      <c r="M2782" s="2237"/>
      <c r="N2782" s="2238"/>
    </row>
    <row r="2783" spans="13:14">
      <c r="M2783" s="2237"/>
      <c r="N2783" s="2238"/>
    </row>
    <row r="2784" spans="13:14">
      <c r="M2784" s="2237"/>
      <c r="N2784" s="2238"/>
    </row>
    <row r="2785" spans="13:14">
      <c r="M2785" s="2237"/>
      <c r="N2785" s="2238"/>
    </row>
    <row r="2786" spans="13:14">
      <c r="M2786" s="2237"/>
      <c r="N2786" s="2238"/>
    </row>
    <row r="2787" spans="13:14">
      <c r="M2787" s="2237"/>
      <c r="N2787" s="2238"/>
    </row>
    <row r="2788" spans="13:14">
      <c r="M2788" s="2237"/>
      <c r="N2788" s="2238"/>
    </row>
    <row r="2789" spans="13:14">
      <c r="M2789" s="2237"/>
      <c r="N2789" s="2238"/>
    </row>
    <row r="2790" spans="13:14">
      <c r="M2790" s="2237"/>
      <c r="N2790" s="2238"/>
    </row>
    <row r="2791" spans="13:14">
      <c r="M2791" s="2237"/>
      <c r="N2791" s="2238"/>
    </row>
    <row r="2792" spans="13:14">
      <c r="M2792" s="2237"/>
      <c r="N2792" s="2238"/>
    </row>
    <row r="2793" spans="13:14">
      <c r="M2793" s="2237"/>
      <c r="N2793" s="2238"/>
    </row>
    <row r="2794" spans="13:14">
      <c r="M2794" s="2237"/>
      <c r="N2794" s="2238"/>
    </row>
    <row r="2795" spans="13:14">
      <c r="M2795" s="2237"/>
      <c r="N2795" s="2238"/>
    </row>
    <row r="2796" spans="13:14">
      <c r="M2796" s="2237"/>
      <c r="N2796" s="2238"/>
    </row>
    <row r="2797" spans="13:14">
      <c r="M2797" s="2237"/>
      <c r="N2797" s="2238"/>
    </row>
    <row r="2798" spans="13:14">
      <c r="M2798" s="2237"/>
      <c r="N2798" s="2238"/>
    </row>
    <row r="2799" spans="13:14">
      <c r="M2799" s="2237"/>
      <c r="N2799" s="2238"/>
    </row>
    <row r="2800" spans="13:14">
      <c r="M2800" s="2237"/>
      <c r="N2800" s="2238"/>
    </row>
    <row r="2801" spans="13:14">
      <c r="M2801" s="2237"/>
      <c r="N2801" s="2238"/>
    </row>
    <row r="2802" spans="13:14">
      <c r="M2802" s="2237"/>
      <c r="N2802" s="2238"/>
    </row>
    <row r="2803" spans="13:14">
      <c r="M2803" s="2237"/>
      <c r="N2803" s="2238"/>
    </row>
    <row r="2804" spans="13:14">
      <c r="M2804" s="2237"/>
      <c r="N2804" s="2238"/>
    </row>
    <row r="2805" spans="13:14">
      <c r="M2805" s="2237"/>
      <c r="N2805" s="2238"/>
    </row>
    <row r="2806" spans="13:14">
      <c r="M2806" s="2237"/>
      <c r="N2806" s="2238"/>
    </row>
    <row r="2807" spans="13:14">
      <c r="M2807" s="2237"/>
      <c r="N2807" s="2238"/>
    </row>
    <row r="2808" spans="13:14">
      <c r="M2808" s="2237"/>
      <c r="N2808" s="2238"/>
    </row>
    <row r="2809" spans="13:14">
      <c r="M2809" s="2237"/>
      <c r="N2809" s="2238"/>
    </row>
    <row r="2810" spans="13:14">
      <c r="M2810" s="2237"/>
      <c r="N2810" s="2238"/>
    </row>
    <row r="2811" spans="13:14">
      <c r="M2811" s="2237"/>
      <c r="N2811" s="2238"/>
    </row>
    <row r="2812" spans="13:14">
      <c r="M2812" s="2237"/>
      <c r="N2812" s="2238"/>
    </row>
    <row r="2813" spans="13:14">
      <c r="M2813" s="2237"/>
      <c r="N2813" s="2238"/>
    </row>
    <row r="2814" spans="13:14">
      <c r="M2814" s="2237"/>
      <c r="N2814" s="2238"/>
    </row>
    <row r="2815" spans="13:14">
      <c r="M2815" s="2237"/>
      <c r="N2815" s="2238"/>
    </row>
    <row r="2816" spans="13:14">
      <c r="M2816" s="2237"/>
      <c r="N2816" s="2238"/>
    </row>
    <row r="2817" spans="13:14">
      <c r="M2817" s="2237"/>
      <c r="N2817" s="2238"/>
    </row>
    <row r="2818" spans="13:14">
      <c r="M2818" s="2237"/>
      <c r="N2818" s="2238"/>
    </row>
    <row r="2819" spans="13:14">
      <c r="M2819" s="2237"/>
      <c r="N2819" s="2238"/>
    </row>
    <row r="2820" spans="13:14">
      <c r="M2820" s="2237"/>
      <c r="N2820" s="2238"/>
    </row>
    <row r="2821" spans="13:14">
      <c r="M2821" s="2237"/>
      <c r="N2821" s="2238"/>
    </row>
    <row r="2822" spans="13:14">
      <c r="M2822" s="2237"/>
      <c r="N2822" s="2238"/>
    </row>
    <row r="2823" spans="13:14">
      <c r="M2823" s="2237"/>
      <c r="N2823" s="2238"/>
    </row>
    <row r="2824" spans="13:14">
      <c r="M2824" s="2237"/>
      <c r="N2824" s="2238"/>
    </row>
    <row r="2825" spans="13:14">
      <c r="M2825" s="2237"/>
      <c r="N2825" s="2238"/>
    </row>
    <row r="2826" spans="13:14">
      <c r="M2826" s="2237"/>
      <c r="N2826" s="2238"/>
    </row>
    <row r="2827" spans="13:14">
      <c r="M2827" s="2237"/>
      <c r="N2827" s="2238"/>
    </row>
    <row r="2828" spans="13:14">
      <c r="M2828" s="2237"/>
      <c r="N2828" s="2238"/>
    </row>
    <row r="2829" spans="13:14">
      <c r="M2829" s="2237"/>
      <c r="N2829" s="2238"/>
    </row>
    <row r="2830" spans="13:14">
      <c r="M2830" s="2237"/>
      <c r="N2830" s="2238"/>
    </row>
    <row r="2831" spans="13:14">
      <c r="M2831" s="2237"/>
      <c r="N2831" s="2238"/>
    </row>
    <row r="2832" spans="13:14">
      <c r="M2832" s="2237"/>
      <c r="N2832" s="2238"/>
    </row>
    <row r="2833" spans="13:14">
      <c r="M2833" s="2237"/>
      <c r="N2833" s="2238"/>
    </row>
    <row r="2834" spans="13:14">
      <c r="M2834" s="2237"/>
      <c r="N2834" s="2238"/>
    </row>
    <row r="2835" spans="13:14">
      <c r="M2835" s="2237"/>
      <c r="N2835" s="2238"/>
    </row>
    <row r="2836" spans="13:14">
      <c r="M2836" s="2237"/>
      <c r="N2836" s="2238"/>
    </row>
    <row r="2837" spans="13:14">
      <c r="M2837" s="2237"/>
      <c r="N2837" s="2238"/>
    </row>
    <row r="2838" spans="13:14">
      <c r="M2838" s="2237"/>
      <c r="N2838" s="2238"/>
    </row>
    <row r="2839" spans="13:14">
      <c r="M2839" s="2237"/>
      <c r="N2839" s="2238"/>
    </row>
    <row r="2840" spans="13:14">
      <c r="M2840" s="2237"/>
      <c r="N2840" s="2238"/>
    </row>
    <row r="2841" spans="13:14">
      <c r="M2841" s="2237"/>
      <c r="N2841" s="2238"/>
    </row>
    <row r="2842" spans="13:14">
      <c r="M2842" s="2237"/>
      <c r="N2842" s="2238"/>
    </row>
    <row r="2843" spans="13:14">
      <c r="M2843" s="2237"/>
      <c r="N2843" s="2238"/>
    </row>
    <row r="2844" spans="13:14">
      <c r="M2844" s="2237"/>
      <c r="N2844" s="2238"/>
    </row>
    <row r="2845" spans="13:14">
      <c r="M2845" s="2237"/>
      <c r="N2845" s="2238"/>
    </row>
    <row r="2846" spans="13:14">
      <c r="M2846" s="2237"/>
      <c r="N2846" s="2238"/>
    </row>
    <row r="2847" spans="13:14">
      <c r="M2847" s="2237"/>
      <c r="N2847" s="2238"/>
    </row>
    <row r="2848" spans="13:14">
      <c r="M2848" s="2237"/>
      <c r="N2848" s="2238"/>
    </row>
    <row r="2849" spans="13:14">
      <c r="M2849" s="2237"/>
      <c r="N2849" s="2238"/>
    </row>
    <row r="2850" spans="13:14">
      <c r="M2850" s="2237"/>
      <c r="N2850" s="2238"/>
    </row>
    <row r="2851" spans="13:14">
      <c r="M2851" s="2237"/>
      <c r="N2851" s="2238"/>
    </row>
    <row r="2852" spans="13:14">
      <c r="M2852" s="2237"/>
      <c r="N2852" s="2238"/>
    </row>
    <row r="2853" spans="13:14">
      <c r="M2853" s="2237"/>
      <c r="N2853" s="2238"/>
    </row>
    <row r="2854" spans="13:14">
      <c r="M2854" s="2237"/>
      <c r="N2854" s="2238"/>
    </row>
    <row r="2855" spans="13:14">
      <c r="M2855" s="2237"/>
      <c r="N2855" s="2238"/>
    </row>
    <row r="2856" spans="13:14">
      <c r="M2856" s="2237"/>
      <c r="N2856" s="2238"/>
    </row>
    <row r="2857" spans="13:14">
      <c r="M2857" s="2237"/>
      <c r="N2857" s="2238"/>
    </row>
    <row r="2858" spans="13:14">
      <c r="M2858" s="2237"/>
      <c r="N2858" s="2238"/>
    </row>
    <row r="2859" spans="13:14">
      <c r="M2859" s="2237"/>
      <c r="N2859" s="2238"/>
    </row>
    <row r="2860" spans="13:14">
      <c r="M2860" s="2237"/>
      <c r="N2860" s="2238"/>
    </row>
    <row r="2861" spans="13:14">
      <c r="M2861" s="2237"/>
      <c r="N2861" s="2238"/>
    </row>
    <row r="2862" spans="13:14">
      <c r="M2862" s="2237"/>
      <c r="N2862" s="2238"/>
    </row>
    <row r="2863" spans="13:14">
      <c r="M2863" s="2237"/>
      <c r="N2863" s="2238"/>
    </row>
    <row r="2864" spans="13:14">
      <c r="M2864" s="2237"/>
      <c r="N2864" s="2238"/>
    </row>
    <row r="2865" spans="13:14">
      <c r="M2865" s="2237"/>
      <c r="N2865" s="2238"/>
    </row>
    <row r="2866" spans="13:14">
      <c r="M2866" s="2237"/>
      <c r="N2866" s="2238"/>
    </row>
    <row r="2867" spans="13:14">
      <c r="M2867" s="2237"/>
      <c r="N2867" s="2238"/>
    </row>
    <row r="2868" spans="13:14">
      <c r="M2868" s="2237"/>
      <c r="N2868" s="2238"/>
    </row>
    <row r="2869" spans="13:14">
      <c r="M2869" s="2237"/>
      <c r="N2869" s="2238"/>
    </row>
    <row r="2870" spans="13:14">
      <c r="M2870" s="2237"/>
      <c r="N2870" s="2238"/>
    </row>
    <row r="2871" spans="13:14">
      <c r="M2871" s="2237"/>
      <c r="N2871" s="2238"/>
    </row>
    <row r="2872" spans="13:14">
      <c r="M2872" s="2237"/>
      <c r="N2872" s="2238"/>
    </row>
    <row r="2873" spans="13:14">
      <c r="M2873" s="2237"/>
      <c r="N2873" s="2238"/>
    </row>
    <row r="2874" spans="13:14">
      <c r="M2874" s="2237"/>
      <c r="N2874" s="2238"/>
    </row>
    <row r="2875" spans="13:14">
      <c r="M2875" s="2237"/>
      <c r="N2875" s="2238"/>
    </row>
    <row r="2876" spans="13:14">
      <c r="M2876" s="2237"/>
      <c r="N2876" s="2238"/>
    </row>
    <row r="2877" spans="13:14">
      <c r="M2877" s="2237"/>
      <c r="N2877" s="2238"/>
    </row>
    <row r="2878" spans="13:14">
      <c r="M2878" s="2237"/>
      <c r="N2878" s="2238"/>
    </row>
    <row r="2879" spans="13:14">
      <c r="M2879" s="2237"/>
      <c r="N2879" s="2238"/>
    </row>
    <row r="2880" spans="13:14">
      <c r="M2880" s="2237"/>
      <c r="N2880" s="2238"/>
    </row>
    <row r="2881" spans="13:14">
      <c r="M2881" s="2237"/>
      <c r="N2881" s="2238"/>
    </row>
    <row r="2882" spans="13:14">
      <c r="M2882" s="2237"/>
      <c r="N2882" s="2238"/>
    </row>
    <row r="2883" spans="13:14">
      <c r="M2883" s="2237"/>
      <c r="N2883" s="2238"/>
    </row>
    <row r="2884" spans="13:14">
      <c r="M2884" s="2237"/>
      <c r="N2884" s="2238"/>
    </row>
    <row r="2885" spans="13:14">
      <c r="M2885" s="2237"/>
      <c r="N2885" s="2238"/>
    </row>
    <row r="2886" spans="13:14">
      <c r="M2886" s="2237"/>
      <c r="N2886" s="2238"/>
    </row>
    <row r="2887" spans="13:14">
      <c r="M2887" s="2237"/>
      <c r="N2887" s="2238"/>
    </row>
    <row r="2888" spans="13:14">
      <c r="M2888" s="2237"/>
      <c r="N2888" s="2238"/>
    </row>
    <row r="2889" spans="13:14">
      <c r="M2889" s="2237"/>
      <c r="N2889" s="2238"/>
    </row>
    <row r="2890" spans="13:14">
      <c r="M2890" s="2237"/>
      <c r="N2890" s="2238"/>
    </row>
    <row r="2891" spans="13:14">
      <c r="M2891" s="2237"/>
      <c r="N2891" s="2238"/>
    </row>
    <row r="2892" spans="13:14">
      <c r="M2892" s="2237"/>
      <c r="N2892" s="2238"/>
    </row>
    <row r="2893" spans="13:14">
      <c r="M2893" s="2237"/>
      <c r="N2893" s="2238"/>
    </row>
    <row r="2894" spans="13:14">
      <c r="M2894" s="2237"/>
      <c r="N2894" s="2238"/>
    </row>
    <row r="2895" spans="13:14">
      <c r="M2895" s="2237"/>
      <c r="N2895" s="2238"/>
    </row>
    <row r="2896" spans="13:14">
      <c r="M2896" s="2237"/>
      <c r="N2896" s="2238"/>
    </row>
    <row r="2897" spans="13:14">
      <c r="M2897" s="2237"/>
      <c r="N2897" s="2238"/>
    </row>
    <row r="2898" spans="13:14">
      <c r="M2898" s="2237"/>
      <c r="N2898" s="2238"/>
    </row>
    <row r="2899" spans="13:14">
      <c r="M2899" s="2237"/>
      <c r="N2899" s="2238"/>
    </row>
    <row r="2900" spans="13:14">
      <c r="M2900" s="2237"/>
      <c r="N2900" s="2238"/>
    </row>
    <row r="2901" spans="13:14">
      <c r="M2901" s="2237"/>
      <c r="N2901" s="2238"/>
    </row>
    <row r="2902" spans="13:14">
      <c r="M2902" s="2237"/>
      <c r="N2902" s="2238"/>
    </row>
    <row r="2903" spans="13:14">
      <c r="M2903" s="2237"/>
      <c r="N2903" s="2238"/>
    </row>
    <row r="2904" spans="13:14">
      <c r="M2904" s="2237"/>
      <c r="N2904" s="2238"/>
    </row>
    <row r="2905" spans="13:14">
      <c r="M2905" s="2237"/>
      <c r="N2905" s="2238"/>
    </row>
    <row r="2906" spans="13:14">
      <c r="M2906" s="2237"/>
      <c r="N2906" s="2238"/>
    </row>
    <row r="2907" spans="13:14">
      <c r="M2907" s="2237"/>
      <c r="N2907" s="2238"/>
    </row>
    <row r="2908" spans="13:14">
      <c r="M2908" s="2237"/>
      <c r="N2908" s="2238"/>
    </row>
    <row r="2909" spans="13:14">
      <c r="M2909" s="2237"/>
      <c r="N2909" s="2238"/>
    </row>
    <row r="2910" spans="13:14">
      <c r="M2910" s="2237"/>
      <c r="N2910" s="2238"/>
    </row>
    <row r="2911" spans="13:14">
      <c r="M2911" s="2237"/>
      <c r="N2911" s="2238"/>
    </row>
    <row r="2912" spans="13:14">
      <c r="M2912" s="2237"/>
      <c r="N2912" s="2238"/>
    </row>
    <row r="2913" spans="13:14">
      <c r="M2913" s="2237"/>
      <c r="N2913" s="2238"/>
    </row>
    <row r="2914" spans="13:14">
      <c r="M2914" s="2237"/>
      <c r="N2914" s="2238"/>
    </row>
    <row r="2915" spans="13:14">
      <c r="M2915" s="2237"/>
      <c r="N2915" s="2238"/>
    </row>
    <row r="2916" spans="13:14">
      <c r="M2916" s="2237"/>
      <c r="N2916" s="2238"/>
    </row>
    <row r="2917" spans="13:14">
      <c r="M2917" s="2237"/>
      <c r="N2917" s="2238"/>
    </row>
    <row r="2918" spans="13:14">
      <c r="M2918" s="2237"/>
      <c r="N2918" s="2238"/>
    </row>
    <row r="2919" spans="13:14">
      <c r="M2919" s="2237"/>
      <c r="N2919" s="2238"/>
    </row>
    <row r="2920" spans="13:14">
      <c r="M2920" s="2237"/>
      <c r="N2920" s="2238"/>
    </row>
    <row r="2921" spans="13:14">
      <c r="M2921" s="2237"/>
      <c r="N2921" s="2238"/>
    </row>
    <row r="2922" spans="13:14">
      <c r="M2922" s="2237"/>
      <c r="N2922" s="2238"/>
    </row>
    <row r="2923" spans="13:14">
      <c r="M2923" s="2237"/>
      <c r="N2923" s="2238"/>
    </row>
    <row r="2924" spans="13:14">
      <c r="M2924" s="2237"/>
      <c r="N2924" s="2238"/>
    </row>
    <row r="2925" spans="13:14">
      <c r="M2925" s="2237"/>
      <c r="N2925" s="2238"/>
    </row>
    <row r="2926" spans="13:14">
      <c r="M2926" s="2237"/>
      <c r="N2926" s="2238"/>
    </row>
    <row r="2927" spans="13:14">
      <c r="M2927" s="2237"/>
      <c r="N2927" s="2238"/>
    </row>
    <row r="2928" spans="13:14">
      <c r="M2928" s="2237"/>
      <c r="N2928" s="2238"/>
    </row>
    <row r="2929" spans="13:14">
      <c r="M2929" s="2237"/>
      <c r="N2929" s="2238"/>
    </row>
    <row r="2930" spans="13:14">
      <c r="M2930" s="2237"/>
      <c r="N2930" s="2238"/>
    </row>
    <row r="2931" spans="13:14">
      <c r="M2931" s="2237"/>
      <c r="N2931" s="2238"/>
    </row>
    <row r="2932" spans="13:14">
      <c r="M2932" s="2237"/>
      <c r="N2932" s="2238"/>
    </row>
    <row r="2933" spans="13:14">
      <c r="M2933" s="2237"/>
      <c r="N2933" s="2238"/>
    </row>
    <row r="2934" spans="13:14">
      <c r="M2934" s="2237"/>
      <c r="N2934" s="2238"/>
    </row>
    <row r="2935" spans="13:14">
      <c r="M2935" s="2237"/>
      <c r="N2935" s="2238"/>
    </row>
    <row r="2936" spans="13:14">
      <c r="M2936" s="2237"/>
      <c r="N2936" s="2238"/>
    </row>
    <row r="2937" spans="13:14">
      <c r="M2937" s="2237"/>
      <c r="N2937" s="2238"/>
    </row>
    <row r="2938" spans="13:14">
      <c r="M2938" s="2237"/>
      <c r="N2938" s="2238"/>
    </row>
    <row r="2939" spans="13:14">
      <c r="M2939" s="2237"/>
      <c r="N2939" s="2238"/>
    </row>
    <row r="2940" spans="13:14">
      <c r="M2940" s="2237"/>
      <c r="N2940" s="2238"/>
    </row>
    <row r="2941" spans="13:14">
      <c r="M2941" s="2237"/>
      <c r="N2941" s="2238"/>
    </row>
    <row r="2942" spans="13:14">
      <c r="M2942" s="2237"/>
      <c r="N2942" s="2238"/>
    </row>
    <row r="2943" spans="13:14">
      <c r="M2943" s="2237"/>
      <c r="N2943" s="2238"/>
    </row>
    <row r="2944" spans="13:14">
      <c r="M2944" s="2237"/>
      <c r="N2944" s="2238"/>
    </row>
    <row r="2945" spans="13:14">
      <c r="M2945" s="2237"/>
      <c r="N2945" s="2238"/>
    </row>
    <row r="2946" spans="13:14">
      <c r="M2946" s="2237"/>
      <c r="N2946" s="2238"/>
    </row>
    <row r="2947" spans="13:14">
      <c r="M2947" s="2237"/>
      <c r="N2947" s="2238"/>
    </row>
    <row r="2948" spans="13:14">
      <c r="M2948" s="2237"/>
      <c r="N2948" s="2238"/>
    </row>
    <row r="2949" spans="13:14">
      <c r="M2949" s="2237"/>
      <c r="N2949" s="2238"/>
    </row>
    <row r="2950" spans="13:14">
      <c r="M2950" s="2237"/>
      <c r="N2950" s="2238"/>
    </row>
    <row r="2951" spans="13:14">
      <c r="M2951" s="2237"/>
      <c r="N2951" s="2238"/>
    </row>
    <row r="2952" spans="13:14">
      <c r="M2952" s="2237"/>
      <c r="N2952" s="2238"/>
    </row>
    <row r="2953" spans="13:14">
      <c r="M2953" s="2237"/>
      <c r="N2953" s="2238"/>
    </row>
    <row r="2954" spans="13:14">
      <c r="M2954" s="2237"/>
      <c r="N2954" s="2238"/>
    </row>
    <row r="2955" spans="13:14">
      <c r="M2955" s="2237"/>
      <c r="N2955" s="2238"/>
    </row>
    <row r="2956" spans="13:14">
      <c r="M2956" s="2237"/>
      <c r="N2956" s="2238"/>
    </row>
    <row r="2957" spans="13:14">
      <c r="M2957" s="2237"/>
      <c r="N2957" s="2238"/>
    </row>
    <row r="2958" spans="13:14">
      <c r="M2958" s="2237"/>
      <c r="N2958" s="2238"/>
    </row>
    <row r="2959" spans="13:14">
      <c r="M2959" s="2237"/>
      <c r="N2959" s="2238"/>
    </row>
    <row r="2960" spans="13:14">
      <c r="M2960" s="2237"/>
      <c r="N2960" s="2238"/>
    </row>
    <row r="2961" spans="13:14">
      <c r="M2961" s="2237"/>
      <c r="N2961" s="2238"/>
    </row>
    <row r="2962" spans="13:14">
      <c r="M2962" s="2237"/>
      <c r="N2962" s="2238"/>
    </row>
    <row r="2963" spans="13:14">
      <c r="M2963" s="2237"/>
      <c r="N2963" s="2238"/>
    </row>
    <row r="2964" spans="13:14">
      <c r="M2964" s="2237"/>
      <c r="N2964" s="2238"/>
    </row>
    <row r="2965" spans="13:14">
      <c r="M2965" s="2237"/>
      <c r="N2965" s="2238"/>
    </row>
    <row r="2966" spans="13:14">
      <c r="M2966" s="2237"/>
      <c r="N2966" s="2238"/>
    </row>
    <row r="2967" spans="13:14">
      <c r="M2967" s="2237"/>
      <c r="N2967" s="2238"/>
    </row>
    <row r="2968" spans="13:14">
      <c r="M2968" s="2237"/>
      <c r="N2968" s="2238"/>
    </row>
    <row r="2969" spans="13:14">
      <c r="M2969" s="2237"/>
      <c r="N2969" s="2238"/>
    </row>
    <row r="2970" spans="13:14">
      <c r="M2970" s="2237"/>
      <c r="N2970" s="2238"/>
    </row>
    <row r="2971" spans="13:14">
      <c r="M2971" s="2237"/>
      <c r="N2971" s="2238"/>
    </row>
    <row r="2972" spans="13:14">
      <c r="M2972" s="2237"/>
      <c r="N2972" s="2238"/>
    </row>
    <row r="2973" spans="13:14">
      <c r="M2973" s="2237"/>
      <c r="N2973" s="2238"/>
    </row>
    <row r="2974" spans="13:14">
      <c r="M2974" s="2237"/>
      <c r="N2974" s="2238"/>
    </row>
    <row r="2975" spans="13:14">
      <c r="M2975" s="2237"/>
      <c r="N2975" s="2238"/>
    </row>
    <row r="2976" spans="13:14">
      <c r="M2976" s="2237"/>
      <c r="N2976" s="2238"/>
    </row>
    <row r="2977" spans="13:14">
      <c r="M2977" s="2237"/>
      <c r="N2977" s="2238"/>
    </row>
    <row r="2978" spans="13:14">
      <c r="M2978" s="2237"/>
      <c r="N2978" s="2238"/>
    </row>
    <row r="2979" spans="13:14">
      <c r="M2979" s="2237"/>
      <c r="N2979" s="2238"/>
    </row>
    <row r="2980" spans="13:14">
      <c r="M2980" s="2237"/>
      <c r="N2980" s="2238"/>
    </row>
    <row r="2981" spans="13:14">
      <c r="M2981" s="2237"/>
      <c r="N2981" s="2238"/>
    </row>
    <row r="2982" spans="13:14">
      <c r="M2982" s="2237"/>
      <c r="N2982" s="2238"/>
    </row>
    <row r="2983" spans="13:14">
      <c r="M2983" s="2237"/>
      <c r="N2983" s="2238"/>
    </row>
    <row r="2984" spans="13:14">
      <c r="M2984" s="2237"/>
      <c r="N2984" s="2238"/>
    </row>
    <row r="2985" spans="13:14">
      <c r="M2985" s="2237"/>
      <c r="N2985" s="2238"/>
    </row>
    <row r="2986" spans="13:14">
      <c r="M2986" s="2237"/>
      <c r="N2986" s="2238"/>
    </row>
    <row r="2987" spans="13:14">
      <c r="M2987" s="2237"/>
      <c r="N2987" s="2238"/>
    </row>
    <row r="2988" spans="13:14">
      <c r="M2988" s="2237"/>
      <c r="N2988" s="2238"/>
    </row>
    <row r="2989" spans="13:14">
      <c r="M2989" s="2237"/>
      <c r="N2989" s="2238"/>
    </row>
    <row r="2990" spans="13:14">
      <c r="M2990" s="2237"/>
      <c r="N2990" s="2238"/>
    </row>
    <row r="2991" spans="13:14">
      <c r="M2991" s="2237"/>
      <c r="N2991" s="2238"/>
    </row>
    <row r="2992" spans="13:14">
      <c r="M2992" s="2237"/>
      <c r="N2992" s="2238"/>
    </row>
    <row r="2993" spans="13:14">
      <c r="M2993" s="2237"/>
      <c r="N2993" s="2238"/>
    </row>
    <row r="2994" spans="13:14">
      <c r="M2994" s="2237"/>
      <c r="N2994" s="2238"/>
    </row>
    <row r="2995" spans="13:14">
      <c r="M2995" s="2237"/>
      <c r="N2995" s="2238"/>
    </row>
    <row r="2996" spans="13:14">
      <c r="M2996" s="2237"/>
      <c r="N2996" s="2238"/>
    </row>
    <row r="2997" spans="13:14">
      <c r="M2997" s="2237"/>
      <c r="N2997" s="2238"/>
    </row>
    <row r="2998" spans="13:14">
      <c r="M2998" s="2237"/>
      <c r="N2998" s="2238"/>
    </row>
    <row r="2999" spans="13:14">
      <c r="M2999" s="2237"/>
      <c r="N2999" s="2238"/>
    </row>
    <row r="3000" spans="13:14">
      <c r="M3000" s="2237"/>
      <c r="N3000" s="2238"/>
    </row>
    <row r="3001" spans="13:14">
      <c r="M3001" s="2237"/>
      <c r="N3001" s="2238"/>
    </row>
    <row r="3002" spans="13:14">
      <c r="M3002" s="2237"/>
      <c r="N3002" s="2238"/>
    </row>
    <row r="3003" spans="13:14">
      <c r="M3003" s="2237"/>
      <c r="N3003" s="2238"/>
    </row>
    <row r="3004" spans="13:14">
      <c r="M3004" s="2237"/>
      <c r="N3004" s="2238"/>
    </row>
    <row r="3005" spans="13:14">
      <c r="M3005" s="2237"/>
      <c r="N3005" s="2238"/>
    </row>
    <row r="3006" spans="13:14">
      <c r="M3006" s="2237"/>
      <c r="N3006" s="2238"/>
    </row>
    <row r="3007" spans="13:14">
      <c r="M3007" s="2237"/>
      <c r="N3007" s="2238"/>
    </row>
    <row r="3008" spans="13:14">
      <c r="M3008" s="2237"/>
      <c r="N3008" s="2238"/>
    </row>
    <row r="3009" spans="13:14">
      <c r="M3009" s="2237"/>
      <c r="N3009" s="2238"/>
    </row>
    <row r="3010" spans="13:14">
      <c r="M3010" s="2237"/>
      <c r="N3010" s="2238"/>
    </row>
    <row r="3011" spans="13:14">
      <c r="M3011" s="2237"/>
      <c r="N3011" s="2238"/>
    </row>
    <row r="3012" spans="13:14">
      <c r="M3012" s="2237"/>
      <c r="N3012" s="2238"/>
    </row>
    <row r="3013" spans="13:14">
      <c r="M3013" s="2237"/>
      <c r="N3013" s="2238"/>
    </row>
    <row r="3014" spans="13:14">
      <c r="M3014" s="2237"/>
      <c r="N3014" s="2238"/>
    </row>
    <row r="3015" spans="13:14">
      <c r="M3015" s="2237"/>
      <c r="N3015" s="2238"/>
    </row>
    <row r="3016" spans="13:14">
      <c r="M3016" s="2237"/>
      <c r="N3016" s="2238"/>
    </row>
    <row r="3017" spans="13:14">
      <c r="M3017" s="2237"/>
      <c r="N3017" s="2238"/>
    </row>
    <row r="3018" spans="13:14">
      <c r="M3018" s="2237"/>
      <c r="N3018" s="2238"/>
    </row>
    <row r="3019" spans="13:14">
      <c r="M3019" s="2237"/>
      <c r="N3019" s="2238"/>
    </row>
    <row r="3020" spans="13:14">
      <c r="M3020" s="2237"/>
      <c r="N3020" s="2238"/>
    </row>
    <row r="3021" spans="13:14">
      <c r="M3021" s="2237"/>
      <c r="N3021" s="2238"/>
    </row>
    <row r="3022" spans="13:14">
      <c r="M3022" s="2237"/>
      <c r="N3022" s="2238"/>
    </row>
    <row r="3023" spans="13:14">
      <c r="M3023" s="2237"/>
      <c r="N3023" s="2238"/>
    </row>
    <row r="3024" spans="13:14">
      <c r="M3024" s="2237"/>
      <c r="N3024" s="2238"/>
    </row>
    <row r="3025" spans="13:14">
      <c r="M3025" s="2237"/>
      <c r="N3025" s="2238"/>
    </row>
    <row r="3026" spans="13:14">
      <c r="M3026" s="2237"/>
      <c r="N3026" s="2238"/>
    </row>
    <row r="3027" spans="13:14">
      <c r="M3027" s="2237"/>
      <c r="N3027" s="2238"/>
    </row>
    <row r="3028" spans="13:14">
      <c r="M3028" s="2237"/>
      <c r="N3028" s="2238"/>
    </row>
    <row r="3029" spans="13:14">
      <c r="M3029" s="2237"/>
      <c r="N3029" s="2238"/>
    </row>
    <row r="3030" spans="13:14">
      <c r="M3030" s="2237"/>
      <c r="N3030" s="2238"/>
    </row>
    <row r="3031" spans="13:14">
      <c r="M3031" s="2237"/>
      <c r="N3031" s="2238"/>
    </row>
    <row r="3032" spans="13:14">
      <c r="M3032" s="2237"/>
      <c r="N3032" s="2238"/>
    </row>
    <row r="3033" spans="13:14">
      <c r="M3033" s="2237"/>
      <c r="N3033" s="2238"/>
    </row>
    <row r="3034" spans="13:14">
      <c r="M3034" s="2237"/>
      <c r="N3034" s="2238"/>
    </row>
    <row r="3035" spans="13:14">
      <c r="M3035" s="2237"/>
      <c r="N3035" s="2238"/>
    </row>
    <row r="3036" spans="13:14">
      <c r="M3036" s="2237"/>
      <c r="N3036" s="2238"/>
    </row>
    <row r="3037" spans="13:14">
      <c r="M3037" s="2237"/>
      <c r="N3037" s="2238"/>
    </row>
    <row r="3038" spans="13:14">
      <c r="M3038" s="2237"/>
      <c r="N3038" s="2238"/>
    </row>
    <row r="3039" spans="13:14">
      <c r="M3039" s="2237"/>
      <c r="N3039" s="2238"/>
    </row>
    <row r="3040" spans="13:14">
      <c r="M3040" s="2237"/>
      <c r="N3040" s="2238"/>
    </row>
    <row r="3041" spans="13:14">
      <c r="M3041" s="2237"/>
      <c r="N3041" s="2238"/>
    </row>
    <row r="3042" spans="13:14">
      <c r="M3042" s="2237"/>
      <c r="N3042" s="2238"/>
    </row>
    <row r="3043" spans="13:14">
      <c r="M3043" s="2237"/>
      <c r="N3043" s="2238"/>
    </row>
    <row r="3044" spans="13:14">
      <c r="M3044" s="2237"/>
      <c r="N3044" s="2238"/>
    </row>
    <row r="3045" spans="13:14">
      <c r="M3045" s="2237"/>
      <c r="N3045" s="2238"/>
    </row>
    <row r="3046" spans="13:14">
      <c r="M3046" s="2237"/>
      <c r="N3046" s="2238"/>
    </row>
    <row r="3047" spans="13:14">
      <c r="M3047" s="2237"/>
      <c r="N3047" s="2238"/>
    </row>
    <row r="3048" spans="13:14">
      <c r="M3048" s="2237"/>
      <c r="N3048" s="2238"/>
    </row>
    <row r="3049" spans="13:14">
      <c r="M3049" s="2237"/>
      <c r="N3049" s="2238"/>
    </row>
    <row r="3050" spans="13:14">
      <c r="M3050" s="2237"/>
      <c r="N3050" s="2238"/>
    </row>
    <row r="3051" spans="13:14">
      <c r="M3051" s="2237"/>
      <c r="N3051" s="2238"/>
    </row>
    <row r="3052" spans="13:14">
      <c r="M3052" s="2237"/>
      <c r="N3052" s="2238"/>
    </row>
    <row r="3053" spans="13:14">
      <c r="M3053" s="2237"/>
      <c r="N3053" s="2238"/>
    </row>
    <row r="3054" spans="13:14">
      <c r="M3054" s="2237"/>
      <c r="N3054" s="2238"/>
    </row>
    <row r="3055" spans="13:14">
      <c r="M3055" s="2237"/>
      <c r="N3055" s="2238"/>
    </row>
    <row r="3056" spans="13:14">
      <c r="M3056" s="2237"/>
      <c r="N3056" s="2238"/>
    </row>
    <row r="3057" spans="13:14">
      <c r="M3057" s="2237"/>
      <c r="N3057" s="2238"/>
    </row>
    <row r="3058" spans="13:14">
      <c r="M3058" s="2237"/>
      <c r="N3058" s="2238"/>
    </row>
    <row r="3059" spans="13:14">
      <c r="M3059" s="2237"/>
      <c r="N3059" s="2238"/>
    </row>
    <row r="3060" spans="13:14">
      <c r="M3060" s="2237"/>
      <c r="N3060" s="2238"/>
    </row>
    <row r="3061" spans="13:14">
      <c r="M3061" s="2237"/>
      <c r="N3061" s="2238"/>
    </row>
    <row r="3062" spans="13:14">
      <c r="M3062" s="2237"/>
      <c r="N3062" s="2238"/>
    </row>
    <row r="3063" spans="13:14">
      <c r="M3063" s="2237"/>
      <c r="N3063" s="2238"/>
    </row>
    <row r="3064" spans="13:14">
      <c r="M3064" s="2237"/>
      <c r="N3064" s="2238"/>
    </row>
    <row r="3065" spans="13:14">
      <c r="M3065" s="2237"/>
      <c r="N3065" s="2238"/>
    </row>
    <row r="3066" spans="13:14">
      <c r="M3066" s="2237"/>
      <c r="N3066" s="2238"/>
    </row>
    <row r="3067" spans="13:14">
      <c r="M3067" s="2237"/>
      <c r="N3067" s="2238"/>
    </row>
    <row r="3068" spans="13:14">
      <c r="M3068" s="2237"/>
      <c r="N3068" s="2238"/>
    </row>
    <row r="3069" spans="13:14">
      <c r="M3069" s="2237"/>
      <c r="N3069" s="2238"/>
    </row>
    <row r="3070" spans="13:14">
      <c r="M3070" s="2237"/>
      <c r="N3070" s="2238"/>
    </row>
    <row r="3071" spans="13:14">
      <c r="M3071" s="2237"/>
      <c r="N3071" s="2238"/>
    </row>
    <row r="3072" spans="13:14">
      <c r="M3072" s="2237"/>
      <c r="N3072" s="2238"/>
    </row>
    <row r="3073" spans="13:14">
      <c r="M3073" s="2237"/>
      <c r="N3073" s="2238"/>
    </row>
    <row r="3074" spans="13:14">
      <c r="M3074" s="2237"/>
      <c r="N3074" s="2238"/>
    </row>
    <row r="3075" spans="13:14">
      <c r="M3075" s="2237"/>
      <c r="N3075" s="2238"/>
    </row>
    <row r="3076" spans="13:14">
      <c r="M3076" s="2237"/>
      <c r="N3076" s="2238"/>
    </row>
    <row r="3077" spans="13:14">
      <c r="M3077" s="2237"/>
      <c r="N3077" s="2238"/>
    </row>
    <row r="3078" spans="13:14">
      <c r="M3078" s="2237"/>
      <c r="N3078" s="2238"/>
    </row>
    <row r="3079" spans="13:14">
      <c r="M3079" s="2237"/>
      <c r="N3079" s="2238"/>
    </row>
    <row r="3080" spans="13:14">
      <c r="M3080" s="2237"/>
      <c r="N3080" s="2238"/>
    </row>
    <row r="3081" spans="13:14">
      <c r="M3081" s="2237"/>
      <c r="N3081" s="2238"/>
    </row>
    <row r="3082" spans="13:14">
      <c r="M3082" s="2237"/>
      <c r="N3082" s="2238"/>
    </row>
    <row r="3083" spans="13:14">
      <c r="M3083" s="2237"/>
      <c r="N3083" s="2238"/>
    </row>
    <row r="3084" spans="13:14">
      <c r="M3084" s="2237"/>
      <c r="N3084" s="2238"/>
    </row>
    <row r="3085" spans="13:14">
      <c r="M3085" s="2237"/>
      <c r="N3085" s="2238"/>
    </row>
    <row r="3086" spans="13:14">
      <c r="M3086" s="2237"/>
      <c r="N3086" s="2238"/>
    </row>
    <row r="3087" spans="13:14">
      <c r="M3087" s="2237"/>
      <c r="N3087" s="2238"/>
    </row>
    <row r="3088" spans="13:14">
      <c r="M3088" s="2237"/>
      <c r="N3088" s="2238"/>
    </row>
    <row r="3089" spans="13:14">
      <c r="M3089" s="2237"/>
      <c r="N3089" s="2238"/>
    </row>
    <row r="3090" spans="13:14">
      <c r="M3090" s="2237"/>
      <c r="N3090" s="2238"/>
    </row>
    <row r="3091" spans="13:14">
      <c r="M3091" s="2237"/>
      <c r="N3091" s="2238"/>
    </row>
    <row r="3092" spans="13:14">
      <c r="M3092" s="2237"/>
      <c r="N3092" s="2238"/>
    </row>
    <row r="3093" spans="13:14">
      <c r="M3093" s="2237"/>
      <c r="N3093" s="2238"/>
    </row>
    <row r="3094" spans="13:14">
      <c r="M3094" s="2237"/>
      <c r="N3094" s="2238"/>
    </row>
    <row r="3095" spans="13:14">
      <c r="M3095" s="2237"/>
      <c r="N3095" s="2238"/>
    </row>
    <row r="3096" spans="13:14">
      <c r="M3096" s="2237"/>
      <c r="N3096" s="2238"/>
    </row>
    <row r="3097" spans="13:14">
      <c r="M3097" s="2237"/>
      <c r="N3097" s="2238"/>
    </row>
    <row r="3098" spans="13:14">
      <c r="M3098" s="2237"/>
      <c r="N3098" s="2238"/>
    </row>
    <row r="3099" spans="13:14">
      <c r="M3099" s="2237"/>
      <c r="N3099" s="2238"/>
    </row>
    <row r="3100" spans="13:14">
      <c r="M3100" s="2237"/>
      <c r="N3100" s="2238"/>
    </row>
    <row r="3101" spans="13:14">
      <c r="M3101" s="2237"/>
      <c r="N3101" s="2238"/>
    </row>
    <row r="3102" spans="13:14">
      <c r="M3102" s="2237"/>
      <c r="N3102" s="2238"/>
    </row>
    <row r="3103" spans="13:14">
      <c r="M3103" s="2237"/>
      <c r="N3103" s="2238"/>
    </row>
    <row r="3104" spans="13:14">
      <c r="M3104" s="2237"/>
      <c r="N3104" s="2238"/>
    </row>
    <row r="3105" spans="13:14">
      <c r="M3105" s="2237"/>
      <c r="N3105" s="2238"/>
    </row>
    <row r="3106" spans="13:14">
      <c r="M3106" s="2237"/>
      <c r="N3106" s="2238"/>
    </row>
    <row r="3107" spans="13:14">
      <c r="M3107" s="2237"/>
      <c r="N3107" s="2238"/>
    </row>
    <row r="3108" spans="13:14">
      <c r="M3108" s="2237"/>
      <c r="N3108" s="2238"/>
    </row>
    <row r="3109" spans="13:14">
      <c r="M3109" s="2237"/>
      <c r="N3109" s="2238"/>
    </row>
    <row r="3110" spans="13:14">
      <c r="M3110" s="2237"/>
      <c r="N3110" s="2238"/>
    </row>
    <row r="3111" spans="13:14">
      <c r="M3111" s="2237"/>
      <c r="N3111" s="2238"/>
    </row>
    <row r="3112" spans="13:14">
      <c r="M3112" s="2237"/>
      <c r="N3112" s="2238"/>
    </row>
    <row r="3113" spans="13:14">
      <c r="M3113" s="2237"/>
      <c r="N3113" s="2238"/>
    </row>
    <row r="3114" spans="13:14">
      <c r="M3114" s="2237"/>
      <c r="N3114" s="2238"/>
    </row>
    <row r="3115" spans="13:14">
      <c r="M3115" s="2237"/>
      <c r="N3115" s="2238"/>
    </row>
    <row r="3116" spans="13:14">
      <c r="M3116" s="2237"/>
      <c r="N3116" s="2238"/>
    </row>
    <row r="3117" spans="13:14">
      <c r="M3117" s="2237"/>
      <c r="N3117" s="2238"/>
    </row>
    <row r="3118" spans="13:14">
      <c r="M3118" s="2237"/>
      <c r="N3118" s="2238"/>
    </row>
    <row r="3119" spans="13:14">
      <c r="M3119" s="2237"/>
      <c r="N3119" s="2238"/>
    </row>
    <row r="3120" spans="13:14">
      <c r="M3120" s="2237"/>
      <c r="N3120" s="2238"/>
    </row>
    <row r="3121" spans="13:14">
      <c r="M3121" s="2237"/>
      <c r="N3121" s="2238"/>
    </row>
    <row r="3122" spans="13:14">
      <c r="M3122" s="2237"/>
      <c r="N3122" s="2238"/>
    </row>
    <row r="3123" spans="13:14">
      <c r="M3123" s="2237"/>
      <c r="N3123" s="2238"/>
    </row>
    <row r="3124" spans="13:14">
      <c r="M3124" s="2237"/>
      <c r="N3124" s="2238"/>
    </row>
    <row r="3125" spans="13:14">
      <c r="M3125" s="2237"/>
      <c r="N3125" s="2238"/>
    </row>
    <row r="3126" spans="13:14">
      <c r="M3126" s="2237"/>
      <c r="N3126" s="2238"/>
    </row>
    <row r="3127" spans="13:14">
      <c r="M3127" s="2237"/>
      <c r="N3127" s="2238"/>
    </row>
    <row r="3128" spans="13:14">
      <c r="M3128" s="2237"/>
      <c r="N3128" s="2238"/>
    </row>
    <row r="3129" spans="13:14">
      <c r="M3129" s="2237"/>
      <c r="N3129" s="2238"/>
    </row>
    <row r="3130" spans="13:14">
      <c r="M3130" s="2237"/>
      <c r="N3130" s="2238"/>
    </row>
    <row r="3131" spans="13:14">
      <c r="M3131" s="2237"/>
      <c r="N3131" s="2238"/>
    </row>
    <row r="3132" spans="13:14">
      <c r="M3132" s="2237"/>
      <c r="N3132" s="2238"/>
    </row>
    <row r="3133" spans="13:14">
      <c r="M3133" s="2237"/>
      <c r="N3133" s="2238"/>
    </row>
    <row r="3134" spans="13:14">
      <c r="M3134" s="2237"/>
      <c r="N3134" s="2238"/>
    </row>
    <row r="3135" spans="13:14">
      <c r="M3135" s="2237"/>
      <c r="N3135" s="2238"/>
    </row>
    <row r="3136" spans="13:14">
      <c r="M3136" s="2237"/>
      <c r="N3136" s="2238"/>
    </row>
    <row r="3137" spans="13:14">
      <c r="M3137" s="2237"/>
      <c r="N3137" s="2238"/>
    </row>
    <row r="3138" spans="13:14">
      <c r="M3138" s="2237"/>
      <c r="N3138" s="2238"/>
    </row>
    <row r="3139" spans="13:14">
      <c r="M3139" s="2237"/>
      <c r="N3139" s="2238"/>
    </row>
    <row r="3140" spans="13:14">
      <c r="M3140" s="2237"/>
      <c r="N3140" s="2238"/>
    </row>
    <row r="3141" spans="13:14">
      <c r="M3141" s="2237"/>
      <c r="N3141" s="2238"/>
    </row>
    <row r="3142" spans="13:14">
      <c r="M3142" s="2237"/>
      <c r="N3142" s="2238"/>
    </row>
    <row r="3143" spans="13:14">
      <c r="M3143" s="2237"/>
      <c r="N3143" s="2238"/>
    </row>
    <row r="3144" spans="13:14">
      <c r="M3144" s="2237"/>
      <c r="N3144" s="2238"/>
    </row>
    <row r="3145" spans="13:14">
      <c r="M3145" s="2237"/>
      <c r="N3145" s="2238"/>
    </row>
    <row r="3146" spans="13:14">
      <c r="M3146" s="2237"/>
      <c r="N3146" s="2238"/>
    </row>
    <row r="3147" spans="13:14">
      <c r="M3147" s="2237"/>
      <c r="N3147" s="2238"/>
    </row>
    <row r="3148" spans="13:14">
      <c r="M3148" s="2237"/>
      <c r="N3148" s="2238"/>
    </row>
    <row r="3149" spans="13:14">
      <c r="M3149" s="2237"/>
      <c r="N3149" s="2238"/>
    </row>
    <row r="3150" spans="13:14">
      <c r="M3150" s="2237"/>
      <c r="N3150" s="2238"/>
    </row>
    <row r="3151" spans="13:14">
      <c r="M3151" s="2237"/>
      <c r="N3151" s="2238"/>
    </row>
    <row r="3152" spans="13:14">
      <c r="M3152" s="2237"/>
      <c r="N3152" s="2238"/>
    </row>
    <row r="3153" spans="13:14">
      <c r="M3153" s="2237"/>
      <c r="N3153" s="2238"/>
    </row>
    <row r="3154" spans="13:14">
      <c r="M3154" s="2237"/>
      <c r="N3154" s="2238"/>
    </row>
    <row r="3155" spans="13:14">
      <c r="M3155" s="2237"/>
      <c r="N3155" s="2238"/>
    </row>
    <row r="3156" spans="13:14">
      <c r="M3156" s="2237"/>
      <c r="N3156" s="2238"/>
    </row>
    <row r="3157" spans="13:14">
      <c r="M3157" s="2237"/>
      <c r="N3157" s="2238"/>
    </row>
    <row r="3158" spans="13:14">
      <c r="M3158" s="2237"/>
      <c r="N3158" s="2238"/>
    </row>
    <row r="3159" spans="13:14">
      <c r="M3159" s="2237"/>
      <c r="N3159" s="2238"/>
    </row>
    <row r="3160" spans="13:14">
      <c r="M3160" s="2237"/>
      <c r="N3160" s="2238"/>
    </row>
    <row r="3161" spans="13:14">
      <c r="M3161" s="2237"/>
      <c r="N3161" s="2238"/>
    </row>
    <row r="3162" spans="13:14">
      <c r="M3162" s="2237"/>
      <c r="N3162" s="2238"/>
    </row>
    <row r="3163" spans="13:14">
      <c r="M3163" s="2237"/>
      <c r="N3163" s="2238"/>
    </row>
    <row r="3164" spans="13:14">
      <c r="M3164" s="2237"/>
      <c r="N3164" s="2238"/>
    </row>
    <row r="3165" spans="13:14">
      <c r="M3165" s="2237"/>
      <c r="N3165" s="2238"/>
    </row>
    <row r="3166" spans="13:14">
      <c r="M3166" s="2237"/>
      <c r="N3166" s="2238"/>
    </row>
    <row r="3167" spans="13:14">
      <c r="M3167" s="2237"/>
      <c r="N3167" s="2238"/>
    </row>
    <row r="3168" spans="13:14">
      <c r="M3168" s="2237"/>
      <c r="N3168" s="2238"/>
    </row>
    <row r="3169" spans="13:14">
      <c r="M3169" s="2237"/>
      <c r="N3169" s="2238"/>
    </row>
    <row r="3170" spans="13:14">
      <c r="M3170" s="2237"/>
      <c r="N3170" s="2238"/>
    </row>
    <row r="3171" spans="13:14">
      <c r="M3171" s="2237"/>
      <c r="N3171" s="2238"/>
    </row>
    <row r="3172" spans="13:14">
      <c r="M3172" s="2237"/>
      <c r="N3172" s="2238"/>
    </row>
    <row r="3173" spans="13:14">
      <c r="M3173" s="2237"/>
      <c r="N3173" s="2238"/>
    </row>
    <row r="3174" spans="13:14">
      <c r="M3174" s="2237"/>
      <c r="N3174" s="2238"/>
    </row>
    <row r="3175" spans="13:14">
      <c r="M3175" s="2237"/>
      <c r="N3175" s="2238"/>
    </row>
    <row r="3176" spans="13:14">
      <c r="M3176" s="2237"/>
      <c r="N3176" s="2238"/>
    </row>
    <row r="3177" spans="13:14">
      <c r="M3177" s="2237"/>
      <c r="N3177" s="2238"/>
    </row>
    <row r="3178" spans="13:14">
      <c r="M3178" s="2237"/>
      <c r="N3178" s="2238"/>
    </row>
    <row r="3179" spans="13:14">
      <c r="M3179" s="2237"/>
      <c r="N3179" s="2238"/>
    </row>
    <row r="3180" spans="13:14">
      <c r="M3180" s="2237"/>
      <c r="N3180" s="2238"/>
    </row>
    <row r="3181" spans="13:14">
      <c r="M3181" s="2237"/>
      <c r="N3181" s="2238"/>
    </row>
    <row r="3182" spans="13:14">
      <c r="M3182" s="2237"/>
      <c r="N3182" s="2238"/>
    </row>
    <row r="3183" spans="13:14">
      <c r="M3183" s="2237"/>
      <c r="N3183" s="2238"/>
    </row>
    <row r="3184" spans="13:14">
      <c r="M3184" s="2237"/>
      <c r="N3184" s="2238"/>
    </row>
    <row r="3185" spans="13:14">
      <c r="M3185" s="2237"/>
      <c r="N3185" s="2238"/>
    </row>
    <row r="3186" spans="13:14">
      <c r="M3186" s="2237"/>
      <c r="N3186" s="2238"/>
    </row>
    <row r="3187" spans="13:14">
      <c r="M3187" s="2237"/>
      <c r="N3187" s="2238"/>
    </row>
    <row r="3188" spans="13:14">
      <c r="M3188" s="2237"/>
      <c r="N3188" s="2238"/>
    </row>
    <row r="3189" spans="13:14">
      <c r="M3189" s="2237"/>
      <c r="N3189" s="2238"/>
    </row>
    <row r="3190" spans="13:14">
      <c r="M3190" s="2237"/>
      <c r="N3190" s="2238"/>
    </row>
    <row r="3191" spans="13:14">
      <c r="M3191" s="2237"/>
      <c r="N3191" s="2238"/>
    </row>
    <row r="3192" spans="13:14">
      <c r="M3192" s="2237"/>
      <c r="N3192" s="2238"/>
    </row>
    <row r="3193" spans="13:14">
      <c r="M3193" s="2237"/>
      <c r="N3193" s="2238"/>
    </row>
    <row r="3194" spans="13:14">
      <c r="M3194" s="2237"/>
      <c r="N3194" s="2238"/>
    </row>
    <row r="3195" spans="13:14">
      <c r="M3195" s="2237"/>
      <c r="N3195" s="2238"/>
    </row>
    <row r="3196" spans="13:14">
      <c r="M3196" s="2237"/>
      <c r="N3196" s="2238"/>
    </row>
    <row r="3197" spans="13:14">
      <c r="M3197" s="2237"/>
      <c r="N3197" s="2238"/>
    </row>
    <row r="3198" spans="13:14">
      <c r="M3198" s="2237"/>
      <c r="N3198" s="2238"/>
    </row>
    <row r="3199" spans="13:14">
      <c r="M3199" s="2237"/>
      <c r="N3199" s="2238"/>
    </row>
    <row r="3200" spans="13:14">
      <c r="M3200" s="2237"/>
      <c r="N3200" s="2238"/>
    </row>
    <row r="3201" spans="13:14">
      <c r="M3201" s="2237"/>
      <c r="N3201" s="2238"/>
    </row>
    <row r="3202" spans="13:14">
      <c r="M3202" s="2237"/>
      <c r="N3202" s="2238"/>
    </row>
    <row r="3203" spans="13:14">
      <c r="M3203" s="2237"/>
      <c r="N3203" s="2238"/>
    </row>
    <row r="3204" spans="13:14">
      <c r="M3204" s="2237"/>
      <c r="N3204" s="2238"/>
    </row>
    <row r="3205" spans="13:14">
      <c r="M3205" s="2237"/>
      <c r="N3205" s="2238"/>
    </row>
    <row r="3206" spans="13:14">
      <c r="M3206" s="2237"/>
      <c r="N3206" s="2238"/>
    </row>
    <row r="3207" spans="13:14">
      <c r="M3207" s="2237"/>
      <c r="N3207" s="2238"/>
    </row>
    <row r="3208" spans="13:14">
      <c r="M3208" s="2237"/>
      <c r="N3208" s="2238"/>
    </row>
    <row r="3209" spans="13:14">
      <c r="M3209" s="2237"/>
      <c r="N3209" s="2238"/>
    </row>
    <row r="3210" spans="13:14">
      <c r="M3210" s="2237"/>
      <c r="N3210" s="2238"/>
    </row>
    <row r="3211" spans="13:14">
      <c r="M3211" s="2237"/>
      <c r="N3211" s="2238"/>
    </row>
    <row r="3212" spans="13:14">
      <c r="M3212" s="2237"/>
      <c r="N3212" s="2238"/>
    </row>
    <row r="3213" spans="13:14">
      <c r="M3213" s="2237"/>
      <c r="N3213" s="2238"/>
    </row>
    <row r="3214" spans="13:14">
      <c r="M3214" s="2237"/>
      <c r="N3214" s="2238"/>
    </row>
    <row r="3215" spans="13:14">
      <c r="M3215" s="2237"/>
      <c r="N3215" s="2238"/>
    </row>
    <row r="3216" spans="13:14">
      <c r="M3216" s="2237"/>
      <c r="N3216" s="2238"/>
    </row>
    <row r="3217" spans="13:14">
      <c r="M3217" s="2237"/>
      <c r="N3217" s="2238"/>
    </row>
    <row r="3218" spans="13:14">
      <c r="M3218" s="2237"/>
      <c r="N3218" s="2238"/>
    </row>
    <row r="3219" spans="13:14">
      <c r="M3219" s="2237"/>
      <c r="N3219" s="2238"/>
    </row>
    <row r="3220" spans="13:14">
      <c r="M3220" s="2237"/>
      <c r="N3220" s="2238"/>
    </row>
    <row r="3221" spans="13:14">
      <c r="M3221" s="2237"/>
      <c r="N3221" s="2238"/>
    </row>
    <row r="3222" spans="13:14">
      <c r="M3222" s="2237"/>
      <c r="N3222" s="2238"/>
    </row>
    <row r="3223" spans="13:14">
      <c r="M3223" s="2237"/>
      <c r="N3223" s="2238"/>
    </row>
    <row r="3224" spans="13:14">
      <c r="M3224" s="2237"/>
      <c r="N3224" s="2238"/>
    </row>
    <row r="3225" spans="13:14">
      <c r="M3225" s="2237"/>
      <c r="N3225" s="2238"/>
    </row>
    <row r="3226" spans="13:14">
      <c r="M3226" s="2237"/>
      <c r="N3226" s="2238"/>
    </row>
    <row r="3227" spans="13:14">
      <c r="M3227" s="2237"/>
      <c r="N3227" s="2238"/>
    </row>
    <row r="3228" spans="13:14">
      <c r="M3228" s="2237"/>
      <c r="N3228" s="2238"/>
    </row>
    <row r="3229" spans="13:14">
      <c r="M3229" s="2237"/>
      <c r="N3229" s="2238"/>
    </row>
    <row r="3230" spans="13:14">
      <c r="M3230" s="2237"/>
      <c r="N3230" s="2238"/>
    </row>
    <row r="3231" spans="13:14">
      <c r="M3231" s="2237"/>
      <c r="N3231" s="2238"/>
    </row>
    <row r="3232" spans="13:14">
      <c r="M3232" s="2237"/>
      <c r="N3232" s="2238"/>
    </row>
    <row r="3233" spans="13:14">
      <c r="M3233" s="2237"/>
      <c r="N3233" s="2238"/>
    </row>
    <row r="3234" spans="13:14">
      <c r="M3234" s="2237"/>
      <c r="N3234" s="2238"/>
    </row>
    <row r="3235" spans="13:14">
      <c r="M3235" s="2237"/>
      <c r="N3235" s="2238"/>
    </row>
    <row r="3236" spans="13:14">
      <c r="M3236" s="2237"/>
      <c r="N3236" s="2238"/>
    </row>
    <row r="3237" spans="13:14">
      <c r="M3237" s="2237"/>
      <c r="N3237" s="2238"/>
    </row>
    <row r="3238" spans="13:14">
      <c r="M3238" s="2237"/>
      <c r="N3238" s="2238"/>
    </row>
    <row r="3239" spans="13:14">
      <c r="M3239" s="2237"/>
      <c r="N3239" s="2238"/>
    </row>
    <row r="3240" spans="13:14">
      <c r="M3240" s="2237"/>
      <c r="N3240" s="2238"/>
    </row>
    <row r="3241" spans="13:14">
      <c r="M3241" s="2237"/>
      <c r="N3241" s="2238"/>
    </row>
    <row r="3242" spans="13:14">
      <c r="M3242" s="2237"/>
      <c r="N3242" s="2238"/>
    </row>
    <row r="3243" spans="13:14">
      <c r="M3243" s="2237"/>
      <c r="N3243" s="2238"/>
    </row>
    <row r="3244" spans="13:14">
      <c r="M3244" s="2237"/>
      <c r="N3244" s="2238"/>
    </row>
    <row r="3245" spans="13:14">
      <c r="M3245" s="2237"/>
      <c r="N3245" s="2238"/>
    </row>
    <row r="3246" spans="13:14">
      <c r="M3246" s="2237"/>
      <c r="N3246" s="2238"/>
    </row>
    <row r="3247" spans="13:14">
      <c r="M3247" s="2237"/>
      <c r="N3247" s="2238"/>
    </row>
    <row r="3248" spans="13:14">
      <c r="M3248" s="2237"/>
      <c r="N3248" s="2238"/>
    </row>
    <row r="3249" spans="13:14">
      <c r="M3249" s="2237"/>
      <c r="N3249" s="2238"/>
    </row>
    <row r="3250" spans="13:14">
      <c r="M3250" s="2237"/>
      <c r="N3250" s="2238"/>
    </row>
    <row r="3251" spans="13:14">
      <c r="M3251" s="2237"/>
      <c r="N3251" s="2238"/>
    </row>
    <row r="3252" spans="13:14">
      <c r="M3252" s="2237"/>
      <c r="N3252" s="2238"/>
    </row>
    <row r="3253" spans="13:14">
      <c r="M3253" s="2237"/>
      <c r="N3253" s="2238"/>
    </row>
    <row r="3254" spans="13:14">
      <c r="M3254" s="2237"/>
      <c r="N3254" s="2238"/>
    </row>
    <row r="3255" spans="13:14">
      <c r="M3255" s="2237"/>
      <c r="N3255" s="2238"/>
    </row>
    <row r="3256" spans="13:14">
      <c r="M3256" s="2237"/>
      <c r="N3256" s="2238"/>
    </row>
    <row r="3257" spans="13:14">
      <c r="M3257" s="2237"/>
      <c r="N3257" s="2238"/>
    </row>
    <row r="3258" spans="13:14">
      <c r="M3258" s="2237"/>
      <c r="N3258" s="2238"/>
    </row>
    <row r="3259" spans="13:14">
      <c r="M3259" s="2237"/>
      <c r="N3259" s="2238"/>
    </row>
    <row r="3260" spans="13:14">
      <c r="M3260" s="2237"/>
      <c r="N3260" s="2238"/>
    </row>
    <row r="3261" spans="13:14">
      <c r="M3261" s="2237"/>
      <c r="N3261" s="2238"/>
    </row>
    <row r="3262" spans="13:14">
      <c r="M3262" s="2237"/>
      <c r="N3262" s="2238"/>
    </row>
    <row r="3263" spans="13:14">
      <c r="M3263" s="2237"/>
      <c r="N3263" s="2238"/>
    </row>
    <row r="3264" spans="13:14">
      <c r="M3264" s="2237"/>
      <c r="N3264" s="2238"/>
    </row>
    <row r="3265" spans="13:14">
      <c r="M3265" s="2237"/>
      <c r="N3265" s="2238"/>
    </row>
    <row r="3266" spans="13:14">
      <c r="M3266" s="2237"/>
      <c r="N3266" s="2238"/>
    </row>
    <row r="3267" spans="13:14">
      <c r="M3267" s="2237"/>
      <c r="N3267" s="2238"/>
    </row>
    <row r="3268" spans="13:14">
      <c r="M3268" s="2237"/>
      <c r="N3268" s="2238"/>
    </row>
    <row r="3269" spans="13:14">
      <c r="M3269" s="2237"/>
      <c r="N3269" s="2238"/>
    </row>
    <row r="3270" spans="13:14">
      <c r="M3270" s="2237"/>
      <c r="N3270" s="2238"/>
    </row>
    <row r="3271" spans="13:14">
      <c r="M3271" s="2237"/>
      <c r="N3271" s="2238"/>
    </row>
    <row r="3272" spans="13:14">
      <c r="M3272" s="2237"/>
      <c r="N3272" s="2238"/>
    </row>
    <row r="3273" spans="13:14">
      <c r="M3273" s="2237"/>
      <c r="N3273" s="2238"/>
    </row>
    <row r="3274" spans="13:14">
      <c r="M3274" s="2237"/>
      <c r="N3274" s="2238"/>
    </row>
    <row r="3275" spans="13:14">
      <c r="M3275" s="2237"/>
      <c r="N3275" s="2238"/>
    </row>
    <row r="3276" spans="13:14">
      <c r="M3276" s="2237"/>
      <c r="N3276" s="2238"/>
    </row>
    <row r="3277" spans="13:14">
      <c r="M3277" s="2237"/>
      <c r="N3277" s="2238"/>
    </row>
    <row r="3278" spans="13:14">
      <c r="M3278" s="2237"/>
      <c r="N3278" s="2238"/>
    </row>
    <row r="3279" spans="13:14">
      <c r="M3279" s="2237"/>
      <c r="N3279" s="2238"/>
    </row>
    <row r="3280" spans="13:14">
      <c r="M3280" s="2237"/>
      <c r="N3280" s="2238"/>
    </row>
    <row r="3281" spans="13:14">
      <c r="M3281" s="2237"/>
      <c r="N3281" s="2238"/>
    </row>
    <row r="3282" spans="13:14">
      <c r="M3282" s="2237"/>
      <c r="N3282" s="2238"/>
    </row>
    <row r="3283" spans="13:14">
      <c r="M3283" s="2237"/>
      <c r="N3283" s="2238"/>
    </row>
    <row r="3284" spans="13:14">
      <c r="M3284" s="2237"/>
      <c r="N3284" s="2238"/>
    </row>
    <row r="3285" spans="13:14">
      <c r="M3285" s="2237"/>
      <c r="N3285" s="2238"/>
    </row>
    <row r="3286" spans="13:14">
      <c r="M3286" s="2237"/>
      <c r="N3286" s="2238"/>
    </row>
    <row r="3287" spans="13:14">
      <c r="M3287" s="2237"/>
      <c r="N3287" s="2238"/>
    </row>
    <row r="3288" spans="13:14">
      <c r="M3288" s="2237"/>
      <c r="N3288" s="2238"/>
    </row>
    <row r="3289" spans="13:14">
      <c r="M3289" s="2237"/>
      <c r="N3289" s="2238"/>
    </row>
    <row r="3290" spans="13:14">
      <c r="M3290" s="2237"/>
      <c r="N3290" s="2238"/>
    </row>
    <row r="3291" spans="13:14">
      <c r="M3291" s="2237"/>
      <c r="N3291" s="2238"/>
    </row>
    <row r="3292" spans="13:14">
      <c r="M3292" s="2237"/>
      <c r="N3292" s="2238"/>
    </row>
    <row r="3293" spans="13:14">
      <c r="M3293" s="2237"/>
      <c r="N3293" s="2238"/>
    </row>
    <row r="3294" spans="13:14">
      <c r="M3294" s="2237"/>
      <c r="N3294" s="2238"/>
    </row>
    <row r="3295" spans="13:14">
      <c r="M3295" s="2237"/>
      <c r="N3295" s="2238"/>
    </row>
    <row r="3296" spans="13:14">
      <c r="M3296" s="2237"/>
      <c r="N3296" s="2238"/>
    </row>
    <row r="3297" spans="13:14">
      <c r="M3297" s="2237"/>
      <c r="N3297" s="2238"/>
    </row>
    <row r="3298" spans="13:14">
      <c r="M3298" s="2237"/>
      <c r="N3298" s="2238"/>
    </row>
    <row r="3299" spans="13:14">
      <c r="M3299" s="2237"/>
      <c r="N3299" s="2238"/>
    </row>
    <row r="3300" spans="13:14">
      <c r="M3300" s="2237"/>
      <c r="N3300" s="2238"/>
    </row>
    <row r="3301" spans="13:14">
      <c r="M3301" s="2237"/>
      <c r="N3301" s="2238"/>
    </row>
    <row r="3302" spans="13:14">
      <c r="M3302" s="2237"/>
      <c r="N3302" s="2238"/>
    </row>
    <row r="3303" spans="13:14">
      <c r="M3303" s="2237"/>
      <c r="N3303" s="2238"/>
    </row>
    <row r="3304" spans="13:14">
      <c r="M3304" s="2237"/>
      <c r="N3304" s="2238"/>
    </row>
    <row r="3305" spans="13:14">
      <c r="M3305" s="2237"/>
      <c r="N3305" s="2238"/>
    </row>
    <row r="3306" spans="13:14">
      <c r="M3306" s="2237"/>
      <c r="N3306" s="2238"/>
    </row>
    <row r="3307" spans="13:14">
      <c r="M3307" s="2237"/>
      <c r="N3307" s="2238"/>
    </row>
    <row r="3308" spans="13:14">
      <c r="M3308" s="2237"/>
      <c r="N3308" s="2238"/>
    </row>
    <row r="3309" spans="13:14">
      <c r="M3309" s="2237"/>
      <c r="N3309" s="2238"/>
    </row>
    <row r="3310" spans="13:14">
      <c r="M3310" s="2237"/>
      <c r="N3310" s="2238"/>
    </row>
    <row r="3311" spans="13:14">
      <c r="M3311" s="2237"/>
      <c r="N3311" s="2238"/>
    </row>
    <row r="3312" spans="13:14">
      <c r="M3312" s="2237"/>
      <c r="N3312" s="2238"/>
    </row>
    <row r="3313" spans="13:14">
      <c r="M3313" s="2237"/>
      <c r="N3313" s="2238"/>
    </row>
    <row r="3314" spans="13:14">
      <c r="M3314" s="2237"/>
      <c r="N3314" s="2238"/>
    </row>
    <row r="3315" spans="13:14">
      <c r="M3315" s="2237"/>
      <c r="N3315" s="2238"/>
    </row>
    <row r="3316" spans="13:14">
      <c r="M3316" s="2237"/>
      <c r="N3316" s="2238"/>
    </row>
    <row r="3317" spans="13:14">
      <c r="M3317" s="2237"/>
      <c r="N3317" s="2238"/>
    </row>
    <row r="3318" spans="13:14">
      <c r="M3318" s="2237"/>
      <c r="N3318" s="2238"/>
    </row>
    <row r="3319" spans="13:14">
      <c r="M3319" s="2237"/>
      <c r="N3319" s="2238"/>
    </row>
    <row r="3320" spans="13:14">
      <c r="M3320" s="2237"/>
      <c r="N3320" s="2238"/>
    </row>
    <row r="3321" spans="13:14">
      <c r="M3321" s="2237"/>
      <c r="N3321" s="2238"/>
    </row>
    <row r="3322" spans="13:14">
      <c r="M3322" s="2237"/>
      <c r="N3322" s="2238"/>
    </row>
    <row r="3323" spans="13:14">
      <c r="M3323" s="2237"/>
      <c r="N3323" s="2238"/>
    </row>
    <row r="3324" spans="13:14">
      <c r="M3324" s="2237"/>
      <c r="N3324" s="2238"/>
    </row>
    <row r="3325" spans="13:14">
      <c r="M3325" s="2237"/>
      <c r="N3325" s="2238"/>
    </row>
    <row r="3326" spans="13:14">
      <c r="M3326" s="2237"/>
      <c r="N3326" s="2238"/>
    </row>
    <row r="3327" spans="13:14">
      <c r="M3327" s="2237"/>
      <c r="N3327" s="2238"/>
    </row>
    <row r="3328" spans="13:14">
      <c r="M3328" s="2237"/>
      <c r="N3328" s="2238"/>
    </row>
    <row r="3329" spans="13:14">
      <c r="M3329" s="2237"/>
      <c r="N3329" s="2238"/>
    </row>
    <row r="3330" spans="13:14">
      <c r="M3330" s="2237"/>
      <c r="N3330" s="2238"/>
    </row>
    <row r="3331" spans="13:14">
      <c r="M3331" s="2237"/>
      <c r="N3331" s="2238"/>
    </row>
    <row r="3332" spans="13:14">
      <c r="M3332" s="2237"/>
      <c r="N3332" s="2238"/>
    </row>
    <row r="3333" spans="13:14">
      <c r="M3333" s="2237"/>
      <c r="N3333" s="2238"/>
    </row>
    <row r="3334" spans="13:14">
      <c r="M3334" s="2237"/>
      <c r="N3334" s="2238"/>
    </row>
    <row r="3335" spans="13:14">
      <c r="M3335" s="2237"/>
      <c r="N3335" s="2238"/>
    </row>
    <row r="3336" spans="13:14">
      <c r="M3336" s="2237"/>
      <c r="N3336" s="2238"/>
    </row>
    <row r="3337" spans="13:14">
      <c r="M3337" s="2237"/>
      <c r="N3337" s="2238"/>
    </row>
    <row r="3338" spans="13:14">
      <c r="M3338" s="2237"/>
      <c r="N3338" s="2238"/>
    </row>
    <row r="3339" spans="13:14">
      <c r="M3339" s="2237"/>
      <c r="N3339" s="2238"/>
    </row>
    <row r="3340" spans="13:14">
      <c r="M3340" s="2237"/>
      <c r="N3340" s="2238"/>
    </row>
    <row r="3341" spans="13:14">
      <c r="M3341" s="2237"/>
      <c r="N3341" s="2238"/>
    </row>
    <row r="3342" spans="13:14">
      <c r="M3342" s="2237"/>
      <c r="N3342" s="2238"/>
    </row>
    <row r="3343" spans="13:14">
      <c r="M3343" s="2237"/>
      <c r="N3343" s="2238"/>
    </row>
    <row r="3344" spans="13:14">
      <c r="M3344" s="2237"/>
      <c r="N3344" s="2238"/>
    </row>
    <row r="3345" spans="13:14">
      <c r="M3345" s="2237"/>
      <c r="N3345" s="2238"/>
    </row>
    <row r="3346" spans="13:14">
      <c r="M3346" s="2237"/>
      <c r="N3346" s="2238"/>
    </row>
    <row r="3347" spans="13:14">
      <c r="M3347" s="2237"/>
      <c r="N3347" s="2238"/>
    </row>
    <row r="3348" spans="13:14">
      <c r="M3348" s="2237"/>
      <c r="N3348" s="2238"/>
    </row>
    <row r="3349" spans="13:14">
      <c r="M3349" s="2237"/>
      <c r="N3349" s="2238"/>
    </row>
    <row r="3350" spans="13:14">
      <c r="M3350" s="2237"/>
      <c r="N3350" s="2238"/>
    </row>
    <row r="3351" spans="13:14">
      <c r="M3351" s="2237"/>
      <c r="N3351" s="2238"/>
    </row>
    <row r="3352" spans="13:14">
      <c r="M3352" s="2237"/>
      <c r="N3352" s="2238"/>
    </row>
    <row r="3353" spans="13:14">
      <c r="M3353" s="2237"/>
      <c r="N3353" s="2238"/>
    </row>
    <row r="3354" spans="13:14">
      <c r="M3354" s="2237"/>
      <c r="N3354" s="2238"/>
    </row>
    <row r="3355" spans="13:14">
      <c r="M3355" s="2237"/>
      <c r="N3355" s="2238"/>
    </row>
    <row r="3356" spans="13:14">
      <c r="M3356" s="2237"/>
      <c r="N3356" s="2238"/>
    </row>
    <row r="3357" spans="13:14">
      <c r="M3357" s="2237"/>
      <c r="N3357" s="2238"/>
    </row>
    <row r="3358" spans="13:14">
      <c r="M3358" s="2237"/>
      <c r="N3358" s="2238"/>
    </row>
    <row r="3359" spans="13:14">
      <c r="M3359" s="2237"/>
      <c r="N3359" s="2238"/>
    </row>
    <row r="3360" spans="13:14">
      <c r="M3360" s="2237"/>
      <c r="N3360" s="2238"/>
    </row>
    <row r="3361" spans="13:14">
      <c r="M3361" s="2237"/>
      <c r="N3361" s="2238"/>
    </row>
    <row r="3362" spans="13:14">
      <c r="M3362" s="2237"/>
      <c r="N3362" s="2238"/>
    </row>
    <row r="3363" spans="13:14">
      <c r="M3363" s="2237"/>
      <c r="N3363" s="2238"/>
    </row>
    <row r="3364" spans="13:14">
      <c r="M3364" s="2237"/>
      <c r="N3364" s="2238"/>
    </row>
    <row r="3365" spans="13:14">
      <c r="M3365" s="2237"/>
      <c r="N3365" s="2238"/>
    </row>
    <row r="3366" spans="13:14">
      <c r="M3366" s="2237"/>
      <c r="N3366" s="2238"/>
    </row>
    <row r="3367" spans="13:14">
      <c r="M3367" s="2237"/>
      <c r="N3367" s="2238"/>
    </row>
    <row r="3368" spans="13:14">
      <c r="M3368" s="2237"/>
      <c r="N3368" s="2238"/>
    </row>
    <row r="3369" spans="13:14">
      <c r="M3369" s="2237"/>
      <c r="N3369" s="2238"/>
    </row>
    <row r="3370" spans="13:14">
      <c r="M3370" s="2237"/>
      <c r="N3370" s="2238"/>
    </row>
    <row r="3371" spans="13:14">
      <c r="M3371" s="2237"/>
      <c r="N3371" s="2238"/>
    </row>
    <row r="3372" spans="13:14">
      <c r="M3372" s="2237"/>
      <c r="N3372" s="2238"/>
    </row>
    <row r="3373" spans="13:14">
      <c r="M3373" s="2237"/>
      <c r="N3373" s="2238"/>
    </row>
    <row r="3374" spans="13:14">
      <c r="M3374" s="2237"/>
      <c r="N3374" s="2238"/>
    </row>
    <row r="3375" spans="13:14">
      <c r="M3375" s="2237"/>
      <c r="N3375" s="2238"/>
    </row>
    <row r="3376" spans="13:14">
      <c r="M3376" s="2237"/>
      <c r="N3376" s="2238"/>
    </row>
    <row r="3377" spans="13:14">
      <c r="M3377" s="2237"/>
      <c r="N3377" s="2238"/>
    </row>
    <row r="3378" spans="13:14">
      <c r="M3378" s="2237"/>
      <c r="N3378" s="2238"/>
    </row>
    <row r="3379" spans="13:14">
      <c r="M3379" s="2237"/>
      <c r="N3379" s="2238"/>
    </row>
    <row r="3380" spans="13:14">
      <c r="M3380" s="2237"/>
      <c r="N3380" s="2238"/>
    </row>
    <row r="3381" spans="13:14">
      <c r="M3381" s="2237"/>
      <c r="N3381" s="2238"/>
    </row>
    <row r="3382" spans="13:14">
      <c r="M3382" s="2237"/>
      <c r="N3382" s="2238"/>
    </row>
    <row r="3383" spans="13:14">
      <c r="M3383" s="2237"/>
      <c r="N3383" s="2238"/>
    </row>
    <row r="3384" spans="13:14">
      <c r="M3384" s="2237"/>
      <c r="N3384" s="2238"/>
    </row>
    <row r="3385" spans="13:14">
      <c r="M3385" s="2237"/>
      <c r="N3385" s="2238"/>
    </row>
    <row r="3386" spans="13:14">
      <c r="M3386" s="2237"/>
      <c r="N3386" s="2238"/>
    </row>
    <row r="3387" spans="13:14">
      <c r="M3387" s="2237"/>
      <c r="N3387" s="2238"/>
    </row>
    <row r="3388" spans="13:14">
      <c r="M3388" s="2237"/>
      <c r="N3388" s="2238"/>
    </row>
    <row r="3389" spans="13:14">
      <c r="M3389" s="2237"/>
      <c r="N3389" s="2238"/>
    </row>
    <row r="3390" spans="13:14">
      <c r="M3390" s="2237"/>
      <c r="N3390" s="2238"/>
    </row>
    <row r="3391" spans="13:14">
      <c r="M3391" s="2237"/>
      <c r="N3391" s="2238"/>
    </row>
    <row r="3392" spans="13:14">
      <c r="M3392" s="2237"/>
      <c r="N3392" s="2238"/>
    </row>
    <row r="3393" spans="13:14">
      <c r="M3393" s="2237"/>
      <c r="N3393" s="2238"/>
    </row>
    <row r="3394" spans="13:14">
      <c r="M3394" s="2237"/>
      <c r="N3394" s="2238"/>
    </row>
    <row r="3395" spans="13:14">
      <c r="M3395" s="2237"/>
      <c r="N3395" s="2238"/>
    </row>
    <row r="3396" spans="13:14">
      <c r="M3396" s="2237"/>
      <c r="N3396" s="2238"/>
    </row>
    <row r="3397" spans="13:14">
      <c r="M3397" s="2237"/>
      <c r="N3397" s="2238"/>
    </row>
    <row r="3398" spans="13:14">
      <c r="M3398" s="2237"/>
      <c r="N3398" s="2238"/>
    </row>
    <row r="3399" spans="13:14">
      <c r="M3399" s="2237"/>
      <c r="N3399" s="2238"/>
    </row>
    <row r="3400" spans="13:14">
      <c r="M3400" s="2237"/>
      <c r="N3400" s="2238"/>
    </row>
    <row r="3401" spans="13:14">
      <c r="M3401" s="2237"/>
      <c r="N3401" s="2238"/>
    </row>
    <row r="3402" spans="13:14">
      <c r="M3402" s="2237"/>
      <c r="N3402" s="2238"/>
    </row>
    <row r="3403" spans="13:14">
      <c r="M3403" s="2237"/>
      <c r="N3403" s="2238"/>
    </row>
    <row r="3404" spans="13:14">
      <c r="M3404" s="2237"/>
      <c r="N3404" s="2238"/>
    </row>
    <row r="3405" spans="13:14">
      <c r="M3405" s="2237"/>
      <c r="N3405" s="2238"/>
    </row>
    <row r="3406" spans="13:14">
      <c r="M3406" s="2237"/>
      <c r="N3406" s="2238"/>
    </row>
    <row r="3407" spans="13:14">
      <c r="M3407" s="2237"/>
      <c r="N3407" s="2238"/>
    </row>
    <row r="3408" spans="13:14">
      <c r="M3408" s="2237"/>
      <c r="N3408" s="2238"/>
    </row>
    <row r="3409" spans="13:14">
      <c r="M3409" s="2237"/>
      <c r="N3409" s="2238"/>
    </row>
    <row r="3410" spans="13:14">
      <c r="M3410" s="2237"/>
      <c r="N3410" s="2238"/>
    </row>
    <row r="3411" spans="13:14">
      <c r="M3411" s="2237"/>
      <c r="N3411" s="2238"/>
    </row>
    <row r="3412" spans="13:14">
      <c r="M3412" s="2237"/>
      <c r="N3412" s="2238"/>
    </row>
    <row r="3413" spans="13:14">
      <c r="M3413" s="2237"/>
      <c r="N3413" s="2238"/>
    </row>
    <row r="3414" spans="13:14">
      <c r="M3414" s="2237"/>
      <c r="N3414" s="2238"/>
    </row>
    <row r="3415" spans="13:14">
      <c r="M3415" s="2237"/>
      <c r="N3415" s="2238"/>
    </row>
    <row r="3416" spans="13:14">
      <c r="M3416" s="2237"/>
      <c r="N3416" s="2238"/>
    </row>
    <row r="3417" spans="13:14">
      <c r="M3417" s="2237"/>
      <c r="N3417" s="2238"/>
    </row>
    <row r="3418" spans="13:14">
      <c r="M3418" s="2237"/>
      <c r="N3418" s="2238"/>
    </row>
    <row r="3419" spans="13:14">
      <c r="M3419" s="2237"/>
      <c r="N3419" s="2238"/>
    </row>
    <row r="3420" spans="13:14">
      <c r="M3420" s="2237"/>
      <c r="N3420" s="2238"/>
    </row>
    <row r="3421" spans="13:14">
      <c r="M3421" s="2237"/>
      <c r="N3421" s="2238"/>
    </row>
    <row r="3422" spans="13:14">
      <c r="M3422" s="2237"/>
      <c r="N3422" s="2238"/>
    </row>
    <row r="3423" spans="13:14">
      <c r="M3423" s="2237"/>
      <c r="N3423" s="2238"/>
    </row>
    <row r="3424" spans="13:14">
      <c r="M3424" s="2237"/>
      <c r="N3424" s="2238"/>
    </row>
    <row r="3425" spans="13:14">
      <c r="M3425" s="2237"/>
      <c r="N3425" s="2238"/>
    </row>
    <row r="3426" spans="13:14">
      <c r="M3426" s="2237"/>
      <c r="N3426" s="2238"/>
    </row>
    <row r="3427" spans="13:14">
      <c r="M3427" s="2237"/>
      <c r="N3427" s="2238"/>
    </row>
    <row r="3428" spans="13:14">
      <c r="M3428" s="2237"/>
      <c r="N3428" s="2238"/>
    </row>
    <row r="3429" spans="13:14">
      <c r="M3429" s="2237"/>
      <c r="N3429" s="2238"/>
    </row>
    <row r="3430" spans="13:14">
      <c r="M3430" s="2237"/>
      <c r="N3430" s="2238"/>
    </row>
    <row r="3431" spans="13:14">
      <c r="M3431" s="2237"/>
      <c r="N3431" s="2238"/>
    </row>
    <row r="3432" spans="13:14">
      <c r="M3432" s="2237"/>
      <c r="N3432" s="2238"/>
    </row>
    <row r="3433" spans="13:14">
      <c r="M3433" s="2237"/>
      <c r="N3433" s="2238"/>
    </row>
    <row r="3434" spans="13:14">
      <c r="M3434" s="2237"/>
      <c r="N3434" s="2238"/>
    </row>
    <row r="3435" spans="13:14">
      <c r="M3435" s="2237"/>
      <c r="N3435" s="2238"/>
    </row>
    <row r="3436" spans="13:14">
      <c r="M3436" s="2237"/>
      <c r="N3436" s="2238"/>
    </row>
    <row r="3437" spans="13:14">
      <c r="M3437" s="2237"/>
      <c r="N3437" s="2238"/>
    </row>
    <row r="3438" spans="13:14">
      <c r="M3438" s="2237"/>
      <c r="N3438" s="2238"/>
    </row>
    <row r="3439" spans="13:14">
      <c r="M3439" s="2237"/>
      <c r="N3439" s="2238"/>
    </row>
    <row r="3440" spans="13:14">
      <c r="M3440" s="2237"/>
      <c r="N3440" s="2238"/>
    </row>
    <row r="3441" spans="13:14">
      <c r="M3441" s="2237"/>
      <c r="N3441" s="2238"/>
    </row>
    <row r="3442" spans="13:14">
      <c r="M3442" s="2237"/>
      <c r="N3442" s="2238"/>
    </row>
    <row r="3443" spans="13:14">
      <c r="M3443" s="2237"/>
      <c r="N3443" s="2238"/>
    </row>
    <row r="3444" spans="13:14">
      <c r="M3444" s="2237"/>
      <c r="N3444" s="2238"/>
    </row>
    <row r="3445" spans="13:14">
      <c r="M3445" s="2237"/>
      <c r="N3445" s="2238"/>
    </row>
    <row r="3446" spans="13:14">
      <c r="M3446" s="2237"/>
      <c r="N3446" s="2238"/>
    </row>
    <row r="3447" spans="13:14">
      <c r="M3447" s="2237"/>
      <c r="N3447" s="2238"/>
    </row>
    <row r="3448" spans="13:14">
      <c r="M3448" s="2237"/>
      <c r="N3448" s="2238"/>
    </row>
    <row r="3449" spans="13:14">
      <c r="M3449" s="2237"/>
      <c r="N3449" s="2238"/>
    </row>
    <row r="3450" spans="13:14">
      <c r="M3450" s="2237"/>
      <c r="N3450" s="2238"/>
    </row>
    <row r="3451" spans="13:14">
      <c r="M3451" s="2237"/>
      <c r="N3451" s="2238"/>
    </row>
    <row r="3452" spans="13:14">
      <c r="M3452" s="2237"/>
      <c r="N3452" s="2238"/>
    </row>
    <row r="3453" spans="13:14">
      <c r="M3453" s="2237"/>
      <c r="N3453" s="2238"/>
    </row>
    <row r="3454" spans="13:14">
      <c r="M3454" s="2237"/>
      <c r="N3454" s="2238"/>
    </row>
    <row r="3455" spans="13:14">
      <c r="M3455" s="2237"/>
      <c r="N3455" s="2238"/>
    </row>
  </sheetData>
  <autoFilter ref="A1:W60">
    <filterColumn colId="22">
      <filters>
        <filter val="公告"/>
        <filter val="公告+网签"/>
        <filter val="公告+新闻+备案表"/>
        <filter val="季报"/>
        <filter val="上市公告"/>
        <filter val="网签"/>
        <filter val="网签+报道"/>
        <filter val="网签+公告"/>
        <filter val="网签数据"/>
      </filters>
    </filterColumn>
  </autoFilter>
  <phoneticPr fontId="228"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91"/>
  <sheetViews>
    <sheetView topLeftCell="A25" zoomScale="85" zoomScaleNormal="85" workbookViewId="0">
      <selection activeCell="B12" activeCellId="5" sqref="B62:B63 B57:B58 B53:B55 B29:B37 B20:B27 B10:B12"/>
    </sheetView>
  </sheetViews>
  <sheetFormatPr defaultColWidth="9" defaultRowHeight="13.5"/>
  <cols>
    <col min="1" max="1" width="77.5" style="289" customWidth="1"/>
    <col min="2" max="2" width="9" style="289"/>
    <col min="3" max="3" width="10.5" style="289" customWidth="1"/>
    <col min="4" max="4" width="11.625" style="289" customWidth="1"/>
    <col min="5" max="7" width="9" style="289"/>
    <col min="8" max="8" width="10.5" style="289" customWidth="1"/>
    <col min="9" max="9" width="11.625" style="289" customWidth="1"/>
    <col min="10" max="10" width="13" style="289" customWidth="1"/>
    <col min="11" max="12" width="11.625" style="289" customWidth="1"/>
    <col min="13" max="13" width="11.75" style="289" customWidth="1"/>
    <col min="14" max="14" width="12.75" style="289" customWidth="1"/>
    <col min="15" max="15" width="11.75" style="289" customWidth="1"/>
    <col min="16" max="16384" width="9" style="289"/>
  </cols>
  <sheetData>
    <row r="1" spans="1:15">
      <c r="B1" s="2227" t="s">
        <v>466</v>
      </c>
      <c r="C1" s="2227" t="s">
        <v>1550</v>
      </c>
      <c r="D1" s="2227" t="s">
        <v>1551</v>
      </c>
      <c r="E1" s="2227" t="s">
        <v>1552</v>
      </c>
      <c r="F1" s="2227" t="s">
        <v>1553</v>
      </c>
      <c r="H1" s="2228" t="s">
        <v>1554</v>
      </c>
      <c r="I1" s="2229">
        <v>45658</v>
      </c>
      <c r="J1" s="2229">
        <v>46023</v>
      </c>
      <c r="K1" s="2229">
        <v>46388</v>
      </c>
      <c r="L1" s="2229">
        <v>46753</v>
      </c>
      <c r="M1" s="2229">
        <v>47119</v>
      </c>
      <c r="N1" s="2229">
        <v>47484</v>
      </c>
      <c r="O1" s="2229">
        <v>47849</v>
      </c>
    </row>
    <row r="2" spans="1:15">
      <c r="B2" s="2227"/>
      <c r="C2" s="2227"/>
      <c r="D2" s="2227"/>
      <c r="E2" s="2227"/>
      <c r="F2" s="2227"/>
      <c r="H2" s="2229">
        <f>项目基本情况!D3</f>
        <v>45882</v>
      </c>
      <c r="I2" s="2229">
        <v>46022</v>
      </c>
      <c r="J2" s="2229">
        <v>46387</v>
      </c>
      <c r="K2" s="2229">
        <v>46752</v>
      </c>
      <c r="L2" s="2229">
        <v>47118</v>
      </c>
      <c r="M2" s="2229">
        <v>47483</v>
      </c>
      <c r="N2" s="2229">
        <v>47848</v>
      </c>
      <c r="O2" s="2229">
        <v>48213</v>
      </c>
    </row>
    <row r="3" spans="1:15">
      <c r="A3" s="2227" t="s">
        <v>1555</v>
      </c>
      <c r="B3" s="289">
        <v>775.5</v>
      </c>
      <c r="C3" s="2230">
        <v>45292</v>
      </c>
      <c r="D3" s="2230">
        <v>47118</v>
      </c>
      <c r="E3" s="289">
        <v>429</v>
      </c>
      <c r="F3" s="289">
        <f>E3/30</f>
        <v>14.3</v>
      </c>
      <c r="I3" s="289">
        <f>B3*F3*(I$2-H$2)</f>
        <v>1552551.0000000002</v>
      </c>
      <c r="J3" s="289">
        <f>B3*F3*(J$2-J$1)</f>
        <v>4036632.6000000006</v>
      </c>
      <c r="K3" s="289">
        <f>B3*F3*(K$2-K$1)</f>
        <v>4036632.6000000006</v>
      </c>
      <c r="L3" s="289">
        <f>B3*F3*(L$2-L$1)</f>
        <v>4047722.2500000005</v>
      </c>
      <c r="M3" s="289">
        <f>B3*F3*(M$2-M$1)</f>
        <v>4036632.6000000006</v>
      </c>
      <c r="N3" s="289">
        <f>B3*F3*(N$2-N$1)</f>
        <v>4036632.6000000006</v>
      </c>
      <c r="O3" s="289">
        <f>B3*F3*(O$2-O$1)</f>
        <v>4036632.6000000006</v>
      </c>
    </row>
    <row r="4" spans="1:15">
      <c r="A4" s="2227" t="s">
        <v>1556</v>
      </c>
      <c r="B4" s="289">
        <v>20</v>
      </c>
      <c r="C4" s="2230">
        <v>45352</v>
      </c>
      <c r="D4" s="2230">
        <v>46446</v>
      </c>
      <c r="E4" s="289">
        <v>118</v>
      </c>
      <c r="F4" s="289">
        <f t="shared" ref="F4:F65" si="0">E4/30</f>
        <v>3.9333333333333331</v>
      </c>
      <c r="I4" s="289">
        <f>B4*F4*(I$2-H$2)</f>
        <v>11013.333333333332</v>
      </c>
      <c r="J4" s="289">
        <f t="shared" ref="J4:J67" si="1">B4*F4*(J$2-J$1)</f>
        <v>28634.666666666664</v>
      </c>
      <c r="K4" s="289">
        <f t="shared" ref="K4:K67" si="2">B4*F4*(K$2-K$1)</f>
        <v>28634.666666666664</v>
      </c>
      <c r="L4" s="289">
        <f t="shared" ref="L4:L67" si="3">B4*F4*(L$2-L$1)</f>
        <v>28713.333333333328</v>
      </c>
      <c r="M4" s="289">
        <f t="shared" ref="M4:M67" si="4">B4*F4*(M$2-M$1)</f>
        <v>28634.666666666664</v>
      </c>
      <c r="N4" s="289">
        <f t="shared" ref="N4:N67" si="5">B4*F4*(N$2-N$1)</f>
        <v>28634.666666666664</v>
      </c>
      <c r="O4" s="289">
        <f t="shared" ref="O4:O67" si="6">B4*F4*(O$2-O$1)</f>
        <v>28634.666666666664</v>
      </c>
    </row>
    <row r="5" spans="1:15">
      <c r="A5" s="2227" t="s">
        <v>1557</v>
      </c>
      <c r="B5" s="289">
        <v>53.25</v>
      </c>
      <c r="C5" s="2230">
        <v>45352</v>
      </c>
      <c r="D5" s="2230">
        <v>46446</v>
      </c>
      <c r="E5" s="289">
        <v>118</v>
      </c>
      <c r="F5" s="289">
        <f t="shared" si="0"/>
        <v>3.9333333333333331</v>
      </c>
      <c r="I5" s="289">
        <f t="shared" ref="I5:I68" si="7">B5*F5*(I$2-H$2)</f>
        <v>29323</v>
      </c>
      <c r="J5" s="289">
        <f t="shared" si="1"/>
        <v>76239.8</v>
      </c>
      <c r="K5" s="289">
        <f t="shared" si="2"/>
        <v>76239.8</v>
      </c>
      <c r="L5" s="289">
        <f t="shared" si="3"/>
        <v>76449.25</v>
      </c>
      <c r="M5" s="289">
        <f t="shared" si="4"/>
        <v>76239.8</v>
      </c>
      <c r="N5" s="289">
        <f t="shared" si="5"/>
        <v>76239.8</v>
      </c>
      <c r="O5" s="289">
        <f t="shared" si="6"/>
        <v>76239.8</v>
      </c>
    </row>
    <row r="6" spans="1:15">
      <c r="A6" s="2227" t="s">
        <v>1558</v>
      </c>
      <c r="B6" s="289">
        <v>12.16</v>
      </c>
      <c r="C6" s="2230">
        <v>45352</v>
      </c>
      <c r="D6" s="2230">
        <v>46446</v>
      </c>
      <c r="E6" s="289">
        <v>118</v>
      </c>
      <c r="F6" s="289">
        <f t="shared" si="0"/>
        <v>3.9333333333333331</v>
      </c>
      <c r="I6" s="289">
        <f t="shared" si="7"/>
        <v>6696.1066666666666</v>
      </c>
      <c r="J6" s="289">
        <f t="shared" si="1"/>
        <v>17409.877333333334</v>
      </c>
      <c r="K6" s="289">
        <f t="shared" si="2"/>
        <v>17409.877333333334</v>
      </c>
      <c r="L6" s="289">
        <f t="shared" si="3"/>
        <v>17457.706666666665</v>
      </c>
      <c r="M6" s="289">
        <f t="shared" si="4"/>
        <v>17409.877333333334</v>
      </c>
      <c r="N6" s="289">
        <f t="shared" si="5"/>
        <v>17409.877333333334</v>
      </c>
      <c r="O6" s="289">
        <f t="shared" si="6"/>
        <v>17409.877333333334</v>
      </c>
    </row>
    <row r="7" spans="1:15">
      <c r="A7" s="2227" t="s">
        <v>1559</v>
      </c>
      <c r="B7" s="289">
        <v>156.77000000000001</v>
      </c>
      <c r="C7" s="2230">
        <v>45427</v>
      </c>
      <c r="D7" s="2230">
        <v>46521</v>
      </c>
      <c r="E7" s="289">
        <v>114</v>
      </c>
      <c r="F7" s="289">
        <f t="shared" si="0"/>
        <v>3.8</v>
      </c>
      <c r="I7" s="289">
        <f t="shared" si="7"/>
        <v>83401.64</v>
      </c>
      <c r="J7" s="289">
        <f t="shared" si="1"/>
        <v>216844.264</v>
      </c>
      <c r="K7" s="289">
        <f t="shared" si="2"/>
        <v>216844.264</v>
      </c>
      <c r="L7" s="289">
        <f t="shared" si="3"/>
        <v>217439.99</v>
      </c>
      <c r="M7" s="289">
        <f t="shared" si="4"/>
        <v>216844.264</v>
      </c>
      <c r="N7" s="289">
        <f t="shared" si="5"/>
        <v>216844.264</v>
      </c>
      <c r="O7" s="289">
        <f t="shared" si="6"/>
        <v>216844.264</v>
      </c>
    </row>
    <row r="8" spans="1:15">
      <c r="A8" s="2227" t="s">
        <v>1560</v>
      </c>
      <c r="B8" s="289">
        <v>88.8</v>
      </c>
      <c r="C8" s="2230">
        <v>45748</v>
      </c>
      <c r="D8" s="2230">
        <v>47573</v>
      </c>
      <c r="E8" s="289">
        <v>105</v>
      </c>
      <c r="F8" s="289">
        <f t="shared" si="0"/>
        <v>3.5</v>
      </c>
      <c r="I8" s="289">
        <f t="shared" si="7"/>
        <v>43512</v>
      </c>
      <c r="J8" s="289">
        <f t="shared" si="1"/>
        <v>113131.2</v>
      </c>
      <c r="K8" s="289">
        <f t="shared" si="2"/>
        <v>113131.2</v>
      </c>
      <c r="L8" s="289">
        <f t="shared" si="3"/>
        <v>113442</v>
      </c>
      <c r="M8" s="289">
        <f t="shared" si="4"/>
        <v>113131.2</v>
      </c>
      <c r="N8" s="289">
        <f t="shared" si="5"/>
        <v>113131.2</v>
      </c>
      <c r="O8" s="289">
        <f t="shared" si="6"/>
        <v>113131.2</v>
      </c>
    </row>
    <row r="9" spans="1:15">
      <c r="A9" s="2227" t="s">
        <v>1561</v>
      </c>
      <c r="B9" s="289">
        <v>87.02</v>
      </c>
      <c r="C9" s="2230">
        <v>45705</v>
      </c>
      <c r="D9" s="2230">
        <v>47530</v>
      </c>
      <c r="F9" s="289">
        <f t="shared" si="0"/>
        <v>0</v>
      </c>
      <c r="I9" s="289">
        <f t="shared" si="7"/>
        <v>0</v>
      </c>
      <c r="J9" s="289">
        <f t="shared" si="1"/>
        <v>0</v>
      </c>
      <c r="K9" s="289">
        <f t="shared" si="2"/>
        <v>0</v>
      </c>
      <c r="L9" s="289">
        <f t="shared" si="3"/>
        <v>0</v>
      </c>
      <c r="M9" s="289">
        <f t="shared" si="4"/>
        <v>0</v>
      </c>
      <c r="N9" s="289">
        <f t="shared" si="5"/>
        <v>0</v>
      </c>
      <c r="O9" s="289">
        <f t="shared" si="6"/>
        <v>0</v>
      </c>
    </row>
    <row r="10" spans="1:15">
      <c r="A10" s="2227" t="s">
        <v>1562</v>
      </c>
      <c r="B10" s="289">
        <v>3122.16</v>
      </c>
      <c r="C10" s="2230">
        <v>45597</v>
      </c>
      <c r="D10" s="2230">
        <v>46387</v>
      </c>
      <c r="E10" s="289">
        <v>271</v>
      </c>
      <c r="F10" s="289">
        <f t="shared" si="0"/>
        <v>9.0333333333333332</v>
      </c>
      <c r="I10" s="289">
        <f t="shared" si="7"/>
        <v>3948491.6799999997</v>
      </c>
      <c r="J10" s="289">
        <f t="shared" si="1"/>
        <v>10266078.367999999</v>
      </c>
      <c r="K10" s="289">
        <f t="shared" si="2"/>
        <v>10266078.367999999</v>
      </c>
      <c r="L10" s="289">
        <f t="shared" si="3"/>
        <v>10294281.879999999</v>
      </c>
      <c r="M10" s="289">
        <f t="shared" si="4"/>
        <v>10266078.367999999</v>
      </c>
      <c r="N10" s="289">
        <f t="shared" si="5"/>
        <v>10266078.367999999</v>
      </c>
      <c r="O10" s="289">
        <f t="shared" si="6"/>
        <v>10266078.367999999</v>
      </c>
    </row>
    <row r="11" spans="1:15">
      <c r="A11" s="2227" t="s">
        <v>1563</v>
      </c>
      <c r="B11" s="289">
        <v>80</v>
      </c>
      <c r="C11" s="2230">
        <v>45597</v>
      </c>
      <c r="D11" s="2230">
        <v>46387</v>
      </c>
      <c r="E11" s="289">
        <v>271</v>
      </c>
      <c r="F11" s="289">
        <f t="shared" si="0"/>
        <v>9.0333333333333332</v>
      </c>
      <c r="I11" s="289">
        <f t="shared" si="7"/>
        <v>101173.33333333333</v>
      </c>
      <c r="J11" s="289">
        <f t="shared" si="1"/>
        <v>263050.66666666663</v>
      </c>
      <c r="K11" s="289">
        <f t="shared" si="2"/>
        <v>263050.66666666663</v>
      </c>
      <c r="L11" s="289">
        <f t="shared" si="3"/>
        <v>263773.33333333331</v>
      </c>
      <c r="M11" s="289">
        <f t="shared" si="4"/>
        <v>263050.66666666663</v>
      </c>
      <c r="N11" s="289">
        <f t="shared" si="5"/>
        <v>263050.66666666663</v>
      </c>
      <c r="O11" s="289">
        <f t="shared" si="6"/>
        <v>263050.66666666663</v>
      </c>
    </row>
    <row r="12" spans="1:15">
      <c r="A12" s="2227" t="s">
        <v>1564</v>
      </c>
      <c r="B12" s="289">
        <v>1000</v>
      </c>
      <c r="C12" s="2231">
        <v>45597</v>
      </c>
      <c r="D12" s="2230">
        <v>46387</v>
      </c>
      <c r="E12" s="289">
        <v>271</v>
      </c>
      <c r="F12" s="289">
        <f t="shared" si="0"/>
        <v>9.0333333333333332</v>
      </c>
      <c r="I12" s="289">
        <f t="shared" si="7"/>
        <v>1264666.6666666667</v>
      </c>
      <c r="J12" s="289">
        <f t="shared" si="1"/>
        <v>3288133.3333333335</v>
      </c>
      <c r="K12" s="289">
        <f t="shared" si="2"/>
        <v>3288133.3333333335</v>
      </c>
      <c r="L12" s="289">
        <f t="shared" si="3"/>
        <v>3297166.666666667</v>
      </c>
      <c r="M12" s="289">
        <f t="shared" si="4"/>
        <v>3288133.3333333335</v>
      </c>
      <c r="N12" s="289">
        <f t="shared" si="5"/>
        <v>3288133.3333333335</v>
      </c>
      <c r="O12" s="289">
        <f t="shared" si="6"/>
        <v>3288133.3333333335</v>
      </c>
    </row>
    <row r="13" spans="1:15">
      <c r="A13" s="2227" t="s">
        <v>1565</v>
      </c>
      <c r="B13" s="289">
        <v>113.2</v>
      </c>
      <c r="C13" s="2231">
        <v>45717</v>
      </c>
      <c r="D13" s="2230">
        <v>46812</v>
      </c>
      <c r="E13" s="289">
        <v>248</v>
      </c>
      <c r="F13" s="289">
        <f t="shared" si="0"/>
        <v>8.2666666666666675</v>
      </c>
      <c r="I13" s="289">
        <f t="shared" si="7"/>
        <v>131010.13333333335</v>
      </c>
      <c r="J13" s="289">
        <f t="shared" si="1"/>
        <v>340626.34666666668</v>
      </c>
      <c r="K13" s="289">
        <f t="shared" si="2"/>
        <v>340626.34666666668</v>
      </c>
      <c r="L13" s="289">
        <f t="shared" si="3"/>
        <v>341562.13333333336</v>
      </c>
      <c r="M13" s="289">
        <f t="shared" si="4"/>
        <v>340626.34666666668</v>
      </c>
      <c r="N13" s="289">
        <f t="shared" si="5"/>
        <v>340626.34666666668</v>
      </c>
      <c r="O13" s="289">
        <f t="shared" si="6"/>
        <v>340626.34666666668</v>
      </c>
    </row>
    <row r="14" spans="1:15">
      <c r="A14" s="2227" t="s">
        <v>1566</v>
      </c>
      <c r="B14" s="289">
        <v>431.85</v>
      </c>
      <c r="C14" s="2231">
        <v>45669</v>
      </c>
      <c r="D14" s="2230">
        <v>46773</v>
      </c>
      <c r="E14" s="289">
        <v>226</v>
      </c>
      <c r="F14" s="289">
        <f t="shared" si="0"/>
        <v>7.5333333333333332</v>
      </c>
      <c r="I14" s="289">
        <f t="shared" si="7"/>
        <v>455457.8</v>
      </c>
      <c r="J14" s="289">
        <f t="shared" si="1"/>
        <v>1184190.28</v>
      </c>
      <c r="K14" s="289">
        <f t="shared" si="2"/>
        <v>1184190.28</v>
      </c>
      <c r="L14" s="289">
        <f t="shared" si="3"/>
        <v>1187443.55</v>
      </c>
      <c r="M14" s="289">
        <f t="shared" si="4"/>
        <v>1184190.28</v>
      </c>
      <c r="N14" s="289">
        <f t="shared" si="5"/>
        <v>1184190.28</v>
      </c>
      <c r="O14" s="289">
        <f t="shared" si="6"/>
        <v>1184190.28</v>
      </c>
    </row>
    <row r="15" spans="1:15">
      <c r="A15" s="2227" t="s">
        <v>1567</v>
      </c>
      <c r="B15" s="289">
        <v>2.2000000000000002</v>
      </c>
      <c r="C15" s="2231">
        <v>45669</v>
      </c>
      <c r="D15" s="2230">
        <v>46773</v>
      </c>
      <c r="E15" s="289">
        <v>226</v>
      </c>
      <c r="F15" s="289">
        <f t="shared" si="0"/>
        <v>7.5333333333333332</v>
      </c>
      <c r="I15" s="289">
        <f t="shared" si="7"/>
        <v>2320.2666666666669</v>
      </c>
      <c r="J15" s="289">
        <f t="shared" si="1"/>
        <v>6032.6933333333336</v>
      </c>
      <c r="K15" s="289">
        <f t="shared" si="2"/>
        <v>6032.6933333333336</v>
      </c>
      <c r="L15" s="289">
        <f t="shared" si="3"/>
        <v>6049.2666666666673</v>
      </c>
      <c r="M15" s="289">
        <f t="shared" si="4"/>
        <v>6032.6933333333336</v>
      </c>
      <c r="N15" s="289">
        <f t="shared" si="5"/>
        <v>6032.6933333333336</v>
      </c>
      <c r="O15" s="289">
        <f t="shared" si="6"/>
        <v>6032.6933333333336</v>
      </c>
    </row>
    <row r="16" spans="1:15">
      <c r="A16" s="2227" t="s">
        <v>1568</v>
      </c>
      <c r="B16" s="289">
        <v>7.8</v>
      </c>
      <c r="C16" s="2230">
        <v>45669</v>
      </c>
      <c r="D16" s="2230">
        <v>46773</v>
      </c>
      <c r="E16" s="289">
        <v>226</v>
      </c>
      <c r="F16" s="289">
        <f t="shared" si="0"/>
        <v>7.5333333333333332</v>
      </c>
      <c r="I16" s="289">
        <f t="shared" si="7"/>
        <v>8226.4</v>
      </c>
      <c r="J16" s="289">
        <f t="shared" si="1"/>
        <v>21388.639999999999</v>
      </c>
      <c r="K16" s="289">
        <f t="shared" si="2"/>
        <v>21388.639999999999</v>
      </c>
      <c r="L16" s="289">
        <f t="shared" si="3"/>
        <v>21447.399999999998</v>
      </c>
      <c r="M16" s="289">
        <f t="shared" si="4"/>
        <v>21388.639999999999</v>
      </c>
      <c r="N16" s="289">
        <f t="shared" si="5"/>
        <v>21388.639999999999</v>
      </c>
      <c r="O16" s="289">
        <f t="shared" si="6"/>
        <v>21388.639999999999</v>
      </c>
    </row>
    <row r="17" spans="1:15">
      <c r="A17" s="2227" t="s">
        <v>1569</v>
      </c>
      <c r="B17" s="289">
        <v>664.34</v>
      </c>
      <c r="C17" s="2230">
        <v>45669</v>
      </c>
      <c r="D17" s="2230">
        <v>46773</v>
      </c>
      <c r="E17" s="289">
        <v>226</v>
      </c>
      <c r="F17" s="289">
        <f t="shared" si="0"/>
        <v>7.5333333333333332</v>
      </c>
      <c r="I17" s="289">
        <f t="shared" si="7"/>
        <v>700657.25333333341</v>
      </c>
      <c r="J17" s="289">
        <f t="shared" si="1"/>
        <v>1821708.8586666668</v>
      </c>
      <c r="K17" s="289">
        <f t="shared" si="2"/>
        <v>1821708.8586666668</v>
      </c>
      <c r="L17" s="289">
        <f t="shared" si="3"/>
        <v>1826713.5533333335</v>
      </c>
      <c r="M17" s="289">
        <f t="shared" si="4"/>
        <v>1821708.8586666668</v>
      </c>
      <c r="N17" s="289">
        <f t="shared" si="5"/>
        <v>1821708.8586666668</v>
      </c>
      <c r="O17" s="289">
        <f t="shared" si="6"/>
        <v>1821708.8586666668</v>
      </c>
    </row>
    <row r="18" spans="1:15">
      <c r="A18" s="2227" t="s">
        <v>1570</v>
      </c>
      <c r="B18" s="289">
        <v>2.2000000000000002</v>
      </c>
      <c r="C18" s="2230">
        <v>45679</v>
      </c>
      <c r="D18" s="2230">
        <v>46773</v>
      </c>
      <c r="E18" s="289">
        <v>226</v>
      </c>
      <c r="F18" s="289">
        <f t="shared" si="0"/>
        <v>7.5333333333333332</v>
      </c>
      <c r="I18" s="289">
        <f t="shared" si="7"/>
        <v>2320.2666666666669</v>
      </c>
      <c r="J18" s="289">
        <f t="shared" si="1"/>
        <v>6032.6933333333336</v>
      </c>
      <c r="K18" s="289">
        <f t="shared" si="2"/>
        <v>6032.6933333333336</v>
      </c>
      <c r="L18" s="289">
        <f t="shared" si="3"/>
        <v>6049.2666666666673</v>
      </c>
      <c r="M18" s="289">
        <f t="shared" si="4"/>
        <v>6032.6933333333336</v>
      </c>
      <c r="N18" s="289">
        <f t="shared" si="5"/>
        <v>6032.6933333333336</v>
      </c>
      <c r="O18" s="289">
        <f t="shared" si="6"/>
        <v>6032.6933333333336</v>
      </c>
    </row>
    <row r="19" spans="1:15">
      <c r="A19" s="2227" t="s">
        <v>1571</v>
      </c>
      <c r="B19" s="289">
        <v>40.700000000000003</v>
      </c>
      <c r="C19" s="2230">
        <v>45669</v>
      </c>
      <c r="D19" s="2230">
        <v>46773</v>
      </c>
      <c r="E19" s="289">
        <v>226</v>
      </c>
      <c r="F19" s="289">
        <f t="shared" si="0"/>
        <v>7.5333333333333332</v>
      </c>
      <c r="I19" s="289">
        <f t="shared" si="7"/>
        <v>42924.933333333334</v>
      </c>
      <c r="J19" s="289">
        <f t="shared" si="1"/>
        <v>111604.82666666668</v>
      </c>
      <c r="K19" s="289">
        <f t="shared" si="2"/>
        <v>111604.82666666668</v>
      </c>
      <c r="L19" s="289">
        <f t="shared" si="3"/>
        <v>111911.43333333333</v>
      </c>
      <c r="M19" s="289">
        <f t="shared" si="4"/>
        <v>111604.82666666668</v>
      </c>
      <c r="N19" s="289">
        <f t="shared" si="5"/>
        <v>111604.82666666668</v>
      </c>
      <c r="O19" s="289">
        <f t="shared" si="6"/>
        <v>111604.82666666668</v>
      </c>
    </row>
    <row r="20" spans="1:15">
      <c r="A20" s="2227" t="s">
        <v>1572</v>
      </c>
      <c r="B20" s="289">
        <v>150.13999999999999</v>
      </c>
      <c r="C20" s="2230">
        <v>45728</v>
      </c>
      <c r="D20" s="2230">
        <v>46823</v>
      </c>
      <c r="E20" s="289">
        <v>329</v>
      </c>
      <c r="F20" s="289">
        <f t="shared" si="0"/>
        <v>10.966666666666667</v>
      </c>
      <c r="I20" s="289">
        <f t="shared" si="7"/>
        <v>230514.94666666666</v>
      </c>
      <c r="J20" s="289">
        <f t="shared" si="1"/>
        <v>599338.86133333331</v>
      </c>
      <c r="K20" s="289">
        <f t="shared" si="2"/>
        <v>599338.86133333331</v>
      </c>
      <c r="L20" s="289">
        <f t="shared" si="3"/>
        <v>600985.39666666661</v>
      </c>
      <c r="M20" s="289">
        <f t="shared" si="4"/>
        <v>599338.86133333331</v>
      </c>
      <c r="N20" s="289">
        <f t="shared" si="5"/>
        <v>599338.86133333331</v>
      </c>
      <c r="O20" s="289">
        <f t="shared" si="6"/>
        <v>599338.86133333331</v>
      </c>
    </row>
    <row r="21" spans="1:15">
      <c r="A21" s="2227" t="s">
        <v>1573</v>
      </c>
      <c r="B21" s="289">
        <v>262.7</v>
      </c>
      <c r="C21" s="2230">
        <v>44713</v>
      </c>
      <c r="D21" s="2230">
        <v>46904</v>
      </c>
      <c r="E21" s="289">
        <v>341</v>
      </c>
      <c r="F21" s="289">
        <f t="shared" si="0"/>
        <v>11.366666666666667</v>
      </c>
      <c r="I21" s="289">
        <f t="shared" si="7"/>
        <v>418043.26666666672</v>
      </c>
      <c r="J21" s="289">
        <f t="shared" si="1"/>
        <v>1086912.4933333334</v>
      </c>
      <c r="K21" s="289">
        <f t="shared" si="2"/>
        <v>1086912.4933333334</v>
      </c>
      <c r="L21" s="289">
        <f t="shared" si="3"/>
        <v>1089898.5166666668</v>
      </c>
      <c r="M21" s="289">
        <f t="shared" si="4"/>
        <v>1086912.4933333334</v>
      </c>
      <c r="N21" s="289">
        <f t="shared" si="5"/>
        <v>1086912.4933333334</v>
      </c>
      <c r="O21" s="289">
        <f t="shared" si="6"/>
        <v>1086912.4933333334</v>
      </c>
    </row>
    <row r="22" spans="1:15">
      <c r="A22" s="2227" t="s">
        <v>1574</v>
      </c>
      <c r="B22" s="289">
        <v>321.31</v>
      </c>
      <c r="C22" s="2230">
        <v>44713</v>
      </c>
      <c r="D22" s="2230">
        <v>46904</v>
      </c>
      <c r="E22" s="289">
        <v>341</v>
      </c>
      <c r="F22" s="289">
        <f t="shared" si="0"/>
        <v>11.366666666666667</v>
      </c>
      <c r="I22" s="289">
        <f t="shared" si="7"/>
        <v>511311.31333333335</v>
      </c>
      <c r="J22" s="289">
        <f t="shared" si="1"/>
        <v>1329409.4146666666</v>
      </c>
      <c r="K22" s="289">
        <f t="shared" si="2"/>
        <v>1329409.4146666666</v>
      </c>
      <c r="L22" s="289">
        <f t="shared" si="3"/>
        <v>1333061.6383333334</v>
      </c>
      <c r="M22" s="289">
        <f t="shared" si="4"/>
        <v>1329409.4146666666</v>
      </c>
      <c r="N22" s="289">
        <f t="shared" si="5"/>
        <v>1329409.4146666666</v>
      </c>
      <c r="O22" s="289">
        <f t="shared" si="6"/>
        <v>1329409.4146666666</v>
      </c>
    </row>
    <row r="23" spans="1:15">
      <c r="A23" s="2227" t="s">
        <v>1575</v>
      </c>
      <c r="B23" s="289">
        <v>136.69999999999999</v>
      </c>
      <c r="C23" s="2230">
        <v>45658</v>
      </c>
      <c r="D23" s="2230">
        <v>45838</v>
      </c>
      <c r="E23" s="289">
        <v>341</v>
      </c>
      <c r="F23" s="289">
        <f t="shared" si="0"/>
        <v>11.366666666666667</v>
      </c>
      <c r="I23" s="289">
        <f t="shared" si="7"/>
        <v>217535.26666666666</v>
      </c>
      <c r="J23" s="289">
        <f t="shared" si="1"/>
        <v>565591.69333333336</v>
      </c>
      <c r="K23" s="289">
        <f t="shared" si="2"/>
        <v>565591.69333333336</v>
      </c>
      <c r="L23" s="289">
        <f t="shared" si="3"/>
        <v>567145.5166666666</v>
      </c>
      <c r="M23" s="289">
        <f t="shared" si="4"/>
        <v>565591.69333333336</v>
      </c>
      <c r="N23" s="289">
        <f t="shared" si="5"/>
        <v>565591.69333333336</v>
      </c>
      <c r="O23" s="289">
        <f t="shared" si="6"/>
        <v>565591.69333333336</v>
      </c>
    </row>
    <row r="24" spans="1:15">
      <c r="A24" s="2227" t="s">
        <v>1576</v>
      </c>
      <c r="B24" s="289">
        <v>10</v>
      </c>
      <c r="C24" s="2230">
        <v>44713</v>
      </c>
      <c r="D24" s="2230">
        <v>46904</v>
      </c>
      <c r="E24" s="289">
        <v>341</v>
      </c>
      <c r="F24" s="289">
        <f t="shared" si="0"/>
        <v>11.366666666666667</v>
      </c>
      <c r="I24" s="289">
        <f t="shared" si="7"/>
        <v>15913.333333333334</v>
      </c>
      <c r="J24" s="289">
        <f t="shared" si="1"/>
        <v>41374.666666666672</v>
      </c>
      <c r="K24" s="289">
        <f t="shared" si="2"/>
        <v>41374.666666666672</v>
      </c>
      <c r="L24" s="289">
        <f t="shared" si="3"/>
        <v>41488.333333333336</v>
      </c>
      <c r="M24" s="289">
        <f t="shared" si="4"/>
        <v>41374.666666666672</v>
      </c>
      <c r="N24" s="289">
        <f t="shared" si="5"/>
        <v>41374.666666666672</v>
      </c>
      <c r="O24" s="289">
        <f t="shared" si="6"/>
        <v>41374.666666666672</v>
      </c>
    </row>
    <row r="25" spans="1:15">
      <c r="A25" s="2227" t="s">
        <v>1577</v>
      </c>
      <c r="B25" s="289">
        <v>632.16999999999996</v>
      </c>
      <c r="C25" s="2230">
        <v>45505</v>
      </c>
      <c r="D25" s="2230">
        <v>46599</v>
      </c>
      <c r="E25" s="289">
        <v>326</v>
      </c>
      <c r="F25" s="289">
        <f t="shared" si="0"/>
        <v>10.866666666666667</v>
      </c>
      <c r="I25" s="289">
        <f t="shared" si="7"/>
        <v>961741.29333333333</v>
      </c>
      <c r="J25" s="289">
        <f t="shared" si="1"/>
        <v>2500527.3626666665</v>
      </c>
      <c r="K25" s="289">
        <f t="shared" si="2"/>
        <v>2500527.3626666665</v>
      </c>
      <c r="L25" s="289">
        <f t="shared" si="3"/>
        <v>2507396.9433333334</v>
      </c>
      <c r="M25" s="289">
        <f t="shared" si="4"/>
        <v>2500527.3626666665</v>
      </c>
      <c r="N25" s="289">
        <f t="shared" si="5"/>
        <v>2500527.3626666665</v>
      </c>
      <c r="O25" s="289">
        <f t="shared" si="6"/>
        <v>2500527.3626666665</v>
      </c>
    </row>
    <row r="26" spans="1:15">
      <c r="A26" s="2227" t="s">
        <v>1578</v>
      </c>
      <c r="B26" s="289">
        <v>304.2</v>
      </c>
      <c r="C26" s="2230">
        <v>45505</v>
      </c>
      <c r="D26" s="2230">
        <v>46599</v>
      </c>
      <c r="E26" s="289">
        <v>326</v>
      </c>
      <c r="F26" s="289">
        <f t="shared" si="0"/>
        <v>10.866666666666667</v>
      </c>
      <c r="I26" s="289">
        <f t="shared" si="7"/>
        <v>462789.6</v>
      </c>
      <c r="J26" s="289">
        <f t="shared" si="1"/>
        <v>1203252.96</v>
      </c>
      <c r="K26" s="289">
        <f t="shared" si="2"/>
        <v>1203252.96</v>
      </c>
      <c r="L26" s="289">
        <f t="shared" si="3"/>
        <v>1206558.5999999999</v>
      </c>
      <c r="M26" s="289">
        <f t="shared" si="4"/>
        <v>1203252.96</v>
      </c>
      <c r="N26" s="289">
        <f t="shared" si="5"/>
        <v>1203252.96</v>
      </c>
      <c r="O26" s="289">
        <f t="shared" si="6"/>
        <v>1203252.96</v>
      </c>
    </row>
    <row r="27" spans="1:15">
      <c r="A27" s="2227" t="s">
        <v>1579</v>
      </c>
      <c r="B27" s="289">
        <v>327.97</v>
      </c>
      <c r="C27" s="2230">
        <v>44691</v>
      </c>
      <c r="D27" s="2230">
        <v>46882</v>
      </c>
      <c r="E27" s="289">
        <v>362</v>
      </c>
      <c r="F27" s="289">
        <f t="shared" si="0"/>
        <v>12.066666666666666</v>
      </c>
      <c r="I27" s="289">
        <f t="shared" si="7"/>
        <v>554050.65333333332</v>
      </c>
      <c r="J27" s="289">
        <f t="shared" si="1"/>
        <v>1440531.6986666666</v>
      </c>
      <c r="K27" s="289">
        <f t="shared" si="2"/>
        <v>1440531.6986666666</v>
      </c>
      <c r="L27" s="289">
        <f t="shared" si="3"/>
        <v>1444489.2033333334</v>
      </c>
      <c r="M27" s="289">
        <f t="shared" si="4"/>
        <v>1440531.6986666666</v>
      </c>
      <c r="N27" s="289">
        <f t="shared" si="5"/>
        <v>1440531.6986666666</v>
      </c>
      <c r="O27" s="289">
        <f t="shared" si="6"/>
        <v>1440531.6986666666</v>
      </c>
    </row>
    <row r="28" spans="1:15">
      <c r="A28" s="2227" t="s">
        <v>1580</v>
      </c>
      <c r="B28" s="289">
        <v>2568.67</v>
      </c>
      <c r="C28" s="2230">
        <v>44805</v>
      </c>
      <c r="D28" s="2230">
        <v>46934</v>
      </c>
      <c r="E28" s="289">
        <v>229</v>
      </c>
      <c r="F28" s="289">
        <f t="shared" si="0"/>
        <v>7.6333333333333337</v>
      </c>
      <c r="I28" s="289">
        <f t="shared" si="7"/>
        <v>2745052.0066666673</v>
      </c>
      <c r="J28" s="289">
        <f t="shared" si="1"/>
        <v>7137135.2173333345</v>
      </c>
      <c r="K28" s="289">
        <f t="shared" si="2"/>
        <v>7137135.2173333345</v>
      </c>
      <c r="L28" s="289">
        <f t="shared" si="3"/>
        <v>7156742.7316666674</v>
      </c>
      <c r="M28" s="289">
        <f t="shared" si="4"/>
        <v>7137135.2173333345</v>
      </c>
      <c r="N28" s="289">
        <f t="shared" si="5"/>
        <v>7137135.2173333345</v>
      </c>
      <c r="O28" s="289">
        <f t="shared" si="6"/>
        <v>7137135.2173333345</v>
      </c>
    </row>
    <row r="29" spans="1:15">
      <c r="A29" s="2227" t="s">
        <v>1581</v>
      </c>
      <c r="B29" s="289">
        <v>1877.91</v>
      </c>
      <c r="C29" s="2231">
        <v>44013</v>
      </c>
      <c r="D29" s="2230">
        <v>46934</v>
      </c>
      <c r="E29" s="289">
        <v>343</v>
      </c>
      <c r="F29" s="289">
        <f t="shared" si="0"/>
        <v>11.433333333333334</v>
      </c>
      <c r="I29" s="289">
        <f t="shared" si="7"/>
        <v>3005907.94</v>
      </c>
      <c r="J29" s="289">
        <f t="shared" si="1"/>
        <v>7815360.6440000003</v>
      </c>
      <c r="K29" s="289">
        <f t="shared" si="2"/>
        <v>7815360.6440000003</v>
      </c>
      <c r="L29" s="289">
        <f t="shared" si="3"/>
        <v>7836831.415</v>
      </c>
      <c r="M29" s="289">
        <f t="shared" si="4"/>
        <v>7815360.6440000003</v>
      </c>
      <c r="N29" s="289">
        <f t="shared" si="5"/>
        <v>7815360.6440000003</v>
      </c>
      <c r="O29" s="289">
        <f t="shared" si="6"/>
        <v>7815360.6440000003</v>
      </c>
    </row>
    <row r="30" spans="1:15">
      <c r="A30" s="2227" t="s">
        <v>1582</v>
      </c>
      <c r="B30" s="289">
        <v>1877.97</v>
      </c>
      <c r="C30" s="2230">
        <v>44013</v>
      </c>
      <c r="D30" s="2230">
        <v>46934</v>
      </c>
      <c r="E30" s="289">
        <v>343</v>
      </c>
      <c r="F30" s="289">
        <f t="shared" si="0"/>
        <v>11.433333333333334</v>
      </c>
      <c r="I30" s="289">
        <f t="shared" si="7"/>
        <v>3006003.9800000004</v>
      </c>
      <c r="J30" s="289">
        <f t="shared" si="1"/>
        <v>7815610.3480000012</v>
      </c>
      <c r="K30" s="289">
        <f t="shared" si="2"/>
        <v>7815610.3480000012</v>
      </c>
      <c r="L30" s="289">
        <f t="shared" si="3"/>
        <v>7837081.8050000006</v>
      </c>
      <c r="M30" s="289">
        <f t="shared" si="4"/>
        <v>7815610.3480000012</v>
      </c>
      <c r="N30" s="289">
        <f t="shared" si="5"/>
        <v>7815610.3480000012</v>
      </c>
      <c r="O30" s="289">
        <f t="shared" si="6"/>
        <v>7815610.3480000012</v>
      </c>
    </row>
    <row r="31" spans="1:15">
      <c r="A31" s="2227" t="s">
        <v>1583</v>
      </c>
      <c r="B31" s="289">
        <v>1877.91</v>
      </c>
      <c r="C31" s="2231">
        <v>44013</v>
      </c>
      <c r="D31" s="2230">
        <v>46934</v>
      </c>
      <c r="E31" s="289">
        <v>343</v>
      </c>
      <c r="F31" s="289">
        <f t="shared" si="0"/>
        <v>11.433333333333334</v>
      </c>
      <c r="I31" s="289">
        <f t="shared" si="7"/>
        <v>3005907.94</v>
      </c>
      <c r="J31" s="289">
        <f t="shared" si="1"/>
        <v>7815360.6440000003</v>
      </c>
      <c r="K31" s="289">
        <f t="shared" si="2"/>
        <v>7815360.6440000003</v>
      </c>
      <c r="L31" s="289">
        <f t="shared" si="3"/>
        <v>7836831.415</v>
      </c>
      <c r="M31" s="289">
        <f t="shared" si="4"/>
        <v>7815360.6440000003</v>
      </c>
      <c r="N31" s="289">
        <f t="shared" si="5"/>
        <v>7815360.6440000003</v>
      </c>
      <c r="O31" s="289">
        <f t="shared" si="6"/>
        <v>7815360.6440000003</v>
      </c>
    </row>
    <row r="32" spans="1:15">
      <c r="A32" s="2227" t="s">
        <v>1584</v>
      </c>
      <c r="B32" s="289">
        <v>1877.91</v>
      </c>
      <c r="C32" s="2230">
        <v>44013</v>
      </c>
      <c r="D32" s="2230">
        <v>46934</v>
      </c>
      <c r="E32" s="289">
        <v>343</v>
      </c>
      <c r="F32" s="289">
        <f t="shared" si="0"/>
        <v>11.433333333333334</v>
      </c>
      <c r="I32" s="289">
        <f t="shared" si="7"/>
        <v>3005907.94</v>
      </c>
      <c r="J32" s="289">
        <f t="shared" si="1"/>
        <v>7815360.6440000003</v>
      </c>
      <c r="K32" s="289">
        <f t="shared" si="2"/>
        <v>7815360.6440000003</v>
      </c>
      <c r="L32" s="289">
        <f t="shared" si="3"/>
        <v>7836831.415</v>
      </c>
      <c r="M32" s="289">
        <f t="shared" si="4"/>
        <v>7815360.6440000003</v>
      </c>
      <c r="N32" s="289">
        <f t="shared" si="5"/>
        <v>7815360.6440000003</v>
      </c>
      <c r="O32" s="289">
        <f t="shared" si="6"/>
        <v>7815360.6440000003</v>
      </c>
    </row>
    <row r="33" spans="1:15">
      <c r="A33" s="2227" t="s">
        <v>1585</v>
      </c>
      <c r="B33" s="289">
        <v>363.29</v>
      </c>
      <c r="C33" s="2230">
        <v>45717</v>
      </c>
      <c r="D33" s="2230">
        <v>46812</v>
      </c>
      <c r="E33" s="289">
        <v>281</v>
      </c>
      <c r="F33" s="289">
        <f t="shared" si="0"/>
        <v>9.3666666666666671</v>
      </c>
      <c r="I33" s="289">
        <f t="shared" si="7"/>
        <v>476394.28666666674</v>
      </c>
      <c r="J33" s="289">
        <f t="shared" si="1"/>
        <v>1238625.1453333334</v>
      </c>
      <c r="K33" s="289">
        <f t="shared" si="2"/>
        <v>1238625.1453333334</v>
      </c>
      <c r="L33" s="289">
        <f t="shared" si="3"/>
        <v>1242027.9616666667</v>
      </c>
      <c r="M33" s="289">
        <f t="shared" si="4"/>
        <v>1238625.1453333334</v>
      </c>
      <c r="N33" s="289">
        <f t="shared" si="5"/>
        <v>1238625.1453333334</v>
      </c>
      <c r="O33" s="289">
        <f t="shared" si="6"/>
        <v>1238625.1453333334</v>
      </c>
    </row>
    <row r="34" spans="1:15">
      <c r="A34" s="2227" t="s">
        <v>1586</v>
      </c>
      <c r="B34" s="289">
        <v>189.91</v>
      </c>
      <c r="C34" s="2230">
        <v>45717</v>
      </c>
      <c r="D34" s="2230">
        <v>46812</v>
      </c>
      <c r="E34" s="289">
        <v>281</v>
      </c>
      <c r="F34" s="289">
        <f t="shared" si="0"/>
        <v>9.3666666666666671</v>
      </c>
      <c r="I34" s="289">
        <f t="shared" si="7"/>
        <v>249035.31333333332</v>
      </c>
      <c r="J34" s="289">
        <f t="shared" si="1"/>
        <v>647491.81466666667</v>
      </c>
      <c r="K34" s="289">
        <f t="shared" si="2"/>
        <v>647491.81466666667</v>
      </c>
      <c r="L34" s="289">
        <f t="shared" si="3"/>
        <v>649270.63833333331</v>
      </c>
      <c r="M34" s="289">
        <f t="shared" si="4"/>
        <v>647491.81466666667</v>
      </c>
      <c r="N34" s="289">
        <f t="shared" si="5"/>
        <v>647491.81466666667</v>
      </c>
      <c r="O34" s="289">
        <f t="shared" si="6"/>
        <v>647491.81466666667</v>
      </c>
    </row>
    <row r="35" spans="1:15">
      <c r="A35" s="2227" t="s">
        <v>1587</v>
      </c>
      <c r="B35" s="289">
        <v>968.5</v>
      </c>
      <c r="C35" s="2230">
        <v>45717</v>
      </c>
      <c r="D35" s="2230">
        <v>46812</v>
      </c>
      <c r="E35" s="289">
        <v>281</v>
      </c>
      <c r="F35" s="289">
        <f t="shared" si="0"/>
        <v>9.3666666666666671</v>
      </c>
      <c r="I35" s="289">
        <f t="shared" si="7"/>
        <v>1270026.3333333333</v>
      </c>
      <c r="J35" s="289">
        <f t="shared" si="1"/>
        <v>3302068.4666666668</v>
      </c>
      <c r="K35" s="289">
        <f t="shared" si="2"/>
        <v>3302068.4666666668</v>
      </c>
      <c r="L35" s="289">
        <f t="shared" si="3"/>
        <v>3311140.0833333335</v>
      </c>
      <c r="M35" s="289">
        <f t="shared" si="4"/>
        <v>3302068.4666666668</v>
      </c>
      <c r="N35" s="289">
        <f t="shared" si="5"/>
        <v>3302068.4666666668</v>
      </c>
      <c r="O35" s="289">
        <f t="shared" si="6"/>
        <v>3302068.4666666668</v>
      </c>
    </row>
    <row r="36" spans="1:15">
      <c r="A36" s="2227" t="s">
        <v>1588</v>
      </c>
      <c r="B36" s="289">
        <v>15</v>
      </c>
      <c r="C36" s="2230">
        <v>45717</v>
      </c>
      <c r="D36" s="2230">
        <v>46812</v>
      </c>
      <c r="E36" s="289">
        <v>281</v>
      </c>
      <c r="F36" s="289">
        <f t="shared" si="0"/>
        <v>9.3666666666666671</v>
      </c>
      <c r="I36" s="289">
        <f t="shared" si="7"/>
        <v>19670</v>
      </c>
      <c r="J36" s="289">
        <f t="shared" si="1"/>
        <v>51142</v>
      </c>
      <c r="K36" s="289">
        <f t="shared" si="2"/>
        <v>51142</v>
      </c>
      <c r="L36" s="289">
        <f t="shared" si="3"/>
        <v>51282.5</v>
      </c>
      <c r="M36" s="289">
        <f t="shared" si="4"/>
        <v>51142</v>
      </c>
      <c r="N36" s="289">
        <f t="shared" si="5"/>
        <v>51142</v>
      </c>
      <c r="O36" s="289">
        <f t="shared" si="6"/>
        <v>51142</v>
      </c>
    </row>
    <row r="37" spans="1:15">
      <c r="A37" s="2227" t="s">
        <v>1589</v>
      </c>
      <c r="B37" s="289">
        <v>341.21</v>
      </c>
      <c r="C37" s="2230">
        <v>45717</v>
      </c>
      <c r="D37" s="2230">
        <v>46812</v>
      </c>
      <c r="E37" s="289">
        <v>281</v>
      </c>
      <c r="F37" s="289">
        <f t="shared" si="0"/>
        <v>9.3666666666666671</v>
      </c>
      <c r="I37" s="289">
        <f t="shared" si="7"/>
        <v>447440.04666666669</v>
      </c>
      <c r="J37" s="289">
        <f t="shared" si="1"/>
        <v>1163344.1213333334</v>
      </c>
      <c r="K37" s="289">
        <f t="shared" si="2"/>
        <v>1163344.1213333334</v>
      </c>
      <c r="L37" s="289">
        <f t="shared" si="3"/>
        <v>1166540.1216666666</v>
      </c>
      <c r="M37" s="289">
        <f t="shared" si="4"/>
        <v>1163344.1213333334</v>
      </c>
      <c r="N37" s="289">
        <f t="shared" si="5"/>
        <v>1163344.1213333334</v>
      </c>
      <c r="O37" s="289">
        <f t="shared" si="6"/>
        <v>1163344.1213333334</v>
      </c>
    </row>
    <row r="38" spans="1:15">
      <c r="A38" s="2227" t="s">
        <v>1590</v>
      </c>
      <c r="B38" s="289">
        <v>1877.92</v>
      </c>
      <c r="C38" s="2230">
        <v>45435</v>
      </c>
      <c r="D38" s="2230">
        <v>46529</v>
      </c>
      <c r="E38" s="289">
        <v>217</v>
      </c>
      <c r="F38" s="289">
        <f t="shared" si="0"/>
        <v>7.2333333333333334</v>
      </c>
      <c r="I38" s="289">
        <f t="shared" si="7"/>
        <v>1901706.9866666668</v>
      </c>
      <c r="J38" s="289">
        <f t="shared" si="1"/>
        <v>4944438.1653333334</v>
      </c>
      <c r="K38" s="289">
        <f t="shared" si="2"/>
        <v>4944438.1653333334</v>
      </c>
      <c r="L38" s="289">
        <f t="shared" si="3"/>
        <v>4958021.7866666671</v>
      </c>
      <c r="M38" s="289">
        <f t="shared" si="4"/>
        <v>4944438.1653333334</v>
      </c>
      <c r="N38" s="289">
        <f t="shared" si="5"/>
        <v>4944438.1653333334</v>
      </c>
      <c r="O38" s="289">
        <f t="shared" si="6"/>
        <v>4944438.1653333334</v>
      </c>
    </row>
    <row r="39" spans="1:15">
      <c r="A39" s="2227" t="s">
        <v>1591</v>
      </c>
      <c r="B39" s="289">
        <v>636.12</v>
      </c>
      <c r="C39" s="2230">
        <v>45536</v>
      </c>
      <c r="D39" s="2230">
        <v>47087</v>
      </c>
      <c r="E39" s="289">
        <v>227</v>
      </c>
      <c r="F39" s="289">
        <f t="shared" si="0"/>
        <v>7.5666666666666664</v>
      </c>
      <c r="I39" s="289">
        <f t="shared" si="7"/>
        <v>673863.12</v>
      </c>
      <c r="J39" s="289">
        <f t="shared" si="1"/>
        <v>1752044.112</v>
      </c>
      <c r="K39" s="289">
        <f t="shared" si="2"/>
        <v>1752044.112</v>
      </c>
      <c r="L39" s="289">
        <f t="shared" si="3"/>
        <v>1756857.42</v>
      </c>
      <c r="M39" s="289">
        <f t="shared" si="4"/>
        <v>1752044.112</v>
      </c>
      <c r="N39" s="289">
        <f t="shared" si="5"/>
        <v>1752044.112</v>
      </c>
      <c r="O39" s="289">
        <f t="shared" si="6"/>
        <v>1752044.112</v>
      </c>
    </row>
    <row r="40" spans="1:15">
      <c r="A40" s="2227" t="s">
        <v>1592</v>
      </c>
      <c r="B40" s="289">
        <v>931.25</v>
      </c>
      <c r="C40" s="2230">
        <v>45489</v>
      </c>
      <c r="D40" s="2230">
        <v>47314</v>
      </c>
      <c r="E40" s="289">
        <v>219</v>
      </c>
      <c r="F40" s="289">
        <f t="shared" si="0"/>
        <v>7.3</v>
      </c>
      <c r="I40" s="289">
        <f t="shared" si="7"/>
        <v>951737.5</v>
      </c>
      <c r="J40" s="289">
        <f t="shared" si="1"/>
        <v>2474517.5</v>
      </c>
      <c r="K40" s="289">
        <f t="shared" si="2"/>
        <v>2474517.5</v>
      </c>
      <c r="L40" s="289">
        <f t="shared" si="3"/>
        <v>2481315.625</v>
      </c>
      <c r="M40" s="289">
        <f t="shared" si="4"/>
        <v>2474517.5</v>
      </c>
      <c r="N40" s="289">
        <f t="shared" si="5"/>
        <v>2474517.5</v>
      </c>
      <c r="O40" s="289">
        <f t="shared" si="6"/>
        <v>2474517.5</v>
      </c>
    </row>
    <row r="41" spans="1:15">
      <c r="A41" s="2227" t="s">
        <v>1593</v>
      </c>
      <c r="B41" s="289">
        <v>20</v>
      </c>
      <c r="C41" s="2230">
        <v>45489</v>
      </c>
      <c r="D41" s="2230">
        <v>47314</v>
      </c>
      <c r="E41" s="289">
        <v>219</v>
      </c>
      <c r="F41" s="289">
        <f t="shared" si="0"/>
        <v>7.3</v>
      </c>
      <c r="I41" s="289">
        <f t="shared" si="7"/>
        <v>20440</v>
      </c>
      <c r="J41" s="289">
        <f t="shared" si="1"/>
        <v>53144</v>
      </c>
      <c r="K41" s="289">
        <f t="shared" si="2"/>
        <v>53144</v>
      </c>
      <c r="L41" s="289">
        <f t="shared" si="3"/>
        <v>53290</v>
      </c>
      <c r="M41" s="289">
        <f t="shared" si="4"/>
        <v>53144</v>
      </c>
      <c r="N41" s="289">
        <f t="shared" si="5"/>
        <v>53144</v>
      </c>
      <c r="O41" s="289">
        <f t="shared" si="6"/>
        <v>53144</v>
      </c>
    </row>
    <row r="42" spans="1:15">
      <c r="A42" s="2227" t="s">
        <v>1594</v>
      </c>
      <c r="B42" s="289">
        <v>20</v>
      </c>
      <c r="C42" s="2230">
        <v>45489</v>
      </c>
      <c r="D42" s="2230">
        <v>47314</v>
      </c>
      <c r="E42" s="289">
        <v>219</v>
      </c>
      <c r="F42" s="289">
        <f t="shared" si="0"/>
        <v>7.3</v>
      </c>
      <c r="I42" s="289">
        <f t="shared" si="7"/>
        <v>20440</v>
      </c>
      <c r="J42" s="289">
        <f t="shared" si="1"/>
        <v>53144</v>
      </c>
      <c r="K42" s="289">
        <f t="shared" si="2"/>
        <v>53144</v>
      </c>
      <c r="L42" s="289">
        <f t="shared" si="3"/>
        <v>53290</v>
      </c>
      <c r="M42" s="289">
        <f t="shared" si="4"/>
        <v>53144</v>
      </c>
      <c r="N42" s="289">
        <f t="shared" si="5"/>
        <v>53144</v>
      </c>
      <c r="O42" s="289">
        <f t="shared" si="6"/>
        <v>53144</v>
      </c>
    </row>
    <row r="43" spans="1:15">
      <c r="A43" s="2227" t="s">
        <v>1595</v>
      </c>
      <c r="B43" s="289">
        <v>310.56</v>
      </c>
      <c r="C43" s="2230">
        <v>44743</v>
      </c>
      <c r="D43" s="2230">
        <v>45838</v>
      </c>
      <c r="E43" s="289">
        <v>357</v>
      </c>
      <c r="F43" s="289">
        <f t="shared" si="0"/>
        <v>11.9</v>
      </c>
      <c r="I43" s="289">
        <f t="shared" si="7"/>
        <v>517392.96</v>
      </c>
      <c r="J43" s="289">
        <f t="shared" si="1"/>
        <v>1345221.696</v>
      </c>
      <c r="K43" s="289">
        <f t="shared" si="2"/>
        <v>1345221.696</v>
      </c>
      <c r="L43" s="289">
        <f t="shared" si="3"/>
        <v>1348917.36</v>
      </c>
      <c r="M43" s="289">
        <f t="shared" si="4"/>
        <v>1345221.696</v>
      </c>
      <c r="N43" s="289">
        <f t="shared" si="5"/>
        <v>1345221.696</v>
      </c>
      <c r="O43" s="289">
        <f t="shared" si="6"/>
        <v>1345221.696</v>
      </c>
    </row>
    <row r="44" spans="1:15">
      <c r="A44" s="2227" t="s">
        <v>1596</v>
      </c>
      <c r="B44" s="289">
        <v>1717</v>
      </c>
      <c r="C44" s="2231">
        <v>45536</v>
      </c>
      <c r="D44" s="2230">
        <v>47483</v>
      </c>
      <c r="E44" s="289">
        <v>219</v>
      </c>
      <c r="F44" s="289">
        <f t="shared" si="0"/>
        <v>7.3</v>
      </c>
      <c r="I44" s="289">
        <f t="shared" si="7"/>
        <v>1754774</v>
      </c>
      <c r="J44" s="289">
        <f t="shared" si="1"/>
        <v>4562412.4000000004</v>
      </c>
      <c r="K44" s="289">
        <f t="shared" si="2"/>
        <v>4562412.4000000004</v>
      </c>
      <c r="L44" s="289">
        <f t="shared" si="3"/>
        <v>4574946.5</v>
      </c>
      <c r="M44" s="289">
        <f t="shared" si="4"/>
        <v>4562412.4000000004</v>
      </c>
      <c r="N44" s="289">
        <f t="shared" si="5"/>
        <v>4562412.4000000004</v>
      </c>
      <c r="O44" s="289">
        <f t="shared" si="6"/>
        <v>4562412.4000000004</v>
      </c>
    </row>
    <row r="45" spans="1:15">
      <c r="A45" s="2227" t="s">
        <v>1597</v>
      </c>
      <c r="B45" s="289">
        <v>1767</v>
      </c>
      <c r="C45" s="2231">
        <v>45536</v>
      </c>
      <c r="D45" s="2230">
        <v>47483</v>
      </c>
      <c r="E45" s="289">
        <v>219</v>
      </c>
      <c r="F45" s="289">
        <f t="shared" si="0"/>
        <v>7.3</v>
      </c>
      <c r="I45" s="289">
        <f t="shared" si="7"/>
        <v>1805874</v>
      </c>
      <c r="J45" s="289">
        <f t="shared" si="1"/>
        <v>4695272.4000000004</v>
      </c>
      <c r="K45" s="289">
        <f t="shared" si="2"/>
        <v>4695272.4000000004</v>
      </c>
      <c r="L45" s="289">
        <f t="shared" si="3"/>
        <v>4708171.5</v>
      </c>
      <c r="M45" s="289">
        <f t="shared" si="4"/>
        <v>4695272.4000000004</v>
      </c>
      <c r="N45" s="289">
        <f t="shared" si="5"/>
        <v>4695272.4000000004</v>
      </c>
      <c r="O45" s="289">
        <f t="shared" si="6"/>
        <v>4695272.4000000004</v>
      </c>
    </row>
    <row r="46" spans="1:15">
      <c r="A46" s="2227" t="s">
        <v>1598</v>
      </c>
      <c r="B46" s="289">
        <v>1744.05</v>
      </c>
      <c r="C46" s="2231">
        <v>45536</v>
      </c>
      <c r="D46" s="2230">
        <v>47483</v>
      </c>
      <c r="E46" s="289">
        <v>219</v>
      </c>
      <c r="F46" s="289">
        <f t="shared" si="0"/>
        <v>7.3</v>
      </c>
      <c r="I46" s="289">
        <f t="shared" si="7"/>
        <v>1782419.0999999999</v>
      </c>
      <c r="J46" s="289">
        <f t="shared" si="1"/>
        <v>4634289.6599999992</v>
      </c>
      <c r="K46" s="289">
        <f t="shared" si="2"/>
        <v>4634289.6599999992</v>
      </c>
      <c r="L46" s="289">
        <f t="shared" si="3"/>
        <v>4647021.2249999996</v>
      </c>
      <c r="M46" s="289">
        <f t="shared" si="4"/>
        <v>4634289.6599999992</v>
      </c>
      <c r="N46" s="289">
        <f t="shared" si="5"/>
        <v>4634289.6599999992</v>
      </c>
      <c r="O46" s="289">
        <f t="shared" si="6"/>
        <v>4634289.6599999992</v>
      </c>
    </row>
    <row r="47" spans="1:15">
      <c r="A47" s="2227" t="s">
        <v>1599</v>
      </c>
      <c r="B47" s="289">
        <v>1767</v>
      </c>
      <c r="C47" s="2231">
        <v>45536</v>
      </c>
      <c r="D47" s="2230">
        <v>47483</v>
      </c>
      <c r="E47" s="289">
        <v>219</v>
      </c>
      <c r="F47" s="289">
        <f t="shared" si="0"/>
        <v>7.3</v>
      </c>
      <c r="I47" s="289">
        <f t="shared" si="7"/>
        <v>1805874</v>
      </c>
      <c r="J47" s="289">
        <f t="shared" si="1"/>
        <v>4695272.4000000004</v>
      </c>
      <c r="K47" s="289">
        <f t="shared" si="2"/>
        <v>4695272.4000000004</v>
      </c>
      <c r="L47" s="289">
        <f t="shared" si="3"/>
        <v>4708171.5</v>
      </c>
      <c r="M47" s="289">
        <f t="shared" si="4"/>
        <v>4695272.4000000004</v>
      </c>
      <c r="N47" s="289">
        <f t="shared" si="5"/>
        <v>4695272.4000000004</v>
      </c>
      <c r="O47" s="289">
        <f t="shared" si="6"/>
        <v>4695272.4000000004</v>
      </c>
    </row>
    <row r="48" spans="1:15">
      <c r="A48" s="2227" t="s">
        <v>1600</v>
      </c>
      <c r="B48" s="289">
        <v>1877.92</v>
      </c>
      <c r="C48" s="2231">
        <v>45536</v>
      </c>
      <c r="D48" s="2230">
        <v>47483</v>
      </c>
      <c r="E48" s="289">
        <v>219</v>
      </c>
      <c r="F48" s="289">
        <f t="shared" si="0"/>
        <v>7.3</v>
      </c>
      <c r="I48" s="289">
        <f t="shared" si="7"/>
        <v>1919234.24</v>
      </c>
      <c r="J48" s="289">
        <f t="shared" si="1"/>
        <v>4990009.0240000002</v>
      </c>
      <c r="K48" s="289">
        <f t="shared" si="2"/>
        <v>4990009.0240000002</v>
      </c>
      <c r="L48" s="289">
        <f t="shared" si="3"/>
        <v>5003717.84</v>
      </c>
      <c r="M48" s="289">
        <f t="shared" si="4"/>
        <v>4990009.0240000002</v>
      </c>
      <c r="N48" s="289">
        <f t="shared" si="5"/>
        <v>4990009.0240000002</v>
      </c>
      <c r="O48" s="289">
        <f t="shared" si="6"/>
        <v>4990009.0240000002</v>
      </c>
    </row>
    <row r="49" spans="1:15">
      <c r="A49" s="2227" t="s">
        <v>1601</v>
      </c>
      <c r="B49" s="289">
        <v>2712.96</v>
      </c>
      <c r="C49" s="2231">
        <v>45536</v>
      </c>
      <c r="D49" s="2230">
        <v>47483</v>
      </c>
      <c r="E49" s="289">
        <v>219</v>
      </c>
      <c r="F49" s="289">
        <f t="shared" si="0"/>
        <v>7.3</v>
      </c>
      <c r="I49" s="289">
        <f t="shared" si="7"/>
        <v>2772645.12</v>
      </c>
      <c r="J49" s="289">
        <f t="shared" si="1"/>
        <v>7208877.3119999999</v>
      </c>
      <c r="K49" s="289">
        <f t="shared" si="2"/>
        <v>7208877.3119999999</v>
      </c>
      <c r="L49" s="289">
        <f t="shared" si="3"/>
        <v>7228681.9199999999</v>
      </c>
      <c r="M49" s="289">
        <f t="shared" si="4"/>
        <v>7208877.3119999999</v>
      </c>
      <c r="N49" s="289">
        <f t="shared" si="5"/>
        <v>7208877.3119999999</v>
      </c>
      <c r="O49" s="289">
        <f t="shared" si="6"/>
        <v>7208877.3119999999</v>
      </c>
    </row>
    <row r="50" spans="1:15">
      <c r="A50" s="2227" t="s">
        <v>1602</v>
      </c>
      <c r="B50" s="289">
        <v>2045.6</v>
      </c>
      <c r="C50" s="2231">
        <v>45536</v>
      </c>
      <c r="D50" s="2230">
        <v>47483</v>
      </c>
      <c r="E50" s="289">
        <v>219</v>
      </c>
      <c r="F50" s="289">
        <f t="shared" si="0"/>
        <v>7.3</v>
      </c>
      <c r="I50" s="289">
        <f t="shared" si="7"/>
        <v>2090603.2</v>
      </c>
      <c r="J50" s="289">
        <f t="shared" si="1"/>
        <v>5435568.3199999994</v>
      </c>
      <c r="K50" s="289">
        <f t="shared" si="2"/>
        <v>5435568.3199999994</v>
      </c>
      <c r="L50" s="289">
        <f t="shared" si="3"/>
        <v>5450501.1999999993</v>
      </c>
      <c r="M50" s="289">
        <f t="shared" si="4"/>
        <v>5435568.3199999994</v>
      </c>
      <c r="N50" s="289">
        <f t="shared" si="5"/>
        <v>5435568.3199999994</v>
      </c>
      <c r="O50" s="289">
        <f t="shared" si="6"/>
        <v>5435568.3199999994</v>
      </c>
    </row>
    <row r="51" spans="1:15">
      <c r="A51" s="2227" t="s">
        <v>1603</v>
      </c>
      <c r="B51" s="289">
        <v>10</v>
      </c>
      <c r="C51" s="2231">
        <v>45536</v>
      </c>
      <c r="D51" s="2230">
        <v>47483</v>
      </c>
      <c r="E51" s="289">
        <v>219</v>
      </c>
      <c r="F51" s="289">
        <f t="shared" si="0"/>
        <v>7.3</v>
      </c>
      <c r="I51" s="289">
        <f t="shared" si="7"/>
        <v>10220</v>
      </c>
      <c r="J51" s="289">
        <f t="shared" si="1"/>
        <v>26572</v>
      </c>
      <c r="K51" s="289">
        <f t="shared" si="2"/>
        <v>26572</v>
      </c>
      <c r="L51" s="289">
        <f t="shared" si="3"/>
        <v>26645</v>
      </c>
      <c r="M51" s="289">
        <f t="shared" si="4"/>
        <v>26572</v>
      </c>
      <c r="N51" s="289">
        <f t="shared" si="5"/>
        <v>26572</v>
      </c>
      <c r="O51" s="289">
        <f t="shared" si="6"/>
        <v>26572</v>
      </c>
    </row>
    <row r="52" spans="1:15">
      <c r="A52" s="2227" t="s">
        <v>1604</v>
      </c>
      <c r="B52" s="289">
        <v>50</v>
      </c>
      <c r="C52" s="2231">
        <v>45536</v>
      </c>
      <c r="D52" s="2230">
        <v>47483</v>
      </c>
      <c r="E52" s="289">
        <v>219</v>
      </c>
      <c r="F52" s="289">
        <f t="shared" si="0"/>
        <v>7.3</v>
      </c>
      <c r="I52" s="289">
        <f t="shared" si="7"/>
        <v>51100</v>
      </c>
      <c r="J52" s="289">
        <f t="shared" si="1"/>
        <v>132860</v>
      </c>
      <c r="K52" s="289">
        <f t="shared" si="2"/>
        <v>132860</v>
      </c>
      <c r="L52" s="289">
        <f t="shared" si="3"/>
        <v>133225</v>
      </c>
      <c r="M52" s="289">
        <f t="shared" si="4"/>
        <v>132860</v>
      </c>
      <c r="N52" s="289">
        <f t="shared" si="5"/>
        <v>132860</v>
      </c>
      <c r="O52" s="289">
        <f t="shared" si="6"/>
        <v>132860</v>
      </c>
    </row>
    <row r="53" spans="1:15">
      <c r="A53" s="2227" t="s">
        <v>1605</v>
      </c>
      <c r="B53" s="289">
        <v>15</v>
      </c>
      <c r="C53" s="2230">
        <v>45489</v>
      </c>
      <c r="D53" s="2230">
        <v>46249</v>
      </c>
      <c r="E53" s="289">
        <v>294</v>
      </c>
      <c r="F53" s="289">
        <f t="shared" si="0"/>
        <v>9.8000000000000007</v>
      </c>
      <c r="I53" s="289">
        <f t="shared" si="7"/>
        <v>20580</v>
      </c>
      <c r="J53" s="289">
        <f t="shared" si="1"/>
        <v>53508</v>
      </c>
      <c r="K53" s="289">
        <f t="shared" si="2"/>
        <v>53508</v>
      </c>
      <c r="L53" s="289">
        <f t="shared" si="3"/>
        <v>53655</v>
      </c>
      <c r="M53" s="289">
        <f t="shared" si="4"/>
        <v>53508</v>
      </c>
      <c r="N53" s="289">
        <f t="shared" si="5"/>
        <v>53508</v>
      </c>
      <c r="O53" s="289">
        <f t="shared" si="6"/>
        <v>53508</v>
      </c>
    </row>
    <row r="54" spans="1:15">
      <c r="A54" s="2227" t="s">
        <v>1606</v>
      </c>
      <c r="B54" s="289">
        <v>840.17</v>
      </c>
      <c r="C54" s="2230">
        <v>45489</v>
      </c>
      <c r="D54" s="2230">
        <v>46249</v>
      </c>
      <c r="E54" s="289">
        <v>294</v>
      </c>
      <c r="F54" s="289">
        <f t="shared" si="0"/>
        <v>9.8000000000000007</v>
      </c>
      <c r="I54" s="289">
        <f t="shared" si="7"/>
        <v>1152713.2400000002</v>
      </c>
      <c r="J54" s="289">
        <f t="shared" si="1"/>
        <v>2997054.4240000006</v>
      </c>
      <c r="K54" s="289">
        <f t="shared" si="2"/>
        <v>2997054.4240000006</v>
      </c>
      <c r="L54" s="289">
        <f t="shared" si="3"/>
        <v>3005288.0900000003</v>
      </c>
      <c r="M54" s="289">
        <f t="shared" si="4"/>
        <v>2997054.4240000006</v>
      </c>
      <c r="N54" s="289">
        <f t="shared" si="5"/>
        <v>2997054.4240000006</v>
      </c>
      <c r="O54" s="289">
        <f t="shared" si="6"/>
        <v>2997054.4240000006</v>
      </c>
    </row>
    <row r="55" spans="1:15">
      <c r="A55" s="2227" t="s">
        <v>1607</v>
      </c>
      <c r="B55" s="289">
        <v>15</v>
      </c>
      <c r="C55" s="2230">
        <v>45489</v>
      </c>
      <c r="D55" s="2230">
        <v>46249</v>
      </c>
      <c r="E55" s="289">
        <v>294</v>
      </c>
      <c r="F55" s="289">
        <f t="shared" si="0"/>
        <v>9.8000000000000007</v>
      </c>
      <c r="I55" s="289">
        <f t="shared" si="7"/>
        <v>20580</v>
      </c>
      <c r="J55" s="289">
        <f t="shared" si="1"/>
        <v>53508</v>
      </c>
      <c r="K55" s="289">
        <f t="shared" si="2"/>
        <v>53508</v>
      </c>
      <c r="L55" s="289">
        <f t="shared" si="3"/>
        <v>53655</v>
      </c>
      <c r="M55" s="289">
        <f t="shared" si="4"/>
        <v>53508</v>
      </c>
      <c r="N55" s="289">
        <f t="shared" si="5"/>
        <v>53508</v>
      </c>
      <c r="O55" s="289">
        <f t="shared" si="6"/>
        <v>53508</v>
      </c>
    </row>
    <row r="56" spans="1:15">
      <c r="A56" s="2227" t="s">
        <v>1608</v>
      </c>
      <c r="B56" s="289">
        <v>1247.96</v>
      </c>
      <c r="C56" s="2230">
        <v>45658</v>
      </c>
      <c r="D56" s="2230">
        <v>46752</v>
      </c>
      <c r="E56" s="289">
        <v>210</v>
      </c>
      <c r="F56" s="289">
        <f t="shared" si="0"/>
        <v>7</v>
      </c>
      <c r="I56" s="289">
        <f t="shared" si="7"/>
        <v>1223000.8000000003</v>
      </c>
      <c r="J56" s="289">
        <f t="shared" si="1"/>
        <v>3179802.0800000005</v>
      </c>
      <c r="K56" s="289">
        <f t="shared" si="2"/>
        <v>3179802.0800000005</v>
      </c>
      <c r="L56" s="289">
        <f t="shared" si="3"/>
        <v>3188537.8000000003</v>
      </c>
      <c r="M56" s="289">
        <f t="shared" si="4"/>
        <v>3179802.0800000005</v>
      </c>
      <c r="N56" s="289">
        <f t="shared" si="5"/>
        <v>3179802.0800000005</v>
      </c>
      <c r="O56" s="289">
        <f t="shared" si="6"/>
        <v>3179802.0800000005</v>
      </c>
    </row>
    <row r="57" spans="1:15">
      <c r="A57" s="2227" t="s">
        <v>1609</v>
      </c>
      <c r="B57" s="289">
        <v>296.36</v>
      </c>
      <c r="C57" s="2230">
        <v>45122</v>
      </c>
      <c r="D57" s="2230">
        <v>46217</v>
      </c>
      <c r="E57" s="289">
        <v>354</v>
      </c>
      <c r="F57" s="289">
        <f t="shared" si="0"/>
        <v>11.8</v>
      </c>
      <c r="I57" s="289">
        <f t="shared" si="7"/>
        <v>489586.72000000003</v>
      </c>
      <c r="J57" s="289">
        <f t="shared" si="1"/>
        <v>1272925.4720000001</v>
      </c>
      <c r="K57" s="289">
        <f t="shared" si="2"/>
        <v>1272925.4720000001</v>
      </c>
      <c r="L57" s="289">
        <f t="shared" si="3"/>
        <v>1276422.52</v>
      </c>
      <c r="M57" s="289">
        <f t="shared" si="4"/>
        <v>1272925.4720000001</v>
      </c>
      <c r="N57" s="289">
        <f t="shared" si="5"/>
        <v>1272925.4720000001</v>
      </c>
      <c r="O57" s="289">
        <f t="shared" si="6"/>
        <v>1272925.4720000001</v>
      </c>
    </row>
    <row r="58" spans="1:15">
      <c r="A58" s="2227" t="s">
        <v>1610</v>
      </c>
      <c r="B58" s="289">
        <v>184.29</v>
      </c>
      <c r="C58" s="2230">
        <v>45200</v>
      </c>
      <c r="D58" s="2230">
        <v>46295</v>
      </c>
      <c r="E58" s="289">
        <v>387</v>
      </c>
      <c r="F58" s="289">
        <f t="shared" si="0"/>
        <v>12.9</v>
      </c>
      <c r="I58" s="289">
        <f t="shared" si="7"/>
        <v>332827.74</v>
      </c>
      <c r="J58" s="289">
        <f t="shared" si="1"/>
        <v>865352.12399999995</v>
      </c>
      <c r="K58" s="289">
        <f t="shared" si="2"/>
        <v>865352.12399999995</v>
      </c>
      <c r="L58" s="289">
        <f t="shared" si="3"/>
        <v>867729.46499999997</v>
      </c>
      <c r="M58" s="289">
        <f t="shared" si="4"/>
        <v>865352.12399999995</v>
      </c>
      <c r="N58" s="289">
        <f t="shared" si="5"/>
        <v>865352.12399999995</v>
      </c>
      <c r="O58" s="289">
        <f t="shared" si="6"/>
        <v>865352.12399999995</v>
      </c>
    </row>
    <row r="59" spans="1:15">
      <c r="A59" s="2227" t="s">
        <v>1611</v>
      </c>
      <c r="B59" s="289">
        <v>403.49</v>
      </c>
      <c r="C59" s="2230">
        <v>45404</v>
      </c>
      <c r="D59" s="2230">
        <v>46498</v>
      </c>
      <c r="E59" s="289">
        <v>264</v>
      </c>
      <c r="F59" s="289">
        <f t="shared" si="0"/>
        <v>8.8000000000000007</v>
      </c>
      <c r="I59" s="289">
        <f t="shared" si="7"/>
        <v>497099.68000000005</v>
      </c>
      <c r="J59" s="289">
        <f t="shared" si="1"/>
        <v>1292459.1680000001</v>
      </c>
      <c r="K59" s="289">
        <f t="shared" si="2"/>
        <v>1292459.1680000001</v>
      </c>
      <c r="L59" s="289">
        <f t="shared" si="3"/>
        <v>1296009.8800000001</v>
      </c>
      <c r="M59" s="289">
        <f t="shared" si="4"/>
        <v>1292459.1680000001</v>
      </c>
      <c r="N59" s="289">
        <f t="shared" si="5"/>
        <v>1292459.1680000001</v>
      </c>
      <c r="O59" s="289">
        <f t="shared" si="6"/>
        <v>1292459.1680000001</v>
      </c>
    </row>
    <row r="60" spans="1:15">
      <c r="A60" s="2227" t="s">
        <v>1612</v>
      </c>
      <c r="B60" s="289">
        <v>142.26</v>
      </c>
      <c r="C60" s="2230">
        <v>45566</v>
      </c>
      <c r="D60" s="2230">
        <v>46326</v>
      </c>
      <c r="E60" s="289">
        <v>219</v>
      </c>
      <c r="F60" s="289">
        <f t="shared" si="0"/>
        <v>7.3</v>
      </c>
      <c r="I60" s="289">
        <f t="shared" si="7"/>
        <v>145389.71999999997</v>
      </c>
      <c r="J60" s="289">
        <f t="shared" si="1"/>
        <v>378013.27199999994</v>
      </c>
      <c r="K60" s="289">
        <f t="shared" si="2"/>
        <v>378013.27199999994</v>
      </c>
      <c r="L60" s="289">
        <f t="shared" si="3"/>
        <v>379051.76999999996</v>
      </c>
      <c r="M60" s="289">
        <f t="shared" si="4"/>
        <v>378013.27199999994</v>
      </c>
      <c r="N60" s="289">
        <f t="shared" si="5"/>
        <v>378013.27199999994</v>
      </c>
      <c r="O60" s="289">
        <f t="shared" si="6"/>
        <v>378013.27199999994</v>
      </c>
    </row>
    <row r="61" spans="1:15">
      <c r="A61" s="2227" t="s">
        <v>1613</v>
      </c>
      <c r="B61" s="289">
        <v>183.03</v>
      </c>
      <c r="C61" s="2230">
        <v>45778</v>
      </c>
      <c r="D61" s="2230">
        <v>47603</v>
      </c>
      <c r="E61" s="289">
        <v>214</v>
      </c>
      <c r="F61" s="289">
        <f t="shared" si="0"/>
        <v>7.1333333333333337</v>
      </c>
      <c r="I61" s="289">
        <f t="shared" si="7"/>
        <v>182785.96</v>
      </c>
      <c r="J61" s="289">
        <f t="shared" si="1"/>
        <v>475243.49599999998</v>
      </c>
      <c r="K61" s="289">
        <f t="shared" si="2"/>
        <v>475243.49599999998</v>
      </c>
      <c r="L61" s="289">
        <f t="shared" si="3"/>
        <v>476549.11</v>
      </c>
      <c r="M61" s="289">
        <f t="shared" si="4"/>
        <v>475243.49599999998</v>
      </c>
      <c r="N61" s="289">
        <f t="shared" si="5"/>
        <v>475243.49599999998</v>
      </c>
      <c r="O61" s="289">
        <f t="shared" si="6"/>
        <v>475243.49599999998</v>
      </c>
    </row>
    <row r="62" spans="1:15">
      <c r="A62" s="2227" t="s">
        <v>1614</v>
      </c>
      <c r="B62" s="289">
        <v>1767.09</v>
      </c>
      <c r="C62" s="2230">
        <v>45658</v>
      </c>
      <c r="D62" s="2230">
        <v>46752</v>
      </c>
      <c r="E62" s="289">
        <v>378</v>
      </c>
      <c r="F62" s="289">
        <f t="shared" si="0"/>
        <v>12.6</v>
      </c>
      <c r="I62" s="289">
        <f t="shared" si="7"/>
        <v>3117146.76</v>
      </c>
      <c r="J62" s="289">
        <f t="shared" si="1"/>
        <v>8104581.5759999994</v>
      </c>
      <c r="K62" s="289">
        <f t="shared" si="2"/>
        <v>8104581.5759999994</v>
      </c>
      <c r="L62" s="289">
        <f t="shared" si="3"/>
        <v>8126846.9099999992</v>
      </c>
      <c r="M62" s="289">
        <f t="shared" si="4"/>
        <v>8104581.5759999994</v>
      </c>
      <c r="N62" s="289">
        <f t="shared" si="5"/>
        <v>8104581.5759999994</v>
      </c>
      <c r="O62" s="289">
        <f t="shared" si="6"/>
        <v>8104581.5759999994</v>
      </c>
    </row>
    <row r="63" spans="1:15">
      <c r="A63" s="2227" t="s">
        <v>1615</v>
      </c>
      <c r="B63" s="289">
        <v>316.25</v>
      </c>
      <c r="C63" s="2230">
        <v>45658</v>
      </c>
      <c r="D63" s="2230">
        <v>46752</v>
      </c>
      <c r="E63" s="289">
        <v>378</v>
      </c>
      <c r="F63" s="289">
        <f t="shared" si="0"/>
        <v>12.6</v>
      </c>
      <c r="I63" s="289">
        <f t="shared" si="7"/>
        <v>557865</v>
      </c>
      <c r="J63" s="289">
        <f t="shared" si="1"/>
        <v>1450449</v>
      </c>
      <c r="K63" s="289">
        <f t="shared" si="2"/>
        <v>1450449</v>
      </c>
      <c r="L63" s="289">
        <f t="shared" si="3"/>
        <v>1454433.75</v>
      </c>
      <c r="M63" s="289">
        <f t="shared" si="4"/>
        <v>1450449</v>
      </c>
      <c r="N63" s="289">
        <f t="shared" si="5"/>
        <v>1450449</v>
      </c>
      <c r="O63" s="289">
        <f t="shared" si="6"/>
        <v>1450449</v>
      </c>
    </row>
    <row r="64" spans="1:15">
      <c r="A64" s="2227" t="s">
        <v>1616</v>
      </c>
      <c r="B64" s="289">
        <v>1369.43</v>
      </c>
      <c r="C64" s="2230">
        <v>45839</v>
      </c>
      <c r="D64" s="2230">
        <v>47879</v>
      </c>
      <c r="E64" s="289">
        <v>198</v>
      </c>
      <c r="F64" s="289">
        <f t="shared" si="0"/>
        <v>6.6</v>
      </c>
      <c r="I64" s="289">
        <f t="shared" si="7"/>
        <v>1265353.3199999998</v>
      </c>
      <c r="J64" s="289">
        <f t="shared" si="1"/>
        <v>3289918.6319999998</v>
      </c>
      <c r="K64" s="289">
        <f t="shared" si="2"/>
        <v>3289918.6319999998</v>
      </c>
      <c r="L64" s="289">
        <f t="shared" si="3"/>
        <v>3298956.8699999996</v>
      </c>
      <c r="M64" s="289">
        <f t="shared" si="4"/>
        <v>3289918.6319999998</v>
      </c>
      <c r="N64" s="289">
        <f t="shared" si="5"/>
        <v>3289918.6319999998</v>
      </c>
      <c r="O64" s="289">
        <f t="shared" si="6"/>
        <v>3289918.6319999998</v>
      </c>
    </row>
    <row r="65" spans="1:15">
      <c r="A65" s="2227" t="s">
        <v>1617</v>
      </c>
      <c r="B65" s="289">
        <v>401.81</v>
      </c>
      <c r="C65" s="2230">
        <v>45854</v>
      </c>
      <c r="D65" s="2230">
        <v>47314</v>
      </c>
      <c r="E65" s="289">
        <v>219</v>
      </c>
      <c r="F65" s="289">
        <f t="shared" si="0"/>
        <v>7.3</v>
      </c>
      <c r="I65" s="289">
        <f t="shared" si="7"/>
        <v>410649.81999999995</v>
      </c>
      <c r="J65" s="289">
        <f t="shared" si="1"/>
        <v>1067689.5319999999</v>
      </c>
      <c r="K65" s="289">
        <f t="shared" si="2"/>
        <v>1067689.5319999999</v>
      </c>
      <c r="L65" s="289">
        <f t="shared" si="3"/>
        <v>1070622.7449999999</v>
      </c>
      <c r="M65" s="289">
        <f t="shared" si="4"/>
        <v>1067689.5319999999</v>
      </c>
      <c r="N65" s="289">
        <f t="shared" si="5"/>
        <v>1067689.5319999999</v>
      </c>
      <c r="O65" s="289">
        <f t="shared" si="6"/>
        <v>1067689.5319999999</v>
      </c>
    </row>
    <row r="66" spans="1:15">
      <c r="A66" s="2227" t="s">
        <v>1618</v>
      </c>
      <c r="B66" s="289">
        <v>775.5</v>
      </c>
      <c r="F66" s="2232">
        <f>J89</f>
        <v>10</v>
      </c>
      <c r="I66" s="289">
        <f t="shared" si="7"/>
        <v>1085700</v>
      </c>
      <c r="J66" s="289">
        <f t="shared" si="1"/>
        <v>2822820</v>
      </c>
      <c r="K66" s="289">
        <f t="shared" si="2"/>
        <v>2822820</v>
      </c>
      <c r="L66" s="289">
        <f t="shared" si="3"/>
        <v>2830575</v>
      </c>
      <c r="M66" s="289">
        <f t="shared" si="4"/>
        <v>2822820</v>
      </c>
      <c r="N66" s="289">
        <f t="shared" si="5"/>
        <v>2822820</v>
      </c>
      <c r="O66" s="289">
        <f t="shared" si="6"/>
        <v>2822820</v>
      </c>
    </row>
    <row r="67" spans="1:15">
      <c r="A67" s="2227" t="s">
        <v>1619</v>
      </c>
      <c r="B67" s="289">
        <v>46.26</v>
      </c>
      <c r="F67" s="2232">
        <f>J89</f>
        <v>10</v>
      </c>
      <c r="I67" s="289">
        <f t="shared" si="7"/>
        <v>64763.999999999993</v>
      </c>
      <c r="J67" s="289">
        <f t="shared" si="1"/>
        <v>168386.4</v>
      </c>
      <c r="K67" s="289">
        <f t="shared" si="2"/>
        <v>168386.4</v>
      </c>
      <c r="L67" s="289">
        <f t="shared" si="3"/>
        <v>168849</v>
      </c>
      <c r="M67" s="289">
        <f t="shared" si="4"/>
        <v>168386.4</v>
      </c>
      <c r="N67" s="289">
        <f t="shared" si="5"/>
        <v>168386.4</v>
      </c>
      <c r="O67" s="289">
        <f t="shared" si="6"/>
        <v>168386.4</v>
      </c>
    </row>
    <row r="68" spans="1:15">
      <c r="A68" s="2227" t="s">
        <v>1620</v>
      </c>
      <c r="B68" s="289">
        <v>67.459999999999994</v>
      </c>
      <c r="F68" s="2232">
        <f>J89</f>
        <v>10</v>
      </c>
      <c r="I68" s="289">
        <f t="shared" si="7"/>
        <v>94443.999999999985</v>
      </c>
      <c r="J68" s="289">
        <f t="shared" ref="J68:J82" si="8">B68*F68*(J$2-J$1)</f>
        <v>245554.39999999997</v>
      </c>
      <c r="K68" s="289">
        <f t="shared" ref="K68:K82" si="9">B68*F68*(K$2-K$1)</f>
        <v>245554.39999999997</v>
      </c>
      <c r="L68" s="289">
        <f t="shared" ref="L68:L82" si="10">B68*F68*(L$2-L$1)</f>
        <v>246228.99999999997</v>
      </c>
      <c r="M68" s="289">
        <f t="shared" ref="M68:M82" si="11">B68*F68*(M$2-M$1)</f>
        <v>245554.39999999997</v>
      </c>
      <c r="N68" s="289">
        <f t="shared" ref="N68:N82" si="12">B68*F68*(N$2-N$1)</f>
        <v>245554.39999999997</v>
      </c>
      <c r="O68" s="289">
        <f t="shared" ref="O68:O82" si="13">B68*F68*(O$2-O$1)</f>
        <v>245554.39999999997</v>
      </c>
    </row>
    <row r="69" spans="1:15">
      <c r="A69" s="2227" t="s">
        <v>1621</v>
      </c>
      <c r="B69" s="289">
        <v>217.94</v>
      </c>
      <c r="F69" s="2232">
        <f>J89</f>
        <v>10</v>
      </c>
      <c r="I69" s="289">
        <f t="shared" ref="I69:I82" si="14">B69*F69*(I$2-H$2)</f>
        <v>305116</v>
      </c>
      <c r="J69" s="289">
        <f t="shared" si="8"/>
        <v>793301.6</v>
      </c>
      <c r="K69" s="289">
        <f t="shared" si="9"/>
        <v>793301.6</v>
      </c>
      <c r="L69" s="289">
        <f t="shared" si="10"/>
        <v>795481</v>
      </c>
      <c r="M69" s="289">
        <f t="shared" si="11"/>
        <v>793301.6</v>
      </c>
      <c r="N69" s="289">
        <f t="shared" si="12"/>
        <v>793301.6</v>
      </c>
      <c r="O69" s="289">
        <f t="shared" si="13"/>
        <v>793301.6</v>
      </c>
    </row>
    <row r="70" spans="1:15">
      <c r="A70" s="2227" t="s">
        <v>1622</v>
      </c>
      <c r="B70" s="289">
        <v>139.94</v>
      </c>
      <c r="F70" s="2232">
        <f>J89</f>
        <v>10</v>
      </c>
      <c r="I70" s="289">
        <f t="shared" si="14"/>
        <v>195916</v>
      </c>
      <c r="J70" s="289">
        <f t="shared" si="8"/>
        <v>509381.60000000003</v>
      </c>
      <c r="K70" s="289">
        <f t="shared" si="9"/>
        <v>509381.60000000003</v>
      </c>
      <c r="L70" s="289">
        <f t="shared" si="10"/>
        <v>510781.00000000006</v>
      </c>
      <c r="M70" s="289">
        <f t="shared" si="11"/>
        <v>509381.60000000003</v>
      </c>
      <c r="N70" s="289">
        <f t="shared" si="12"/>
        <v>509381.60000000003</v>
      </c>
      <c r="O70" s="289">
        <f t="shared" si="13"/>
        <v>509381.60000000003</v>
      </c>
    </row>
    <row r="71" spans="1:15">
      <c r="A71" s="2227" t="s">
        <v>1623</v>
      </c>
      <c r="B71" s="289">
        <v>145.80000000000001</v>
      </c>
      <c r="F71" s="2232">
        <f>J89</f>
        <v>10</v>
      </c>
      <c r="I71" s="289">
        <f t="shared" si="14"/>
        <v>204120</v>
      </c>
      <c r="J71" s="289">
        <f t="shared" si="8"/>
        <v>530712</v>
      </c>
      <c r="K71" s="289">
        <f t="shared" si="9"/>
        <v>530712</v>
      </c>
      <c r="L71" s="289">
        <f t="shared" si="10"/>
        <v>532170</v>
      </c>
      <c r="M71" s="289">
        <f t="shared" si="11"/>
        <v>530712</v>
      </c>
      <c r="N71" s="289">
        <f t="shared" si="12"/>
        <v>530712</v>
      </c>
      <c r="O71" s="289">
        <f t="shared" si="13"/>
        <v>530712</v>
      </c>
    </row>
    <row r="72" spans="1:15">
      <c r="A72" s="2227" t="s">
        <v>1624</v>
      </c>
      <c r="B72" s="289">
        <v>345.36</v>
      </c>
      <c r="F72" s="2232">
        <f>J89</f>
        <v>10</v>
      </c>
      <c r="I72" s="289">
        <f t="shared" si="14"/>
        <v>483504.00000000006</v>
      </c>
      <c r="J72" s="289">
        <f t="shared" si="8"/>
        <v>1257110.4000000001</v>
      </c>
      <c r="K72" s="289">
        <f t="shared" si="9"/>
        <v>1257110.4000000001</v>
      </c>
      <c r="L72" s="289">
        <f t="shared" si="10"/>
        <v>1260564.0000000002</v>
      </c>
      <c r="M72" s="289">
        <f t="shared" si="11"/>
        <v>1257110.4000000001</v>
      </c>
      <c r="N72" s="289">
        <f t="shared" si="12"/>
        <v>1257110.4000000001</v>
      </c>
      <c r="O72" s="289">
        <f t="shared" si="13"/>
        <v>1257110.4000000001</v>
      </c>
    </row>
    <row r="73" spans="1:15">
      <c r="A73" s="2227" t="s">
        <v>1625</v>
      </c>
      <c r="B73" s="289">
        <v>316.07</v>
      </c>
      <c r="F73" s="2232">
        <f>J89</f>
        <v>10</v>
      </c>
      <c r="I73" s="289">
        <f t="shared" si="14"/>
        <v>442498</v>
      </c>
      <c r="J73" s="289">
        <f t="shared" si="8"/>
        <v>1150494.8</v>
      </c>
      <c r="K73" s="289">
        <f t="shared" si="9"/>
        <v>1150494.8</v>
      </c>
      <c r="L73" s="289">
        <f t="shared" si="10"/>
        <v>1153655.5</v>
      </c>
      <c r="M73" s="289">
        <f t="shared" si="11"/>
        <v>1150494.8</v>
      </c>
      <c r="N73" s="289">
        <f t="shared" si="12"/>
        <v>1150494.8</v>
      </c>
      <c r="O73" s="289">
        <f t="shared" si="13"/>
        <v>1150494.8</v>
      </c>
    </row>
    <row r="74" spans="1:15">
      <c r="A74" s="2227" t="s">
        <v>1626</v>
      </c>
      <c r="B74" s="289">
        <v>137.66999999999999</v>
      </c>
      <c r="F74" s="2232">
        <f>J89</f>
        <v>10</v>
      </c>
      <c r="I74" s="289">
        <f t="shared" si="14"/>
        <v>192737.99999999997</v>
      </c>
      <c r="J74" s="289">
        <f t="shared" si="8"/>
        <v>501118.79999999993</v>
      </c>
      <c r="K74" s="289">
        <f t="shared" si="9"/>
        <v>501118.79999999993</v>
      </c>
      <c r="L74" s="289">
        <f t="shared" si="10"/>
        <v>502495.49999999994</v>
      </c>
      <c r="M74" s="289">
        <f t="shared" si="11"/>
        <v>501118.79999999993</v>
      </c>
      <c r="N74" s="289">
        <f t="shared" si="12"/>
        <v>501118.79999999993</v>
      </c>
      <c r="O74" s="289">
        <f t="shared" si="13"/>
        <v>501118.79999999993</v>
      </c>
    </row>
    <row r="75" spans="1:15">
      <c r="A75" s="2227" t="s">
        <v>1627</v>
      </c>
      <c r="B75" s="289">
        <v>216.59</v>
      </c>
      <c r="F75" s="2232">
        <f>J89</f>
        <v>10</v>
      </c>
      <c r="I75" s="289">
        <f t="shared" si="14"/>
        <v>303226</v>
      </c>
      <c r="J75" s="289">
        <f t="shared" si="8"/>
        <v>788387.6</v>
      </c>
      <c r="K75" s="289">
        <f t="shared" si="9"/>
        <v>788387.6</v>
      </c>
      <c r="L75" s="289">
        <f t="shared" si="10"/>
        <v>790553.5</v>
      </c>
      <c r="M75" s="289">
        <f t="shared" si="11"/>
        <v>788387.6</v>
      </c>
      <c r="N75" s="289">
        <f t="shared" si="12"/>
        <v>788387.6</v>
      </c>
      <c r="O75" s="289">
        <f t="shared" si="13"/>
        <v>788387.6</v>
      </c>
    </row>
    <row r="76" spans="1:15">
      <c r="A76" s="2227" t="s">
        <v>1628</v>
      </c>
      <c r="B76" s="289">
        <v>632.20000000000005</v>
      </c>
      <c r="F76" s="2232">
        <f>J89</f>
        <v>10</v>
      </c>
      <c r="I76" s="289">
        <f t="shared" si="14"/>
        <v>885080</v>
      </c>
      <c r="J76" s="289">
        <f t="shared" si="8"/>
        <v>2301208</v>
      </c>
      <c r="K76" s="289">
        <f t="shared" si="9"/>
        <v>2301208</v>
      </c>
      <c r="L76" s="289">
        <f t="shared" si="10"/>
        <v>2307530</v>
      </c>
      <c r="M76" s="289">
        <f t="shared" si="11"/>
        <v>2301208</v>
      </c>
      <c r="N76" s="289">
        <f t="shared" si="12"/>
        <v>2301208</v>
      </c>
      <c r="O76" s="289">
        <f t="shared" si="13"/>
        <v>2301208</v>
      </c>
    </row>
    <row r="77" spans="1:15">
      <c r="A77" s="2227" t="s">
        <v>1629</v>
      </c>
      <c r="B77" s="289">
        <v>508.48</v>
      </c>
      <c r="F77" s="2232">
        <f>J89</f>
        <v>10</v>
      </c>
      <c r="I77" s="289">
        <f t="shared" si="14"/>
        <v>711872</v>
      </c>
      <c r="J77" s="289">
        <f t="shared" si="8"/>
        <v>1850867.2</v>
      </c>
      <c r="K77" s="289">
        <f t="shared" si="9"/>
        <v>1850867.2</v>
      </c>
      <c r="L77" s="289">
        <f t="shared" si="10"/>
        <v>1855952</v>
      </c>
      <c r="M77" s="289">
        <f t="shared" si="11"/>
        <v>1850867.2</v>
      </c>
      <c r="N77" s="289">
        <f t="shared" si="12"/>
        <v>1850867.2</v>
      </c>
      <c r="O77" s="289">
        <f t="shared" si="13"/>
        <v>1850867.2</v>
      </c>
    </row>
    <row r="78" spans="1:15">
      <c r="A78" s="2227" t="s">
        <v>1630</v>
      </c>
      <c r="B78" s="289">
        <v>208.24</v>
      </c>
      <c r="F78" s="2232">
        <f>J89</f>
        <v>10</v>
      </c>
      <c r="I78" s="289">
        <f t="shared" si="14"/>
        <v>291536</v>
      </c>
      <c r="J78" s="289">
        <f t="shared" si="8"/>
        <v>757993.6</v>
      </c>
      <c r="K78" s="289">
        <f t="shared" si="9"/>
        <v>757993.6</v>
      </c>
      <c r="L78" s="289">
        <f t="shared" si="10"/>
        <v>760076</v>
      </c>
      <c r="M78" s="289">
        <f t="shared" si="11"/>
        <v>757993.6</v>
      </c>
      <c r="N78" s="289">
        <f t="shared" si="12"/>
        <v>757993.6</v>
      </c>
      <c r="O78" s="289">
        <f t="shared" si="13"/>
        <v>757993.6</v>
      </c>
    </row>
    <row r="79" spans="1:15">
      <c r="A79" s="2227" t="s">
        <v>1631</v>
      </c>
      <c r="B79" s="289">
        <v>984.44</v>
      </c>
      <c r="F79" s="2232">
        <f>J89</f>
        <v>10</v>
      </c>
      <c r="I79" s="289">
        <f t="shared" si="14"/>
        <v>1378216.0000000002</v>
      </c>
      <c r="J79" s="289">
        <f t="shared" si="8"/>
        <v>3583361.6000000006</v>
      </c>
      <c r="K79" s="289">
        <f t="shared" si="9"/>
        <v>3583361.6000000006</v>
      </c>
      <c r="L79" s="289">
        <f t="shared" si="10"/>
        <v>3593206.0000000005</v>
      </c>
      <c r="M79" s="289">
        <f t="shared" si="11"/>
        <v>3583361.6000000006</v>
      </c>
      <c r="N79" s="289">
        <f t="shared" si="12"/>
        <v>3583361.6000000006</v>
      </c>
      <c r="O79" s="289">
        <f t="shared" si="13"/>
        <v>3583361.6000000006</v>
      </c>
    </row>
    <row r="80" spans="1:15">
      <c r="A80" s="2227" t="s">
        <v>1632</v>
      </c>
      <c r="B80" s="289">
        <v>298.39999999999998</v>
      </c>
      <c r="F80" s="2232">
        <f>J89</f>
        <v>10</v>
      </c>
      <c r="I80" s="289">
        <f t="shared" si="14"/>
        <v>417760</v>
      </c>
      <c r="J80" s="289">
        <f t="shared" si="8"/>
        <v>1086176</v>
      </c>
      <c r="K80" s="289">
        <f t="shared" si="9"/>
        <v>1086176</v>
      </c>
      <c r="L80" s="289">
        <f t="shared" si="10"/>
        <v>1089160</v>
      </c>
      <c r="M80" s="289">
        <f t="shared" si="11"/>
        <v>1086176</v>
      </c>
      <c r="N80" s="289">
        <f t="shared" si="12"/>
        <v>1086176</v>
      </c>
      <c r="O80" s="289">
        <f t="shared" si="13"/>
        <v>1086176</v>
      </c>
    </row>
    <row r="81" spans="1:15">
      <c r="A81" s="2227" t="s">
        <v>1633</v>
      </c>
      <c r="B81" s="289">
        <v>217.93</v>
      </c>
      <c r="F81" s="2232">
        <f>J89</f>
        <v>10</v>
      </c>
      <c r="I81" s="289">
        <f t="shared" si="14"/>
        <v>305102</v>
      </c>
      <c r="J81" s="289">
        <f t="shared" si="8"/>
        <v>793265.20000000007</v>
      </c>
      <c r="K81" s="289">
        <f t="shared" si="9"/>
        <v>793265.20000000007</v>
      </c>
      <c r="L81" s="289">
        <f t="shared" si="10"/>
        <v>795444.50000000012</v>
      </c>
      <c r="M81" s="289">
        <f t="shared" si="11"/>
        <v>793265.20000000007</v>
      </c>
      <c r="N81" s="289">
        <f t="shared" si="12"/>
        <v>793265.20000000007</v>
      </c>
      <c r="O81" s="289">
        <f t="shared" si="13"/>
        <v>793265.20000000007</v>
      </c>
    </row>
    <row r="82" spans="1:15">
      <c r="A82" s="2227" t="s">
        <v>1634</v>
      </c>
      <c r="B82" s="289">
        <v>80.400000000000006</v>
      </c>
      <c r="C82" s="2230">
        <v>45535</v>
      </c>
      <c r="D82" s="2230">
        <v>46387</v>
      </c>
      <c r="E82" s="289">
        <v>254</v>
      </c>
      <c r="F82" s="289">
        <f t="shared" ref="F82" si="15">E82/30</f>
        <v>8.4666666666666668</v>
      </c>
      <c r="I82" s="289">
        <f t="shared" si="14"/>
        <v>95300.800000000003</v>
      </c>
      <c r="J82" s="289">
        <f t="shared" si="8"/>
        <v>247782.08000000002</v>
      </c>
      <c r="K82" s="289">
        <f t="shared" si="9"/>
        <v>247782.08000000002</v>
      </c>
      <c r="L82" s="289">
        <f t="shared" si="10"/>
        <v>248462.80000000002</v>
      </c>
      <c r="M82" s="289">
        <f t="shared" si="11"/>
        <v>247782.08000000002</v>
      </c>
      <c r="N82" s="289">
        <f t="shared" si="12"/>
        <v>247782.08000000002</v>
      </c>
      <c r="O82" s="289">
        <f t="shared" si="13"/>
        <v>247782.08000000002</v>
      </c>
    </row>
    <row r="83" spans="1:15">
      <c r="A83" s="2227" t="s">
        <v>391</v>
      </c>
      <c r="B83" s="289">
        <f>SUM(B3:B82)</f>
        <v>50769.619999999995</v>
      </c>
      <c r="I83" s="289">
        <f t="shared" ref="I83:O83" si="16">SUM(I3:I82)</f>
        <v>63937787.060000002</v>
      </c>
      <c r="J83" s="289">
        <f t="shared" si="16"/>
        <v>166238246.35600004</v>
      </c>
      <c r="K83" s="289">
        <f t="shared" si="16"/>
        <v>166238246.35600004</v>
      </c>
      <c r="L83" s="289">
        <f t="shared" si="16"/>
        <v>166694944.83500001</v>
      </c>
      <c r="M83" s="289">
        <f t="shared" si="16"/>
        <v>166238246.35600004</v>
      </c>
      <c r="N83" s="289">
        <f t="shared" si="16"/>
        <v>166238246.35600004</v>
      </c>
      <c r="O83" s="289">
        <f t="shared" si="16"/>
        <v>166238246.35600004</v>
      </c>
    </row>
    <row r="86" spans="1:15">
      <c r="I86" s="2233" t="s">
        <v>1635</v>
      </c>
      <c r="J86" s="2234">
        <f>ROUND((O2-H2)/365,2)</f>
        <v>6.39</v>
      </c>
      <c r="K86" s="2234" t="s">
        <v>1636</v>
      </c>
    </row>
    <row r="87" spans="1:15">
      <c r="I87" s="2233" t="s">
        <v>1637</v>
      </c>
      <c r="J87" s="2234">
        <f>SUM(I83:O83)</f>
        <v>1061823963.6750003</v>
      </c>
      <c r="K87" s="2234">
        <f>ROUND(J87/J88/J86/365,2)</f>
        <v>8.42</v>
      </c>
    </row>
    <row r="88" spans="1:15">
      <c r="I88" s="2233" t="s">
        <v>1638</v>
      </c>
      <c r="J88" s="2234">
        <f>'数据-汇总表'!F19</f>
        <v>54071.78</v>
      </c>
      <c r="K88" s="2234"/>
    </row>
    <row r="89" spans="1:15">
      <c r="I89" s="2233" t="s">
        <v>1639</v>
      </c>
      <c r="J89" s="2234">
        <v>10</v>
      </c>
      <c r="K89" s="2234"/>
    </row>
    <row r="90" spans="1:15">
      <c r="I90" s="2233" t="s">
        <v>1640</v>
      </c>
      <c r="J90" s="2235">
        <v>0.02</v>
      </c>
      <c r="K90" s="2234"/>
    </row>
    <row r="91" spans="1:15">
      <c r="I91" s="2233" t="s">
        <v>1641</v>
      </c>
      <c r="J91" s="2234">
        <f>ROUND(J89*(1+J90)^J86,2)</f>
        <v>11.35</v>
      </c>
      <c r="K91" s="2234"/>
    </row>
  </sheetData>
  <phoneticPr fontId="2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AD132"/>
  <sheetViews>
    <sheetView view="pageBreakPreview" topLeftCell="A4" zoomScale="85" zoomScaleNormal="70" workbookViewId="0">
      <selection activeCell="I57" sqref="I57"/>
    </sheetView>
  </sheetViews>
  <sheetFormatPr defaultColWidth="9" defaultRowHeight="14.25"/>
  <cols>
    <col min="1" max="1" width="10.5" style="1299" customWidth="1"/>
    <col min="2" max="2" width="15.75" style="1299" customWidth="1"/>
    <col min="3" max="3" width="15.6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1642</v>
      </c>
      <c r="B1" s="1768" t="s">
        <v>1643</v>
      </c>
      <c r="C1" s="1654" t="s">
        <v>1644</v>
      </c>
      <c r="D1" s="1655"/>
      <c r="E1" s="1656" t="s">
        <v>1645</v>
      </c>
      <c r="F1" s="1657" t="s">
        <v>1646</v>
      </c>
      <c r="G1" s="1658" t="s">
        <v>1647</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1648</v>
      </c>
      <c r="B2" s="1661">
        <f>IF(E1="项目模式",IF(C2="——",ROUND(C50*D3/10000,0),ROUND(C50*D3/10000,0)-D2),IF(E1="单套模式",IF(C2="——",ROUND(C50*D3/10000,4),ROUND(C50*D3/10000,4)-D2)))</f>
        <v>278550</v>
      </c>
      <c r="C2" s="1662" t="s">
        <v>124</v>
      </c>
      <c r="D2" s="1806" t="e">
        <f ca="1">IF(E1="项目模式",SUMIF(INDIRECT("'"&amp;F2&amp;"'"&amp;"!A:A"),"承租人权益价值",INDIRECT("'"&amp;F2&amp;"'"&amp;"!c:c")),SUMIF(INDIRECT("'"&amp;F2&amp;"'"&amp;"!A:A"),"承租人权益价值（单套）",INDIRECT("'"&amp;F2&amp;"'"&amp;"!c:c")))</f>
        <v>#REF!</v>
      </c>
      <c r="E2" s="1663" t="s">
        <v>1649</v>
      </c>
      <c r="F2" s="1664"/>
      <c r="G2" s="1308"/>
      <c r="H2" s="1308"/>
      <c r="I2" s="1308"/>
      <c r="J2" s="1308"/>
      <c r="K2" s="1308"/>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1650</v>
      </c>
      <c r="B3" s="1310">
        <f>IF(C2="——",C50,ROUND(B2*10000/D3,0))</f>
        <v>42708</v>
      </c>
      <c r="C3" s="1665" t="s">
        <v>1651</v>
      </c>
      <c r="D3" s="1666">
        <f>IF(D1="",'数据-汇总表'!E3,SUMIF('数据-汇总表'!$C19:$C33,D1,'数据-汇总表'!$E19:$E33))</f>
        <v>65221.919999999998</v>
      </c>
      <c r="E3" s="1807"/>
      <c r="F3" s="1309"/>
      <c r="G3" s="1308"/>
      <c r="H3" s="1308"/>
      <c r="I3" s="1308"/>
      <c r="J3" s="1308"/>
      <c r="K3" s="1454"/>
      <c r="L3" s="1455"/>
      <c r="M3" s="1456"/>
      <c r="N3" s="1456"/>
      <c r="O3" s="1456"/>
      <c r="P3" s="1304"/>
      <c r="Q3" s="1304"/>
      <c r="R3" s="1304"/>
      <c r="S3" s="1304"/>
      <c r="T3" s="1304"/>
      <c r="U3" s="1304"/>
      <c r="V3" s="1304"/>
      <c r="W3" s="1304"/>
      <c r="X3" s="1304"/>
      <c r="Y3" s="1304"/>
      <c r="Z3" s="1304"/>
      <c r="AA3" s="1304"/>
      <c r="AB3" s="1304"/>
      <c r="AC3" s="895"/>
    </row>
    <row r="4" spans="1:29" ht="15">
      <c r="A4" s="1312" t="s">
        <v>1652</v>
      </c>
      <c r="B4" s="1313"/>
      <c r="C4" s="3469" t="s">
        <v>1653</v>
      </c>
      <c r="D4" s="3470"/>
      <c r="E4" s="3471" t="s">
        <v>1654</v>
      </c>
      <c r="F4" s="3472"/>
      <c r="G4" s="3469" t="s">
        <v>1655</v>
      </c>
      <c r="H4" s="3470"/>
      <c r="I4" s="3469" t="s">
        <v>1656</v>
      </c>
      <c r="J4" s="3470"/>
      <c r="K4" s="1457" t="s">
        <v>1657</v>
      </c>
      <c r="L4" s="1458"/>
      <c r="M4" s="1409"/>
      <c r="N4" s="1409"/>
      <c r="O4" s="1409"/>
      <c r="P4" s="3433" t="s">
        <v>1658</v>
      </c>
      <c r="Q4" s="3434"/>
      <c r="R4" s="3439" t="s">
        <v>1654</v>
      </c>
      <c r="S4" s="3440"/>
      <c r="T4" s="3439" t="s">
        <v>1655</v>
      </c>
      <c r="U4" s="3440"/>
      <c r="V4" s="3445" t="s">
        <v>1656</v>
      </c>
      <c r="W4" s="3445"/>
      <c r="X4" s="2218"/>
      <c r="Y4" s="3439" t="s">
        <v>1658</v>
      </c>
      <c r="Z4" s="3440"/>
      <c r="AA4" s="3427" t="s">
        <v>1654</v>
      </c>
      <c r="AB4" s="3427" t="s">
        <v>1655</v>
      </c>
      <c r="AC4" s="3430" t="s">
        <v>1656</v>
      </c>
    </row>
    <row r="5" spans="1:29" ht="15">
      <c r="A5" s="1316"/>
      <c r="B5" s="1317"/>
      <c r="C5" s="3473" t="s">
        <v>1659</v>
      </c>
      <c r="D5" s="3474"/>
      <c r="E5" s="3475" t="str">
        <f>商业大宗!B9</f>
        <v>乐华大厦（原望京华樾中心二期）B座</v>
      </c>
      <c r="F5" s="3476"/>
      <c r="G5" s="3477" t="str">
        <f>商业大宗!B18</f>
        <v>大悦时代广场(悦荣中心)7号楼</v>
      </c>
      <c r="H5" s="3474"/>
      <c r="I5" s="3477" t="str">
        <f>商业大宗!B48</f>
        <v>望京华樾中心(一期启华大厦)</v>
      </c>
      <c r="J5" s="3474"/>
      <c r="K5" s="1457"/>
      <c r="L5" s="1458"/>
      <c r="M5" s="1409"/>
      <c r="N5" s="1409"/>
      <c r="O5" s="1409"/>
      <c r="P5" s="3435"/>
      <c r="Q5" s="3436"/>
      <c r="R5" s="3441"/>
      <c r="S5" s="3442"/>
      <c r="T5" s="3441"/>
      <c r="U5" s="3442"/>
      <c r="V5" s="3446"/>
      <c r="W5" s="3446"/>
      <c r="X5" s="1506"/>
      <c r="Y5" s="3441"/>
      <c r="Z5" s="3442"/>
      <c r="AA5" s="3428"/>
      <c r="AB5" s="3428"/>
      <c r="AC5" s="3431"/>
    </row>
    <row r="6" spans="1:29" ht="15">
      <c r="A6" s="1318"/>
      <c r="B6" s="1319"/>
      <c r="C6" s="3464" t="s">
        <v>1660</v>
      </c>
      <c r="D6" s="3465"/>
      <c r="E6" s="3466" t="s">
        <v>1660</v>
      </c>
      <c r="F6" s="3467"/>
      <c r="G6" s="3464" t="s">
        <v>1660</v>
      </c>
      <c r="H6" s="3465"/>
      <c r="I6" s="3464" t="s">
        <v>1660</v>
      </c>
      <c r="J6" s="3465"/>
      <c r="K6" s="1457" t="s">
        <v>1661</v>
      </c>
      <c r="L6" s="1458"/>
      <c r="M6" s="1409"/>
      <c r="N6" s="1409"/>
      <c r="O6" s="1409"/>
      <c r="P6" s="3437"/>
      <c r="Q6" s="3438"/>
      <c r="R6" s="3441"/>
      <c r="S6" s="3442"/>
      <c r="T6" s="3443"/>
      <c r="U6" s="3444"/>
      <c r="V6" s="3446"/>
      <c r="W6" s="3446"/>
      <c r="X6" s="1506"/>
      <c r="Y6" s="3443"/>
      <c r="Z6" s="3444"/>
      <c r="AA6" s="3429"/>
      <c r="AB6" s="3429"/>
      <c r="AC6" s="3432"/>
    </row>
    <row r="7" spans="1:29" s="1293" customFormat="1" ht="15">
      <c r="A7" s="1321" t="s">
        <v>1662</v>
      </c>
      <c r="B7" s="1322"/>
      <c r="C7" s="1323">
        <f>'数据-取费表'!B2</f>
        <v>45882</v>
      </c>
      <c r="D7" s="1324">
        <v>100</v>
      </c>
      <c r="E7" s="1325">
        <f>乐华大厦!A2</f>
        <v>45195.333831018499</v>
      </c>
      <c r="F7" s="1326">
        <f>SUMIF(59:59,YEAR(E7)&amp;"-"&amp;MONTH(E7),60:60)</f>
        <v>100</v>
      </c>
      <c r="G7" s="1325">
        <f>悦荣中心!A2</f>
        <v>45308.333831018499</v>
      </c>
      <c r="H7" s="1324">
        <f>SUMIF(59:59,YEAR(G7)&amp;"-"&amp;MONTH(G7),60:60)</f>
        <v>100</v>
      </c>
      <c r="I7" s="1325">
        <f>启华大厦!A3</f>
        <v>45602.333831018499</v>
      </c>
      <c r="J7" s="1324">
        <f>SUMIF(59:59,YEAR(I7)&amp;"-"&amp;MONTH(I7),60:60)</f>
        <v>100</v>
      </c>
      <c r="K7" s="1462"/>
      <c r="L7" s="1463"/>
      <c r="M7" s="1464"/>
      <c r="N7" s="1464"/>
      <c r="O7" s="1464"/>
      <c r="P7" s="3454" t="s">
        <v>1663</v>
      </c>
      <c r="Q7" s="3468"/>
      <c r="R7" s="1507" t="s">
        <v>1664</v>
      </c>
      <c r="S7" s="1508">
        <f t="shared" ref="S7:S15" si="0">F7</f>
        <v>100</v>
      </c>
      <c r="T7" s="1507" t="s">
        <v>1664</v>
      </c>
      <c r="U7" s="1508">
        <f t="shared" ref="U7:U15" si="1">H7</f>
        <v>100</v>
      </c>
      <c r="V7" s="1507" t="s">
        <v>1664</v>
      </c>
      <c r="W7" s="1508">
        <f t="shared" ref="W7:W15" si="2">J7</f>
        <v>100</v>
      </c>
      <c r="X7" s="1509"/>
      <c r="Y7" s="3452" t="s">
        <v>1663</v>
      </c>
      <c r="Z7" s="3453"/>
      <c r="AA7" s="1518">
        <f>D7/F7</f>
        <v>1</v>
      </c>
      <c r="AB7" s="1518">
        <f>D7/H7</f>
        <v>1</v>
      </c>
      <c r="AC7" s="2219">
        <f>D7/J7</f>
        <v>1</v>
      </c>
    </row>
    <row r="8" spans="1:29" s="1293" customFormat="1" ht="15">
      <c r="A8" s="1321" t="s">
        <v>1665</v>
      </c>
      <c r="B8" s="1322"/>
      <c r="C8" s="1328" t="s">
        <v>1666</v>
      </c>
      <c r="D8" s="1324">
        <v>100</v>
      </c>
      <c r="E8" s="1328" t="s">
        <v>1666</v>
      </c>
      <c r="F8" s="1326">
        <f>SUMIF(62:62,E8,63:63)-SUMIF(62:62,C8,63:63)+100</f>
        <v>100</v>
      </c>
      <c r="G8" s="1328" t="s">
        <v>1666</v>
      </c>
      <c r="H8" s="1324">
        <f>SUMIF(62:62,G8,63:63)-SUMIF(62:62,C8,63:63)+100</f>
        <v>100</v>
      </c>
      <c r="I8" s="1328" t="s">
        <v>1666</v>
      </c>
      <c r="J8" s="1324">
        <f>SUMIF(62:62,I8,63:63)-SUMIF(62:62,C8,63:63)+100</f>
        <v>100</v>
      </c>
      <c r="K8" s="1462"/>
      <c r="L8" s="1463"/>
      <c r="M8" s="1464"/>
      <c r="N8" s="1464"/>
      <c r="O8" s="1464"/>
      <c r="P8" s="3454" t="s">
        <v>1667</v>
      </c>
      <c r="Q8" s="3453"/>
      <c r="R8" s="1507" t="s">
        <v>1664</v>
      </c>
      <c r="S8" s="1508">
        <f t="shared" si="0"/>
        <v>100</v>
      </c>
      <c r="T8" s="1507" t="s">
        <v>1664</v>
      </c>
      <c r="U8" s="1508">
        <f t="shared" si="1"/>
        <v>100</v>
      </c>
      <c r="V8" s="1507" t="s">
        <v>1664</v>
      </c>
      <c r="W8" s="1508">
        <f t="shared" si="2"/>
        <v>100</v>
      </c>
      <c r="X8" s="1509"/>
      <c r="Y8" s="3452" t="s">
        <v>1667</v>
      </c>
      <c r="Z8" s="3453"/>
      <c r="AA8" s="1518">
        <f t="shared" ref="AA8:AA47" si="3">D8/F8</f>
        <v>1</v>
      </c>
      <c r="AB8" s="1518">
        <f t="shared" ref="AB8:AB47" si="4">D8/H8</f>
        <v>1</v>
      </c>
      <c r="AC8" s="2219">
        <f t="shared" ref="AC8:AC47" si="5">D8/J8</f>
        <v>1</v>
      </c>
    </row>
    <row r="9" spans="1:29" s="1293" customFormat="1">
      <c r="A9" s="1329" t="s">
        <v>1668</v>
      </c>
      <c r="B9" s="1330" t="s">
        <v>1669</v>
      </c>
      <c r="C9" s="2202" t="s">
        <v>1452</v>
      </c>
      <c r="D9" s="1332">
        <v>100</v>
      </c>
      <c r="E9" s="1668" t="s">
        <v>1452</v>
      </c>
      <c r="F9" s="1332">
        <f>SUMIF(64:64,E9,65:65)-SUMIF(64:64,C9,65:65)+100</f>
        <v>100</v>
      </c>
      <c r="G9" s="1718" t="s">
        <v>1452</v>
      </c>
      <c r="H9" s="1332">
        <f>SUMIF(64:64,G9,65:65)-SUMIF(64:64,C9,65:65)+100</f>
        <v>100</v>
      </c>
      <c r="I9" s="1718" t="s">
        <v>1452</v>
      </c>
      <c r="J9" s="1332">
        <f>SUMIF(64:64,I9,65:65)-SUMIF(64:64,C9,65:65)+100</f>
        <v>100</v>
      </c>
      <c r="K9" s="1462"/>
      <c r="L9" s="1463"/>
      <c r="M9" s="1464"/>
      <c r="N9" s="1464"/>
      <c r="O9" s="1464"/>
      <c r="P9" s="3447" t="s">
        <v>1670</v>
      </c>
      <c r="Q9" s="794" t="str">
        <f t="shared" ref="Q9:Q15" si="6">B9</f>
        <v>用途</v>
      </c>
      <c r="R9" s="1507" t="s">
        <v>1664</v>
      </c>
      <c r="S9" s="1508">
        <f t="shared" si="0"/>
        <v>100</v>
      </c>
      <c r="T9" s="1507" t="s">
        <v>1664</v>
      </c>
      <c r="U9" s="1508">
        <f t="shared" si="1"/>
        <v>100</v>
      </c>
      <c r="V9" s="1507" t="s">
        <v>1664</v>
      </c>
      <c r="W9" s="1508">
        <f t="shared" si="2"/>
        <v>100</v>
      </c>
      <c r="X9" s="1509"/>
      <c r="Y9" s="3342" t="s">
        <v>1671</v>
      </c>
      <c r="Z9" s="1518" t="str">
        <f t="shared" ref="Z9:Z15" si="7">Q9</f>
        <v>用途</v>
      </c>
      <c r="AA9" s="1518">
        <f t="shared" si="3"/>
        <v>1</v>
      </c>
      <c r="AB9" s="1518">
        <f t="shared" si="4"/>
        <v>1</v>
      </c>
      <c r="AC9" s="2219">
        <f t="shared" si="5"/>
        <v>1</v>
      </c>
    </row>
    <row r="10" spans="1:29" s="1294" customFormat="1" ht="27">
      <c r="A10" s="1333"/>
      <c r="B10" s="1334" t="s">
        <v>1672</v>
      </c>
      <c r="C10" s="1669" t="s">
        <v>1673</v>
      </c>
      <c r="D10" s="1336">
        <v>100</v>
      </c>
      <c r="E10" s="1669" t="s">
        <v>3383</v>
      </c>
      <c r="F10" s="1336">
        <f>SUMIF(66:66,E10,67:67)-SUMIF(66:66,C10,67:67)+100</f>
        <v>110</v>
      </c>
      <c r="G10" s="1721" t="s">
        <v>3383</v>
      </c>
      <c r="H10" s="1336">
        <f>SUMIF(66:66,G10,67:67)-SUMIF(66:66,C10,67:67)+100</f>
        <v>110</v>
      </c>
      <c r="I10" s="1669" t="s">
        <v>3383</v>
      </c>
      <c r="J10" s="1336">
        <f>SUMIF(66:66,I10,67:67)-SUMIF(66:66,C10,67:67)+100</f>
        <v>110</v>
      </c>
      <c r="K10" s="1462"/>
      <c r="L10" s="1468"/>
      <c r="M10" s="1469"/>
      <c r="N10" s="1469"/>
      <c r="O10" s="1469"/>
      <c r="P10" s="3447"/>
      <c r="Q10" s="794" t="str">
        <f t="shared" si="6"/>
        <v>土地使用年限（年）</v>
      </c>
      <c r="R10" s="1507" t="s">
        <v>1664</v>
      </c>
      <c r="S10" s="1508">
        <f t="shared" si="0"/>
        <v>110</v>
      </c>
      <c r="T10" s="1507" t="s">
        <v>1664</v>
      </c>
      <c r="U10" s="1508">
        <f t="shared" si="1"/>
        <v>110</v>
      </c>
      <c r="V10" s="1507" t="s">
        <v>1664</v>
      </c>
      <c r="W10" s="1508">
        <f t="shared" si="2"/>
        <v>110</v>
      </c>
      <c r="X10" s="1509"/>
      <c r="Y10" s="3342"/>
      <c r="Z10" s="1518" t="str">
        <f t="shared" si="7"/>
        <v>土地使用年限（年）</v>
      </c>
      <c r="AA10" s="1518">
        <f t="shared" si="3"/>
        <v>0.90909090909090906</v>
      </c>
      <c r="AB10" s="1518">
        <f t="shared" si="4"/>
        <v>0.90909090909090906</v>
      </c>
      <c r="AC10" s="2219">
        <f t="shared" si="5"/>
        <v>0.90909090909090906</v>
      </c>
    </row>
    <row r="11" spans="1:29" ht="15" hidden="1">
      <c r="A11" s="1337"/>
      <c r="B11" s="1334" t="s">
        <v>1675</v>
      </c>
      <c r="C11" s="1338"/>
      <c r="D11" s="1336">
        <v>100</v>
      </c>
      <c r="E11" s="1338"/>
      <c r="F11" s="1336">
        <f>LOOKUP(E11,69:69,70:70)-LOOKUP(C11,69:69,70:70)+100</f>
        <v>100</v>
      </c>
      <c r="G11" s="1339"/>
      <c r="H11" s="1336">
        <f>LOOKUP(G11,69:69,70:70)-LOOKUP(C11,69:69,70:70)+100</f>
        <v>100</v>
      </c>
      <c r="I11" s="1338"/>
      <c r="J11" s="1336">
        <f>LOOKUP(I11,69:69,70:70)-LOOKUP(C11,69:69,70:70)+100</f>
        <v>100</v>
      </c>
      <c r="K11" s="1481"/>
      <c r="L11" s="1472"/>
      <c r="M11" s="1409"/>
      <c r="N11" s="1409"/>
      <c r="O11" s="1409"/>
      <c r="P11" s="3447"/>
      <c r="Q11" s="794" t="str">
        <f t="shared" si="6"/>
        <v>容积率</v>
      </c>
      <c r="R11" s="1507" t="s">
        <v>1664</v>
      </c>
      <c r="S11" s="1508">
        <f t="shared" si="0"/>
        <v>100</v>
      </c>
      <c r="T11" s="1507" t="s">
        <v>1664</v>
      </c>
      <c r="U11" s="1508">
        <f t="shared" si="1"/>
        <v>100</v>
      </c>
      <c r="V11" s="1507" t="s">
        <v>1664</v>
      </c>
      <c r="W11" s="1508">
        <f t="shared" si="2"/>
        <v>100</v>
      </c>
      <c r="X11" s="1509"/>
      <c r="Y11" s="3342"/>
      <c r="Z11" s="1518" t="str">
        <f t="shared" si="7"/>
        <v>容积率</v>
      </c>
      <c r="AA11" s="1518">
        <f t="shared" si="3"/>
        <v>1</v>
      </c>
      <c r="AB11" s="1518">
        <f t="shared" si="4"/>
        <v>1</v>
      </c>
      <c r="AC11" s="2219">
        <f t="shared" si="5"/>
        <v>1</v>
      </c>
    </row>
    <row r="12" spans="1:29" s="1293" customFormat="1" ht="15">
      <c r="A12" s="1340"/>
      <c r="B12" s="3239" t="s">
        <v>3381</v>
      </c>
      <c r="C12" s="1335">
        <v>2000</v>
      </c>
      <c r="D12" s="1342">
        <v>100</v>
      </c>
      <c r="E12" s="1335">
        <v>2018</v>
      </c>
      <c r="F12" s="1336">
        <f>SUMIF(71:71,E12,72:72)-SUMIF(71:71,C12,72:72)+100</f>
        <v>100</v>
      </c>
      <c r="G12" s="2203">
        <v>2021</v>
      </c>
      <c r="H12" s="1336">
        <f>SUMIF(71:71,G12,72:72)-SUMIF(71:71,C12,72:72)+100</f>
        <v>100</v>
      </c>
      <c r="I12" s="1335">
        <v>2018</v>
      </c>
      <c r="J12" s="1336">
        <f>SUMIF(71:71,I12,72:72)-SUMIF(71:71,C12,72:72)+100</f>
        <v>100</v>
      </c>
      <c r="K12" s="1480"/>
      <c r="L12" s="1463"/>
      <c r="M12" s="1464"/>
      <c r="N12" s="1464"/>
      <c r="O12" s="1464"/>
      <c r="P12" s="3447"/>
      <c r="Q12" s="794" t="str">
        <f t="shared" si="6"/>
        <v>建成年代</v>
      </c>
      <c r="R12" s="1507" t="s">
        <v>1664</v>
      </c>
      <c r="S12" s="1508">
        <f t="shared" si="0"/>
        <v>100</v>
      </c>
      <c r="T12" s="1507" t="s">
        <v>1664</v>
      </c>
      <c r="U12" s="1508">
        <f t="shared" si="1"/>
        <v>100</v>
      </c>
      <c r="V12" s="1507" t="s">
        <v>1664</v>
      </c>
      <c r="W12" s="1508">
        <f t="shared" si="2"/>
        <v>100</v>
      </c>
      <c r="X12" s="1509"/>
      <c r="Y12" s="3342"/>
      <c r="Z12" s="1518" t="str">
        <f t="shared" si="7"/>
        <v>建成年代</v>
      </c>
      <c r="AA12" s="1518">
        <f t="shared" si="3"/>
        <v>1</v>
      </c>
      <c r="AB12" s="1518">
        <f t="shared" si="4"/>
        <v>1</v>
      </c>
      <c r="AC12" s="2219">
        <f t="shared" si="5"/>
        <v>1</v>
      </c>
    </row>
    <row r="13" spans="1:29" ht="15">
      <c r="A13" s="1337"/>
      <c r="B13" s="1341">
        <v>111</v>
      </c>
      <c r="C13" s="1345"/>
      <c r="D13" s="759">
        <v>100</v>
      </c>
      <c r="E13" s="1335"/>
      <c r="F13" s="1336">
        <f>SUMIF(73:73,E13,74:74)-SUMIF(73:73,C13,74:74)+100</f>
        <v>100</v>
      </c>
      <c r="G13" s="2203"/>
      <c r="H13" s="759">
        <f>SUMIF(73:73,G13,74:74)-SUMIF(73:73,C13,74:74)+100</f>
        <v>100</v>
      </c>
      <c r="I13" s="1335"/>
      <c r="J13" s="759">
        <f>SUMIF(73:73,I13,74:74)-SUMIF(73:73,C13,74:74)+100</f>
        <v>100</v>
      </c>
      <c r="K13" s="1480"/>
      <c r="L13" s="1474"/>
      <c r="M13" s="1409"/>
      <c r="N13" s="1409"/>
      <c r="O13" s="1409"/>
      <c r="P13" s="3447"/>
      <c r="Q13" s="794">
        <f t="shared" si="6"/>
        <v>111</v>
      </c>
      <c r="R13" s="1507" t="s">
        <v>1664</v>
      </c>
      <c r="S13" s="1508">
        <f t="shared" si="0"/>
        <v>100</v>
      </c>
      <c r="T13" s="1507" t="s">
        <v>1664</v>
      </c>
      <c r="U13" s="1508">
        <f t="shared" si="1"/>
        <v>100</v>
      </c>
      <c r="V13" s="1507" t="s">
        <v>1664</v>
      </c>
      <c r="W13" s="1508">
        <f t="shared" si="2"/>
        <v>100</v>
      </c>
      <c r="X13" s="1509"/>
      <c r="Y13" s="3342"/>
      <c r="Z13" s="1518">
        <f t="shared" si="7"/>
        <v>111</v>
      </c>
      <c r="AA13" s="1518">
        <f t="shared" si="3"/>
        <v>1</v>
      </c>
      <c r="AB13" s="1518">
        <f t="shared" si="4"/>
        <v>1</v>
      </c>
      <c r="AC13" s="2219">
        <f t="shared" si="5"/>
        <v>1</v>
      </c>
    </row>
    <row r="14" spans="1:29" ht="15">
      <c r="A14" s="1346"/>
      <c r="B14" s="1347">
        <v>111</v>
      </c>
      <c r="C14" s="1348"/>
      <c r="D14" s="1349">
        <v>100</v>
      </c>
      <c r="E14" s="1729"/>
      <c r="F14" s="1349">
        <f>SUMIF(75:75,E14,76:76)-SUMIF(75:75,C14,76:76)+100</f>
        <v>100</v>
      </c>
      <c r="G14" s="2203"/>
      <c r="H14" s="1349">
        <f>SUMIF(75:75,G14,76:76)-SUMIF(75:75,C14,76:76)+100</f>
        <v>100</v>
      </c>
      <c r="I14" s="1335"/>
      <c r="J14" s="1349">
        <f>SUMIF(75:75,I14,76:76)-SUMIF(75:75,C14,76:76)+100</f>
        <v>100</v>
      </c>
      <c r="K14" s="1480"/>
      <c r="L14" s="1474"/>
      <c r="M14" s="1409"/>
      <c r="N14" s="1409"/>
      <c r="O14" s="1409"/>
      <c r="P14" s="3447"/>
      <c r="Q14" s="794">
        <f t="shared" si="6"/>
        <v>111</v>
      </c>
      <c r="R14" s="1507" t="s">
        <v>1664</v>
      </c>
      <c r="S14" s="1508">
        <f t="shared" si="0"/>
        <v>100</v>
      </c>
      <c r="T14" s="1507" t="s">
        <v>1664</v>
      </c>
      <c r="U14" s="1508">
        <f t="shared" si="1"/>
        <v>100</v>
      </c>
      <c r="V14" s="1507" t="s">
        <v>1664</v>
      </c>
      <c r="W14" s="1508">
        <f t="shared" si="2"/>
        <v>100</v>
      </c>
      <c r="X14" s="1509"/>
      <c r="Y14" s="3342"/>
      <c r="Z14" s="1518">
        <f t="shared" si="7"/>
        <v>111</v>
      </c>
      <c r="AA14" s="1518">
        <f t="shared" si="3"/>
        <v>1</v>
      </c>
      <c r="AB14" s="1518">
        <f t="shared" si="4"/>
        <v>1</v>
      </c>
      <c r="AC14" s="2219">
        <f t="shared" si="5"/>
        <v>1</v>
      </c>
    </row>
    <row r="15" spans="1:29" ht="15">
      <c r="A15" s="1350" t="s">
        <v>1676</v>
      </c>
      <c r="B15" s="1351" t="s">
        <v>1677</v>
      </c>
      <c r="C15" s="2204">
        <f>估价对象房地状况!C5</f>
        <v>0</v>
      </c>
      <c r="D15" s="1353">
        <v>100</v>
      </c>
      <c r="E15" s="1475"/>
      <c r="F15" s="1353">
        <f>SUMIF(77:77,E16,78:78)-SUMIF(77:77,C16,78:78)+100</f>
        <v>95</v>
      </c>
      <c r="G15" s="1354"/>
      <c r="H15" s="1353">
        <f>SUMIF(77:77,G16,78:78)-SUMIF(77:77,C16,78:78)+100</f>
        <v>90</v>
      </c>
      <c r="I15" s="1354"/>
      <c r="J15" s="1353">
        <f>SUMIF(77:77,I16,78:78)-SUMIF(77:77,C16,78:78)+100</f>
        <v>95</v>
      </c>
      <c r="K15" s="1697">
        <v>5</v>
      </c>
      <c r="L15" s="1474"/>
      <c r="M15" s="1409"/>
      <c r="N15" s="1409"/>
      <c r="O15" s="1409"/>
      <c r="P15" s="3455" t="s">
        <v>1678</v>
      </c>
      <c r="Q15" s="625" t="str">
        <f t="shared" si="6"/>
        <v>办公集聚程度</v>
      </c>
      <c r="R15" s="1511" t="s">
        <v>1664</v>
      </c>
      <c r="S15" s="1512">
        <f t="shared" si="0"/>
        <v>95</v>
      </c>
      <c r="T15" s="1511" t="s">
        <v>1664</v>
      </c>
      <c r="U15" s="1512">
        <f t="shared" si="1"/>
        <v>90</v>
      </c>
      <c r="V15" s="1511" t="s">
        <v>1664</v>
      </c>
      <c r="W15" s="1512">
        <f t="shared" si="2"/>
        <v>95</v>
      </c>
      <c r="X15" s="1506"/>
      <c r="Y15" s="3460" t="s">
        <v>1678</v>
      </c>
      <c r="Z15" s="1495" t="str">
        <f t="shared" si="7"/>
        <v>办公集聚程度</v>
      </c>
      <c r="AA15" s="1495">
        <f t="shared" si="3"/>
        <v>1.0526315789473684</v>
      </c>
      <c r="AB15" s="1495">
        <f t="shared" si="4"/>
        <v>1.1111111111111112</v>
      </c>
      <c r="AC15" s="2220">
        <f t="shared" si="5"/>
        <v>1.0526315789473684</v>
      </c>
    </row>
    <row r="16" spans="1:29" ht="15">
      <c r="A16" s="1337"/>
      <c r="B16" s="1355"/>
      <c r="C16" s="1358" t="s">
        <v>1679</v>
      </c>
      <c r="D16" s="1357"/>
      <c r="E16" s="1356" t="s">
        <v>1680</v>
      </c>
      <c r="F16" s="1357"/>
      <c r="G16" s="1358" t="s">
        <v>1681</v>
      </c>
      <c r="H16" s="1359"/>
      <c r="I16" s="1356" t="s">
        <v>1680</v>
      </c>
      <c r="J16" s="1357"/>
      <c r="K16" s="1698"/>
      <c r="L16" s="1474"/>
      <c r="M16" s="1409"/>
      <c r="N16" s="1409"/>
      <c r="O16" s="1409"/>
      <c r="P16" s="3456"/>
      <c r="Q16" s="625"/>
      <c r="R16" s="1511"/>
      <c r="S16" s="1512"/>
      <c r="T16" s="1511"/>
      <c r="U16" s="1512"/>
      <c r="V16" s="1511"/>
      <c r="W16" s="1512"/>
      <c r="X16" s="1506"/>
      <c r="Y16" s="3461"/>
      <c r="Z16" s="1495"/>
      <c r="AA16" s="1495">
        <v>1</v>
      </c>
      <c r="AB16" s="1495">
        <v>1</v>
      </c>
      <c r="AC16" s="2220">
        <v>1</v>
      </c>
    </row>
    <row r="17" spans="1:29" ht="15">
      <c r="A17" s="1337"/>
      <c r="B17" s="1360" t="s">
        <v>1682</v>
      </c>
      <c r="C17" s="1505">
        <f>估价对象房地状况!C6</f>
        <v>0</v>
      </c>
      <c r="D17" s="1359">
        <v>100</v>
      </c>
      <c r="E17" s="1477"/>
      <c r="F17" s="1359">
        <f>SUMIF(79:79,E18,80:80)-SUMIF(79:79,C18,80:80)+100</f>
        <v>98</v>
      </c>
      <c r="G17" s="1362"/>
      <c r="H17" s="1363">
        <f>SUMIF(79:79,G18,80:80)-SUMIF(79:79,C18,80:80)+100</f>
        <v>100</v>
      </c>
      <c r="I17" s="1362"/>
      <c r="J17" s="1363">
        <f>SUMIF(79:79,I18,80:80)-SUMIF(79:79,C18,80:80)+100</f>
        <v>98</v>
      </c>
      <c r="K17" s="1697">
        <v>2</v>
      </c>
      <c r="L17" s="1474"/>
      <c r="M17" s="1409"/>
      <c r="N17" s="1409"/>
      <c r="O17" s="1409"/>
      <c r="P17" s="3456"/>
      <c r="Q17" s="625" t="str">
        <f>B17</f>
        <v>交通便捷度</v>
      </c>
      <c r="R17" s="1511" t="s">
        <v>1664</v>
      </c>
      <c r="S17" s="1512">
        <f>F17</f>
        <v>98</v>
      </c>
      <c r="T17" s="1511" t="s">
        <v>1664</v>
      </c>
      <c r="U17" s="1512">
        <f>H17</f>
        <v>100</v>
      </c>
      <c r="V17" s="1511" t="s">
        <v>1664</v>
      </c>
      <c r="W17" s="1512">
        <f>J17</f>
        <v>98</v>
      </c>
      <c r="X17" s="1506"/>
      <c r="Y17" s="3461"/>
      <c r="Z17" s="1495" t="str">
        <f>Q17</f>
        <v>交通便捷度</v>
      </c>
      <c r="AA17" s="1495">
        <f t="shared" si="3"/>
        <v>1.0204081632653061</v>
      </c>
      <c r="AB17" s="1495">
        <f t="shared" si="4"/>
        <v>1</v>
      </c>
      <c r="AC17" s="2220">
        <f t="shared" si="5"/>
        <v>1.0204081632653061</v>
      </c>
    </row>
    <row r="18" spans="1:29" ht="15">
      <c r="A18" s="1337"/>
      <c r="B18" s="1364"/>
      <c r="C18" s="2205" t="s">
        <v>1680</v>
      </c>
      <c r="D18" s="1359"/>
      <c r="E18" s="1635" t="s">
        <v>1681</v>
      </c>
      <c r="F18" s="1359"/>
      <c r="G18" s="1628" t="s">
        <v>1680</v>
      </c>
      <c r="H18" s="1357"/>
      <c r="I18" s="1628" t="s">
        <v>1681</v>
      </c>
      <c r="J18" s="1357"/>
      <c r="K18" s="1698"/>
      <c r="L18" s="1474"/>
      <c r="M18" s="1409"/>
      <c r="N18" s="1409"/>
      <c r="O18" s="1409"/>
      <c r="P18" s="3456"/>
      <c r="Q18" s="625"/>
      <c r="R18" s="1511"/>
      <c r="S18" s="1512"/>
      <c r="T18" s="1511"/>
      <c r="U18" s="1512"/>
      <c r="V18" s="1511"/>
      <c r="W18" s="1512"/>
      <c r="X18" s="1506"/>
      <c r="Y18" s="3461"/>
      <c r="Z18" s="1495"/>
      <c r="AA18" s="1495">
        <v>1</v>
      </c>
      <c r="AB18" s="1495">
        <v>1</v>
      </c>
      <c r="AC18" s="2220">
        <v>1</v>
      </c>
    </row>
    <row r="19" spans="1:29" ht="15">
      <c r="A19" s="1337"/>
      <c r="B19" s="1360" t="s">
        <v>1683</v>
      </c>
      <c r="C19" s="1505">
        <f>估价对象房地状况!C7</f>
        <v>0</v>
      </c>
      <c r="D19" s="1363">
        <v>100</v>
      </c>
      <c r="E19" s="1636"/>
      <c r="F19" s="1363">
        <f>SUMIF(81:81,E20,82:82)-SUMIF(81:81,C20,82:82)+100</f>
        <v>100</v>
      </c>
      <c r="G19" s="1629"/>
      <c r="H19" s="1359">
        <f>SUMIF(81:81,G20,82:82)-SUMIF(81:81,C20,82:82)+100</f>
        <v>100</v>
      </c>
      <c r="I19" s="1629"/>
      <c r="J19" s="1359">
        <f>SUMIF(81:81,I20,82:82)-SUMIF(81:81,C20,82:82)+100</f>
        <v>100</v>
      </c>
      <c r="K19" s="1697">
        <v>2</v>
      </c>
      <c r="L19" s="1474"/>
      <c r="M19" s="1409"/>
      <c r="N19" s="1409"/>
      <c r="O19" s="1409"/>
      <c r="P19" s="3456"/>
      <c r="Q19" s="625" t="str">
        <f>B19</f>
        <v>公共配套设施</v>
      </c>
      <c r="R19" s="1511" t="s">
        <v>1664</v>
      </c>
      <c r="S19" s="1512">
        <f>F19</f>
        <v>100</v>
      </c>
      <c r="T19" s="1511" t="s">
        <v>1664</v>
      </c>
      <c r="U19" s="1512">
        <f>H19</f>
        <v>100</v>
      </c>
      <c r="V19" s="1511" t="s">
        <v>1664</v>
      </c>
      <c r="W19" s="1512">
        <f>J19</f>
        <v>100</v>
      </c>
      <c r="X19" s="1506"/>
      <c r="Y19" s="3461"/>
      <c r="Z19" s="1495" t="str">
        <f>Q19</f>
        <v>公共配套设施</v>
      </c>
      <c r="AA19" s="1495">
        <f t="shared" si="3"/>
        <v>1</v>
      </c>
      <c r="AB19" s="1495">
        <f t="shared" si="4"/>
        <v>1</v>
      </c>
      <c r="AC19" s="2220">
        <f t="shared" si="5"/>
        <v>1</v>
      </c>
    </row>
    <row r="20" spans="1:29" ht="15">
      <c r="A20" s="1337"/>
      <c r="B20" s="1364"/>
      <c r="C20" s="1358" t="s">
        <v>1680</v>
      </c>
      <c r="D20" s="1357"/>
      <c r="E20" s="1478" t="s">
        <v>1680</v>
      </c>
      <c r="F20" s="1357"/>
      <c r="G20" s="1365" t="s">
        <v>1680</v>
      </c>
      <c r="H20" s="1357"/>
      <c r="I20" s="1365" t="s">
        <v>1680</v>
      </c>
      <c r="J20" s="1357"/>
      <c r="K20" s="1698"/>
      <c r="L20" s="1474"/>
      <c r="M20" s="1409"/>
      <c r="N20" s="1409"/>
      <c r="O20" s="1409"/>
      <c r="P20" s="3456"/>
      <c r="Q20" s="625"/>
      <c r="R20" s="1511"/>
      <c r="S20" s="1512"/>
      <c r="T20" s="1511"/>
      <c r="U20" s="1512"/>
      <c r="V20" s="1511"/>
      <c r="W20" s="1512"/>
      <c r="X20" s="1506"/>
      <c r="Y20" s="3461"/>
      <c r="Z20" s="1495"/>
      <c r="AA20" s="1495">
        <v>1</v>
      </c>
      <c r="AB20" s="1495">
        <v>1</v>
      </c>
      <c r="AC20" s="2220">
        <v>1</v>
      </c>
    </row>
    <row r="21" spans="1:29" ht="15">
      <c r="A21" s="1337"/>
      <c r="B21" s="1367" t="s">
        <v>1684</v>
      </c>
      <c r="C21" s="1505">
        <f>估价对象房地状况!C8</f>
        <v>0</v>
      </c>
      <c r="D21" s="1359">
        <v>100</v>
      </c>
      <c r="E21" s="1636"/>
      <c r="F21" s="1363">
        <f>SUMIF(83:83,E22,84:84)-SUMIF(83:83,C22,84:84)+100</f>
        <v>100</v>
      </c>
      <c r="G21" s="1629"/>
      <c r="H21" s="1359">
        <f>SUMIF(83:83,G22,84:84)-SUMIF(83:83,C22,84:84)+100</f>
        <v>100</v>
      </c>
      <c r="I21" s="1629"/>
      <c r="J21" s="1359">
        <f>SUMIF(83:83,I22,84:84)-SUMIF(83:83,C22,84:84)+100</f>
        <v>100</v>
      </c>
      <c r="K21" s="1697">
        <v>2</v>
      </c>
      <c r="L21" s="1474"/>
      <c r="M21" s="1409"/>
      <c r="N21" s="1409"/>
      <c r="O21" s="1409"/>
      <c r="P21" s="3456"/>
      <c r="Q21" s="625" t="str">
        <f>B21</f>
        <v>基础设施水平</v>
      </c>
      <c r="R21" s="1511" t="s">
        <v>1664</v>
      </c>
      <c r="S21" s="1512">
        <f>F21</f>
        <v>100</v>
      </c>
      <c r="T21" s="1511" t="s">
        <v>1664</v>
      </c>
      <c r="U21" s="1512">
        <f>H21</f>
        <v>100</v>
      </c>
      <c r="V21" s="1511" t="s">
        <v>1664</v>
      </c>
      <c r="W21" s="1512">
        <f>J21</f>
        <v>100</v>
      </c>
      <c r="X21" s="1506"/>
      <c r="Y21" s="3461"/>
      <c r="Z21" s="1495" t="str">
        <f>Q21</f>
        <v>基础设施水平</v>
      </c>
      <c r="AA21" s="1495">
        <f t="shared" ref="AA21" si="8">D21/F21</f>
        <v>1</v>
      </c>
      <c r="AB21" s="1495">
        <f t="shared" ref="AB21" si="9">D21/H21</f>
        <v>1</v>
      </c>
      <c r="AC21" s="2220">
        <f t="shared" ref="AC21" si="10">D21/J21</f>
        <v>1</v>
      </c>
    </row>
    <row r="22" spans="1:29" ht="15">
      <c r="A22" s="1337"/>
      <c r="B22" s="1367"/>
      <c r="C22" s="2205" t="s">
        <v>241</v>
      </c>
      <c r="D22" s="1357"/>
      <c r="E22" s="1356" t="s">
        <v>241</v>
      </c>
      <c r="F22" s="1357"/>
      <c r="G22" s="1358" t="s">
        <v>241</v>
      </c>
      <c r="H22" s="1357"/>
      <c r="I22" s="1358" t="s">
        <v>241</v>
      </c>
      <c r="J22" s="1357"/>
      <c r="K22" s="1699"/>
      <c r="L22" s="1474"/>
      <c r="M22" s="1409"/>
      <c r="N22" s="1409"/>
      <c r="O22" s="1409"/>
      <c r="P22" s="3456"/>
      <c r="Q22" s="625"/>
      <c r="R22" s="1511"/>
      <c r="S22" s="1512"/>
      <c r="T22" s="1511"/>
      <c r="U22" s="1512"/>
      <c r="V22" s="1511"/>
      <c r="W22" s="1512"/>
      <c r="X22" s="1506"/>
      <c r="Y22" s="3461"/>
      <c r="Z22" s="1495"/>
      <c r="AA22" s="1495">
        <v>1</v>
      </c>
      <c r="AB22" s="1495">
        <v>1</v>
      </c>
      <c r="AC22" s="2220">
        <v>1</v>
      </c>
    </row>
    <row r="23" spans="1:29" ht="15">
      <c r="A23" s="1337"/>
      <c r="B23" s="1360" t="s">
        <v>1685</v>
      </c>
      <c r="C23" s="1505">
        <f>估价对象房地状况!C9</f>
        <v>0</v>
      </c>
      <c r="D23" s="1359">
        <v>100</v>
      </c>
      <c r="E23" s="1477"/>
      <c r="F23" s="1359">
        <f>SUMIF(85:85,E24,86:86)-SUMIF(85:85,C24,86:86)+100</f>
        <v>100</v>
      </c>
      <c r="G23" s="1362"/>
      <c r="H23" s="1359">
        <f>SUMIF(85:85,G24,86:86)-SUMIF(85:85,C24,86:86)+100</f>
        <v>100</v>
      </c>
      <c r="I23" s="1362"/>
      <c r="J23" s="1359">
        <f>SUMIF(85:85,I24,86:86)-SUMIF(85:85,C24,86:86)+100</f>
        <v>100</v>
      </c>
      <c r="K23" s="1697">
        <v>2</v>
      </c>
      <c r="L23" s="1474"/>
      <c r="M23" s="1409"/>
      <c r="N23" s="1409"/>
      <c r="O23" s="1409"/>
      <c r="P23" s="3456"/>
      <c r="Q23" s="625" t="str">
        <f>B23</f>
        <v>环境质量</v>
      </c>
      <c r="R23" s="1511" t="s">
        <v>1664</v>
      </c>
      <c r="S23" s="1512">
        <f>F23</f>
        <v>100</v>
      </c>
      <c r="T23" s="1511" t="s">
        <v>1664</v>
      </c>
      <c r="U23" s="1512">
        <f>H23</f>
        <v>100</v>
      </c>
      <c r="V23" s="1511" t="s">
        <v>1664</v>
      </c>
      <c r="W23" s="1512">
        <f>J23</f>
        <v>100</v>
      </c>
      <c r="X23" s="1506"/>
      <c r="Y23" s="3461"/>
      <c r="Z23" s="1495" t="str">
        <f>Q23</f>
        <v>环境质量</v>
      </c>
      <c r="AA23" s="1495">
        <f t="shared" si="3"/>
        <v>1</v>
      </c>
      <c r="AB23" s="1495">
        <f t="shared" si="4"/>
        <v>1</v>
      </c>
      <c r="AC23" s="2220">
        <f t="shared" si="5"/>
        <v>1</v>
      </c>
    </row>
    <row r="24" spans="1:29" ht="15">
      <c r="A24" s="1337"/>
      <c r="B24" s="1367"/>
      <c r="C24" s="1358" t="s">
        <v>1680</v>
      </c>
      <c r="D24" s="1357"/>
      <c r="E24" s="1478" t="s">
        <v>1680</v>
      </c>
      <c r="F24" s="1357"/>
      <c r="G24" s="1365" t="s">
        <v>1680</v>
      </c>
      <c r="H24" s="1357"/>
      <c r="I24" s="1365" t="s">
        <v>1680</v>
      </c>
      <c r="J24" s="1357"/>
      <c r="K24" s="1698"/>
      <c r="L24" s="1474"/>
      <c r="M24" s="1409"/>
      <c r="N24" s="1409"/>
      <c r="O24" s="1409"/>
      <c r="P24" s="3456"/>
      <c r="Q24" s="625"/>
      <c r="R24" s="1511"/>
      <c r="S24" s="1512"/>
      <c r="T24" s="1511"/>
      <c r="U24" s="1512"/>
      <c r="V24" s="1511"/>
      <c r="W24" s="1512"/>
      <c r="X24" s="1506"/>
      <c r="Y24" s="3461"/>
      <c r="Z24" s="1495"/>
      <c r="AA24" s="1495">
        <v>1</v>
      </c>
      <c r="AB24" s="1495">
        <v>1</v>
      </c>
      <c r="AC24" s="2220">
        <v>1</v>
      </c>
    </row>
    <row r="25" spans="1:29" ht="27">
      <c r="A25" s="1316"/>
      <c r="B25" s="1360" t="s">
        <v>1686</v>
      </c>
      <c r="C25" s="2206"/>
      <c r="D25" s="759">
        <v>100</v>
      </c>
      <c r="E25" s="2207"/>
      <c r="F25" s="759">
        <f>SUMIF(87:87,E26,88:88)-SUMIF(87:87,C26,88:88)+100</f>
        <v>98</v>
      </c>
      <c r="G25" s="2206"/>
      <c r="H25" s="759">
        <f>SUMIF(87:87,G26,88:88)-SUMIF(87:87,C26,88:88)+100</f>
        <v>98</v>
      </c>
      <c r="I25" s="2207"/>
      <c r="J25" s="759">
        <f>SUMIF(87:87,I26,88:88)-SUMIF(87:87,C26,88:88)+100</f>
        <v>98</v>
      </c>
      <c r="K25" s="1697">
        <v>2</v>
      </c>
      <c r="L25" s="1474"/>
      <c r="M25" s="1409"/>
      <c r="N25" s="1409"/>
      <c r="O25" s="1409"/>
      <c r="P25" s="3456"/>
      <c r="Q25" s="625" t="str">
        <f>B25</f>
        <v>毗邻道路的类型与等级</v>
      </c>
      <c r="R25" s="1511" t="s">
        <v>1664</v>
      </c>
      <c r="S25" s="1512">
        <f>F25</f>
        <v>98</v>
      </c>
      <c r="T25" s="1511" t="s">
        <v>1664</v>
      </c>
      <c r="U25" s="1512">
        <f>H25</f>
        <v>98</v>
      </c>
      <c r="V25" s="1511" t="s">
        <v>1664</v>
      </c>
      <c r="W25" s="1512">
        <f>J25</f>
        <v>98</v>
      </c>
      <c r="X25" s="1506"/>
      <c r="Y25" s="3461"/>
      <c r="Z25" s="1495" t="str">
        <f>Q25</f>
        <v>毗邻道路的类型与等级</v>
      </c>
      <c r="AA25" s="1495">
        <f t="shared" si="3"/>
        <v>1.0204081632653061</v>
      </c>
      <c r="AB25" s="1495">
        <f t="shared" si="4"/>
        <v>1.0204081632653061</v>
      </c>
      <c r="AC25" s="2220">
        <f t="shared" si="5"/>
        <v>1.0204081632653061</v>
      </c>
    </row>
    <row r="26" spans="1:29" ht="15.75" thickBot="1">
      <c r="A26" s="1316"/>
      <c r="B26" s="1364"/>
      <c r="C26" s="1371" t="s">
        <v>1687</v>
      </c>
      <c r="D26" s="759"/>
      <c r="E26" s="1370" t="s">
        <v>1688</v>
      </c>
      <c r="F26" s="759"/>
      <c r="G26" s="1371" t="s">
        <v>1688</v>
      </c>
      <c r="H26" s="759"/>
      <c r="I26" s="1370" t="s">
        <v>1688</v>
      </c>
      <c r="J26" s="759"/>
      <c r="K26" s="1698"/>
      <c r="L26" s="1474"/>
      <c r="M26" s="1409"/>
      <c r="N26" s="1409"/>
      <c r="O26" s="1409"/>
      <c r="P26" s="3456"/>
      <c r="Q26" s="625"/>
      <c r="R26" s="1511"/>
      <c r="S26" s="1512"/>
      <c r="T26" s="1511"/>
      <c r="U26" s="1512"/>
      <c r="V26" s="1511"/>
      <c r="W26" s="1512"/>
      <c r="X26" s="1506"/>
      <c r="Y26" s="3461"/>
      <c r="Z26" s="1495"/>
      <c r="AA26" s="1495">
        <v>1</v>
      </c>
      <c r="AB26" s="1495">
        <v>1</v>
      </c>
      <c r="AC26" s="2220">
        <v>1</v>
      </c>
    </row>
    <row r="27" spans="1:29" ht="15" hidden="1">
      <c r="A27" s="1337"/>
      <c r="B27" s="1364" t="s">
        <v>1689</v>
      </c>
      <c r="C27" s="1371"/>
      <c r="D27" s="759">
        <v>100</v>
      </c>
      <c r="E27" s="1370"/>
      <c r="F27" s="759">
        <f>SUMIF(89:89,E27,90:90)-SUMIF(89:89,C27,90:90)+100</f>
        <v>100</v>
      </c>
      <c r="G27" s="1371"/>
      <c r="H27" s="759">
        <f>SUMIF(89:89,G27,90:90)-SUMIF(89:89,C27,90:90)+100</f>
        <v>100</v>
      </c>
      <c r="I27" s="1370"/>
      <c r="J27" s="759">
        <f>SUMIF(89:89,I27,90:90)-SUMIF(89:89,C27,90:90)+100</f>
        <v>100</v>
      </c>
      <c r="K27" s="1481"/>
      <c r="L27" s="1474"/>
      <c r="M27" s="1409"/>
      <c r="N27" s="1409"/>
      <c r="O27" s="1409"/>
      <c r="P27" s="3456"/>
      <c r="Q27" s="625" t="str">
        <f t="shared" ref="Q27:Q47" si="11">B27</f>
        <v>楼层</v>
      </c>
      <c r="R27" s="1511" t="s">
        <v>1664</v>
      </c>
      <c r="S27" s="1512">
        <f>F27</f>
        <v>100</v>
      </c>
      <c r="T27" s="1511" t="s">
        <v>1664</v>
      </c>
      <c r="U27" s="1512">
        <f>H27</f>
        <v>100</v>
      </c>
      <c r="V27" s="1511" t="s">
        <v>1664</v>
      </c>
      <c r="W27" s="1512">
        <f>J27</f>
        <v>100</v>
      </c>
      <c r="X27" s="1506"/>
      <c r="Y27" s="3461"/>
      <c r="Z27" s="1495" t="str">
        <f>Q27</f>
        <v>楼层</v>
      </c>
      <c r="AA27" s="1495">
        <f t="shared" si="3"/>
        <v>1</v>
      </c>
      <c r="AB27" s="1495">
        <f t="shared" si="4"/>
        <v>1</v>
      </c>
      <c r="AC27" s="2220">
        <f t="shared" si="5"/>
        <v>1</v>
      </c>
    </row>
    <row r="28" spans="1:29" s="1293" customFormat="1" ht="15" hidden="1">
      <c r="A28" s="1340"/>
      <c r="B28" s="1360" t="s">
        <v>1690</v>
      </c>
      <c r="C28" s="2208"/>
      <c r="D28" s="1364">
        <v>100</v>
      </c>
      <c r="E28" s="1808"/>
      <c r="F28" s="1364">
        <f>SUMIF(91:91,E28,92:92)-SUMIF(91:91,C28,92:92)+100</f>
        <v>100</v>
      </c>
      <c r="G28" s="2208"/>
      <c r="H28" s="1364">
        <f>SUMIF(91:91,G28,92:92)-SUMIF(91:91,C28,92:92)+100</f>
        <v>100</v>
      </c>
      <c r="I28" s="1808"/>
      <c r="J28" s="1364">
        <f>SUMIF(91:91,I28,92:92)-SUMIF(91:91,C28,92:92)+100</f>
        <v>100</v>
      </c>
      <c r="K28" s="1481"/>
      <c r="L28" s="1463"/>
      <c r="M28" s="1464"/>
      <c r="N28" s="1464"/>
      <c r="O28" s="1464"/>
      <c r="P28" s="3456"/>
      <c r="Q28" s="794" t="str">
        <f t="shared" si="11"/>
        <v>朝向</v>
      </c>
      <c r="R28" s="1507" t="s">
        <v>1664</v>
      </c>
      <c r="S28" s="1508">
        <f>F28</f>
        <v>100</v>
      </c>
      <c r="T28" s="1507" t="s">
        <v>1664</v>
      </c>
      <c r="U28" s="1508">
        <f>H28</f>
        <v>100</v>
      </c>
      <c r="V28" s="1507" t="s">
        <v>1664</v>
      </c>
      <c r="W28" s="1508">
        <f>J28</f>
        <v>100</v>
      </c>
      <c r="X28" s="1509"/>
      <c r="Y28" s="3461"/>
      <c r="Z28" s="1518" t="str">
        <f>Q28</f>
        <v>朝向</v>
      </c>
      <c r="AA28" s="1495">
        <f t="shared" si="3"/>
        <v>1</v>
      </c>
      <c r="AB28" s="1495">
        <f t="shared" si="4"/>
        <v>1</v>
      </c>
      <c r="AC28" s="2220">
        <f t="shared" si="5"/>
        <v>1</v>
      </c>
    </row>
    <row r="29" spans="1:29" ht="15" hidden="1">
      <c r="A29" s="1337"/>
      <c r="B29" s="1374">
        <v>111</v>
      </c>
      <c r="C29" s="1834"/>
      <c r="D29" s="759">
        <v>100</v>
      </c>
      <c r="E29" s="1335"/>
      <c r="F29" s="759">
        <f>SUMIF(93:93,E29,94:94)-SUMIF(93:93,C29,94:94)+100</f>
        <v>100</v>
      </c>
      <c r="G29" s="2203"/>
      <c r="H29" s="759">
        <f>SUMIF(93:93,G29,94:94)-SUMIF(93:93,C29,94:94)+100</f>
        <v>100</v>
      </c>
      <c r="I29" s="1335"/>
      <c r="J29" s="759">
        <f>SUMIF(93:93,I29,94:94)-SUMIF(93:93,C29,94:94)+100</f>
        <v>100</v>
      </c>
      <c r="K29" s="1480"/>
      <c r="L29" s="1474"/>
      <c r="M29" s="1409"/>
      <c r="N29" s="1409"/>
      <c r="O29" s="1409"/>
      <c r="P29" s="3456"/>
      <c r="Q29" s="625">
        <f t="shared" si="11"/>
        <v>111</v>
      </c>
      <c r="R29" s="1511" t="s">
        <v>1664</v>
      </c>
      <c r="S29" s="1512">
        <f t="shared" ref="S29:S47" si="12">F29</f>
        <v>100</v>
      </c>
      <c r="T29" s="1511" t="s">
        <v>1664</v>
      </c>
      <c r="U29" s="1512">
        <f t="shared" ref="U29:U47" si="13">H29</f>
        <v>100</v>
      </c>
      <c r="V29" s="1511" t="s">
        <v>1664</v>
      </c>
      <c r="W29" s="1512">
        <f t="shared" ref="W29:W47" si="14">J29</f>
        <v>100</v>
      </c>
      <c r="X29" s="1506"/>
      <c r="Y29" s="3461"/>
      <c r="Z29" s="1495">
        <f t="shared" ref="Z29:Z47" si="15">Q29</f>
        <v>111</v>
      </c>
      <c r="AA29" s="1495">
        <f t="shared" si="3"/>
        <v>1</v>
      </c>
      <c r="AB29" s="1495">
        <f t="shared" si="4"/>
        <v>1</v>
      </c>
      <c r="AC29" s="2220">
        <f t="shared" si="5"/>
        <v>1</v>
      </c>
    </row>
    <row r="30" spans="1:29" ht="15" hidden="1">
      <c r="A30" s="1337"/>
      <c r="B30" s="1374">
        <v>111</v>
      </c>
      <c r="C30" s="1834"/>
      <c r="D30" s="759">
        <v>100</v>
      </c>
      <c r="E30" s="1335"/>
      <c r="F30" s="759">
        <f>SUMIF(95:95,E30,96:96)-SUMIF(95:95,C30,96:96)+100</f>
        <v>100</v>
      </c>
      <c r="G30" s="2203"/>
      <c r="H30" s="759">
        <f>SUMIF(95:95,G30,96:96)-SUMIF(95:95,C30,96:96)+100</f>
        <v>100</v>
      </c>
      <c r="I30" s="1335"/>
      <c r="J30" s="759">
        <f>SUMIF(95:95,I30,96:96)-SUMIF(95:95,C30,96:96)+100</f>
        <v>100</v>
      </c>
      <c r="K30" s="1480"/>
      <c r="L30" s="1474"/>
      <c r="M30" s="1409"/>
      <c r="N30" s="1409"/>
      <c r="O30" s="1409"/>
      <c r="P30" s="3456"/>
      <c r="Q30" s="625">
        <f t="shared" si="11"/>
        <v>111</v>
      </c>
      <c r="R30" s="1511" t="s">
        <v>1664</v>
      </c>
      <c r="S30" s="1512">
        <f t="shared" si="12"/>
        <v>100</v>
      </c>
      <c r="T30" s="1511" t="s">
        <v>1664</v>
      </c>
      <c r="U30" s="1512">
        <f t="shared" si="13"/>
        <v>100</v>
      </c>
      <c r="V30" s="1511" t="s">
        <v>1664</v>
      </c>
      <c r="W30" s="1512">
        <f t="shared" si="14"/>
        <v>100</v>
      </c>
      <c r="X30" s="1506"/>
      <c r="Y30" s="3461"/>
      <c r="Z30" s="1495">
        <f t="shared" si="15"/>
        <v>111</v>
      </c>
      <c r="AA30" s="1495">
        <f t="shared" si="3"/>
        <v>1</v>
      </c>
      <c r="AB30" s="1495">
        <f t="shared" si="4"/>
        <v>1</v>
      </c>
      <c r="AC30" s="2220">
        <f t="shared" si="5"/>
        <v>1</v>
      </c>
    </row>
    <row r="31" spans="1:29" ht="15" hidden="1">
      <c r="A31" s="1337"/>
      <c r="B31" s="1374">
        <v>111</v>
      </c>
      <c r="C31" s="1834"/>
      <c r="D31" s="759">
        <v>100</v>
      </c>
      <c r="E31" s="1335"/>
      <c r="F31" s="759">
        <f>SUMIF(97:97,E31,98:98)-SUMIF(97:97,C31,98:98)+100</f>
        <v>100</v>
      </c>
      <c r="G31" s="2203"/>
      <c r="H31" s="759">
        <f>SUMIF(97:97,G31,98:98)-SUMIF(97:97,C31,98:98)+100</f>
        <v>100</v>
      </c>
      <c r="I31" s="1335"/>
      <c r="J31" s="759">
        <f>SUMIF(97:97,I31,98:98)-SUMIF(97:97,C31,98:98)+100</f>
        <v>100</v>
      </c>
      <c r="K31" s="1480"/>
      <c r="L31" s="1474"/>
      <c r="M31" s="1409"/>
      <c r="N31" s="1409"/>
      <c r="O31" s="1409"/>
      <c r="P31" s="3456"/>
      <c r="Q31" s="625">
        <f t="shared" si="11"/>
        <v>111</v>
      </c>
      <c r="R31" s="1511" t="s">
        <v>1664</v>
      </c>
      <c r="S31" s="1512">
        <f t="shared" si="12"/>
        <v>100</v>
      </c>
      <c r="T31" s="1511" t="s">
        <v>1664</v>
      </c>
      <c r="U31" s="1512">
        <f t="shared" si="13"/>
        <v>100</v>
      </c>
      <c r="V31" s="1511" t="s">
        <v>1664</v>
      </c>
      <c r="W31" s="1512">
        <f t="shared" si="14"/>
        <v>100</v>
      </c>
      <c r="X31" s="1506"/>
      <c r="Y31" s="3461"/>
      <c r="Z31" s="1495">
        <f t="shared" si="15"/>
        <v>111</v>
      </c>
      <c r="AA31" s="1495">
        <f t="shared" si="3"/>
        <v>1</v>
      </c>
      <c r="AB31" s="1495">
        <f t="shared" si="4"/>
        <v>1</v>
      </c>
      <c r="AC31" s="2220">
        <f t="shared" si="5"/>
        <v>1</v>
      </c>
    </row>
    <row r="32" spans="1:29" ht="15" hidden="1">
      <c r="A32" s="1346"/>
      <c r="B32" s="1727">
        <v>111</v>
      </c>
      <c r="C32" s="1835"/>
      <c r="D32" s="1349">
        <v>100</v>
      </c>
      <c r="E32" s="1729"/>
      <c r="F32" s="1349">
        <f>SUMIF(99:99,E32,100:100)-SUMIF(99:99,C32,100:100)+100</f>
        <v>100</v>
      </c>
      <c r="G32" s="2203"/>
      <c r="H32" s="1349">
        <f>SUMIF(99:99,G32,100:100)-SUMIF(99:99,C32,100:100)+100</f>
        <v>100</v>
      </c>
      <c r="I32" s="1335"/>
      <c r="J32" s="1349">
        <f>SUMIF(99:99,I32,100:100)-SUMIF(99:99,C32,100:100)+100</f>
        <v>100</v>
      </c>
      <c r="K32" s="1480"/>
      <c r="L32" s="1474"/>
      <c r="M32" s="1409"/>
      <c r="N32" s="1409"/>
      <c r="O32" s="1409"/>
      <c r="P32" s="3456"/>
      <c r="Q32" s="625">
        <f t="shared" si="11"/>
        <v>111</v>
      </c>
      <c r="R32" s="1511" t="s">
        <v>1664</v>
      </c>
      <c r="S32" s="1512">
        <f t="shared" si="12"/>
        <v>100</v>
      </c>
      <c r="T32" s="1511" t="s">
        <v>1664</v>
      </c>
      <c r="U32" s="1512">
        <f t="shared" si="13"/>
        <v>100</v>
      </c>
      <c r="V32" s="1511" t="s">
        <v>1664</v>
      </c>
      <c r="W32" s="1512">
        <f t="shared" si="14"/>
        <v>100</v>
      </c>
      <c r="X32" s="1506"/>
      <c r="Y32" s="3461"/>
      <c r="Z32" s="1495">
        <f t="shared" si="15"/>
        <v>111</v>
      </c>
      <c r="AA32" s="1495">
        <f t="shared" si="3"/>
        <v>1</v>
      </c>
      <c r="AB32" s="1495">
        <f t="shared" si="4"/>
        <v>1</v>
      </c>
      <c r="AC32" s="2220">
        <f t="shared" si="5"/>
        <v>1</v>
      </c>
    </row>
    <row r="33" spans="1:29" ht="15">
      <c r="A33" s="1350" t="s">
        <v>1691</v>
      </c>
      <c r="B33" s="1330" t="s">
        <v>1692</v>
      </c>
      <c r="C33" s="1675" t="s">
        <v>1693</v>
      </c>
      <c r="D33" s="1314">
        <v>100</v>
      </c>
      <c r="E33" s="1675" t="s">
        <v>1693</v>
      </c>
      <c r="F33" s="1490">
        <f>SUMIF(101:101,E33,102:102)-SUMIF(101:101,C33,102:102)+100</f>
        <v>100</v>
      </c>
      <c r="G33" s="1675" t="s">
        <v>1693</v>
      </c>
      <c r="H33" s="759">
        <f>SUMIF(101:101,G33,102:102)-SUMIF(101:101,C33,102:102)+100</f>
        <v>100</v>
      </c>
      <c r="I33" s="1675" t="s">
        <v>1693</v>
      </c>
      <c r="J33" s="1314">
        <f>SUMIF(101:101,I33,102:102)-SUMIF(101:101,C33,102:102)+100</f>
        <v>100</v>
      </c>
      <c r="K33" s="1481">
        <v>5</v>
      </c>
      <c r="L33" s="1474"/>
      <c r="M33" s="1409"/>
      <c r="N33" s="1409"/>
      <c r="O33" s="1409"/>
      <c r="P33" s="3457" t="s">
        <v>1694</v>
      </c>
      <c r="Q33" s="625" t="str">
        <f t="shared" si="11"/>
        <v>建筑类型</v>
      </c>
      <c r="R33" s="1511" t="s">
        <v>1664</v>
      </c>
      <c r="S33" s="1512">
        <f t="shared" si="12"/>
        <v>100</v>
      </c>
      <c r="T33" s="1511" t="s">
        <v>1664</v>
      </c>
      <c r="U33" s="1512">
        <f t="shared" si="13"/>
        <v>100</v>
      </c>
      <c r="V33" s="1511" t="s">
        <v>1664</v>
      </c>
      <c r="W33" s="1512">
        <f t="shared" si="14"/>
        <v>100</v>
      </c>
      <c r="X33" s="1506"/>
      <c r="Y33" s="3462" t="s">
        <v>1694</v>
      </c>
      <c r="Z33" s="1495" t="str">
        <f t="shared" si="15"/>
        <v>建筑类型</v>
      </c>
      <c r="AA33" s="1495">
        <f t="shared" si="3"/>
        <v>1</v>
      </c>
      <c r="AB33" s="1495">
        <f t="shared" si="4"/>
        <v>1</v>
      </c>
      <c r="AC33" s="2220">
        <f t="shared" si="5"/>
        <v>1</v>
      </c>
    </row>
    <row r="34" spans="1:29" s="1295" customFormat="1" ht="15">
      <c r="A34" s="1390"/>
      <c r="B34" s="1334" t="s">
        <v>1695</v>
      </c>
      <c r="C34" s="1670">
        <f>'数据-汇总表'!E3</f>
        <v>65221.919999999998</v>
      </c>
      <c r="D34" s="1336">
        <v>100</v>
      </c>
      <c r="E34" s="1339">
        <f>乐华大厦!M14</f>
        <v>10575.420000000002</v>
      </c>
      <c r="F34" s="1334">
        <f>LOOKUP(E34,104:104,105:105)-LOOKUP(C34,104:104,105:105)+100</f>
        <v>100</v>
      </c>
      <c r="G34" s="1338">
        <f>悦荣中心!M20</f>
        <v>15106.53</v>
      </c>
      <c r="H34" s="1336">
        <f>LOOKUP(G34,104:104,105:105)-LOOKUP(C34,104:104,105:105)+100</f>
        <v>100</v>
      </c>
      <c r="I34" s="1338">
        <f>启华大厦!M95</f>
        <v>21750.470000000008</v>
      </c>
      <c r="J34" s="1336">
        <f>LOOKUP(I34,104:104,105:105)-LOOKUP(C34,104:104,105:105)+100</f>
        <v>100</v>
      </c>
      <c r="K34" s="1480"/>
      <c r="L34" s="1472"/>
      <c r="M34" s="1482"/>
      <c r="N34" s="1482"/>
      <c r="O34" s="1482"/>
      <c r="P34" s="3458"/>
      <c r="Q34" s="1700" t="str">
        <f t="shared" si="11"/>
        <v>项目建筑规模</v>
      </c>
      <c r="R34" s="1513" t="s">
        <v>1664</v>
      </c>
      <c r="S34" s="1514">
        <f t="shared" si="12"/>
        <v>100</v>
      </c>
      <c r="T34" s="1513" t="s">
        <v>1664</v>
      </c>
      <c r="U34" s="1514">
        <f t="shared" si="13"/>
        <v>100</v>
      </c>
      <c r="V34" s="1513" t="s">
        <v>1664</v>
      </c>
      <c r="W34" s="1514">
        <f t="shared" si="14"/>
        <v>100</v>
      </c>
      <c r="X34" s="1515"/>
      <c r="Y34" s="3462"/>
      <c r="Z34" s="1519" t="str">
        <f t="shared" si="15"/>
        <v>项目建筑规模</v>
      </c>
      <c r="AA34" s="1495">
        <f t="shared" si="3"/>
        <v>1</v>
      </c>
      <c r="AB34" s="1495">
        <f t="shared" si="4"/>
        <v>1</v>
      </c>
      <c r="AC34" s="2220">
        <f t="shared" si="5"/>
        <v>1</v>
      </c>
    </row>
    <row r="35" spans="1:29" ht="15">
      <c r="A35" s="1385"/>
      <c r="B35" s="1334" t="s">
        <v>1696</v>
      </c>
      <c r="C35" s="1679" t="s">
        <v>1697</v>
      </c>
      <c r="D35" s="759">
        <v>100</v>
      </c>
      <c r="E35" s="1679" t="s">
        <v>1697</v>
      </c>
      <c r="F35" s="1490">
        <f>SUMIF(106:106,E35,107:107)-SUMIF(106:106,C35,107:107)+100</f>
        <v>100</v>
      </c>
      <c r="G35" s="1679" t="s">
        <v>1697</v>
      </c>
      <c r="H35" s="759">
        <f>SUMIF(106:106,G35,107:107)-SUMIF(106:106,C35,107:107)+100</f>
        <v>100</v>
      </c>
      <c r="I35" s="1679" t="s">
        <v>1697</v>
      </c>
      <c r="J35" s="759">
        <f>SUMIF(106:106,I35,107:107)-SUMIF(106:106,C35,107:107)+100</f>
        <v>100</v>
      </c>
      <c r="K35" s="1481">
        <v>1</v>
      </c>
      <c r="L35" s="1474"/>
      <c r="M35" s="1409"/>
      <c r="N35" s="1409"/>
      <c r="O35" s="1409"/>
      <c r="P35" s="3458"/>
      <c r="Q35" s="625" t="str">
        <f t="shared" si="11"/>
        <v>建筑结构</v>
      </c>
      <c r="R35" s="1511" t="s">
        <v>1664</v>
      </c>
      <c r="S35" s="1512">
        <f t="shared" si="12"/>
        <v>100</v>
      </c>
      <c r="T35" s="1511" t="s">
        <v>1664</v>
      </c>
      <c r="U35" s="1512">
        <f t="shared" si="13"/>
        <v>100</v>
      </c>
      <c r="V35" s="1511" t="s">
        <v>1664</v>
      </c>
      <c r="W35" s="1512">
        <f t="shared" si="14"/>
        <v>100</v>
      </c>
      <c r="X35" s="1506"/>
      <c r="Y35" s="3462"/>
      <c r="Z35" s="1495" t="str">
        <f t="shared" si="15"/>
        <v>建筑结构</v>
      </c>
      <c r="AA35" s="1495">
        <f t="shared" si="3"/>
        <v>1</v>
      </c>
      <c r="AB35" s="1495">
        <f t="shared" si="4"/>
        <v>1</v>
      </c>
      <c r="AC35" s="2220">
        <f t="shared" si="5"/>
        <v>1</v>
      </c>
    </row>
    <row r="36" spans="1:29" ht="15">
      <c r="A36" s="1385"/>
      <c r="B36" s="1334" t="s">
        <v>1698</v>
      </c>
      <c r="C36" s="1679" t="s">
        <v>1699</v>
      </c>
      <c r="D36" s="759">
        <v>100</v>
      </c>
      <c r="E36" s="1679" t="s">
        <v>1699</v>
      </c>
      <c r="F36" s="1490">
        <f>SUMIF(108:108,E36,109:109)-SUMIF(108:108,C36,109:109)+100</f>
        <v>100</v>
      </c>
      <c r="G36" s="1679" t="s">
        <v>1699</v>
      </c>
      <c r="H36" s="759">
        <f>SUMIF(108:108,G36,109:109)-SUMIF(108:108,C36,109:109)+100</f>
        <v>100</v>
      </c>
      <c r="I36" s="1679" t="s">
        <v>1699</v>
      </c>
      <c r="J36" s="759">
        <f>SUMIF(108:108,I36,109:109)-SUMIF(108:108,C36,109:109)+100</f>
        <v>100</v>
      </c>
      <c r="K36" s="1481">
        <v>1</v>
      </c>
      <c r="L36" s="1474"/>
      <c r="M36" s="1409"/>
      <c r="N36" s="1409"/>
      <c r="O36" s="1409"/>
      <c r="P36" s="3458"/>
      <c r="Q36" s="625" t="str">
        <f t="shared" si="11"/>
        <v>公共部分装修</v>
      </c>
      <c r="R36" s="1511" t="s">
        <v>1664</v>
      </c>
      <c r="S36" s="1512">
        <f t="shared" si="12"/>
        <v>100</v>
      </c>
      <c r="T36" s="1511" t="s">
        <v>1664</v>
      </c>
      <c r="U36" s="1512">
        <f t="shared" si="13"/>
        <v>100</v>
      </c>
      <c r="V36" s="1511" t="s">
        <v>1664</v>
      </c>
      <c r="W36" s="1512">
        <f t="shared" si="14"/>
        <v>100</v>
      </c>
      <c r="X36" s="1506"/>
      <c r="Y36" s="3462"/>
      <c r="Z36" s="1495" t="str">
        <f t="shared" si="15"/>
        <v>公共部分装修</v>
      </c>
      <c r="AA36" s="1495">
        <f t="shared" si="3"/>
        <v>1</v>
      </c>
      <c r="AB36" s="1495">
        <f t="shared" si="4"/>
        <v>1</v>
      </c>
      <c r="AC36" s="2220">
        <f t="shared" si="5"/>
        <v>1</v>
      </c>
    </row>
    <row r="37" spans="1:29" ht="15">
      <c r="A37" s="1385"/>
      <c r="B37" s="1334" t="s">
        <v>687</v>
      </c>
      <c r="C37" s="1676">
        <f>'数据-取费表'!Y6</f>
        <v>0.73</v>
      </c>
      <c r="D37" s="759">
        <v>100</v>
      </c>
      <c r="E37" s="1676">
        <f>ROUND(1-(1-0%)*(2025-E12)/60,2)</f>
        <v>0.88</v>
      </c>
      <c r="F37" s="1490">
        <f>LOOKUP(E37,111:111,112:112)-LOOKUP(C37,111:111,112:112)+100</f>
        <v>101</v>
      </c>
      <c r="G37" s="1676">
        <f>ROUND(1-(1-0%)*(2025-G12)/60,2)</f>
        <v>0.93</v>
      </c>
      <c r="H37" s="1490">
        <f>LOOKUP(G37,111:111,112:112)-LOOKUP(C37,111:111,112:112)+100</f>
        <v>102</v>
      </c>
      <c r="I37" s="1676">
        <f>ROUND(1-(1-0%)*(2025-I12)/60,2)</f>
        <v>0.88</v>
      </c>
      <c r="J37" s="759">
        <f>LOOKUP(I37,111:111,112:112)-LOOKUP(C37,111:111,112:112)+100</f>
        <v>101</v>
      </c>
      <c r="K37" s="1481">
        <v>1</v>
      </c>
      <c r="L37" s="1474"/>
      <c r="M37" s="1409"/>
      <c r="N37" s="1409"/>
      <c r="O37" s="1409"/>
      <c r="P37" s="3458"/>
      <c r="Q37" s="625" t="str">
        <f t="shared" si="11"/>
        <v>成新度</v>
      </c>
      <c r="R37" s="1511" t="s">
        <v>1664</v>
      </c>
      <c r="S37" s="1512">
        <f t="shared" si="12"/>
        <v>101</v>
      </c>
      <c r="T37" s="1511" t="s">
        <v>1664</v>
      </c>
      <c r="U37" s="1512">
        <f t="shared" si="13"/>
        <v>102</v>
      </c>
      <c r="V37" s="1511" t="s">
        <v>1664</v>
      </c>
      <c r="W37" s="1512">
        <f t="shared" si="14"/>
        <v>101</v>
      </c>
      <c r="X37" s="1506"/>
      <c r="Y37" s="3462"/>
      <c r="Z37" s="1495" t="str">
        <f t="shared" si="15"/>
        <v>成新度</v>
      </c>
      <c r="AA37" s="1495">
        <f t="shared" si="3"/>
        <v>0.99009900990099009</v>
      </c>
      <c r="AB37" s="1495">
        <f t="shared" si="4"/>
        <v>0.98039215686274506</v>
      </c>
      <c r="AC37" s="2220">
        <f t="shared" si="5"/>
        <v>0.99009900990099009</v>
      </c>
    </row>
    <row r="38" spans="1:29" s="1293" customFormat="1" ht="15">
      <c r="A38" s="1387"/>
      <c r="B38" s="1334" t="s">
        <v>1700</v>
      </c>
      <c r="C38" s="1679" t="s">
        <v>1701</v>
      </c>
      <c r="D38" s="1336">
        <v>100</v>
      </c>
      <c r="E38" s="1679" t="s">
        <v>1701</v>
      </c>
      <c r="F38" s="1490">
        <f>SUMIF(113:113,E38,114:114)-SUMIF(113:113,C38,114:114)+100</f>
        <v>100</v>
      </c>
      <c r="G38" s="1679" t="s">
        <v>1701</v>
      </c>
      <c r="H38" s="759">
        <f>SUMIF(113:113,G38,114:114)-SUMIF(113:113,C38,114:114)+100</f>
        <v>100</v>
      </c>
      <c r="I38" s="1679" t="s">
        <v>1701</v>
      </c>
      <c r="J38" s="759">
        <f>SUMIF(113:113,I38,114:114)-SUMIF(113:113,C38,114:114)+100</f>
        <v>100</v>
      </c>
      <c r="K38" s="1481">
        <v>1</v>
      </c>
      <c r="L38" s="1463"/>
      <c r="M38" s="1464"/>
      <c r="N38" s="1464"/>
      <c r="O38" s="1464"/>
      <c r="P38" s="3458"/>
      <c r="Q38" s="794" t="str">
        <f t="shared" si="11"/>
        <v>写字楼等级</v>
      </c>
      <c r="R38" s="1507" t="s">
        <v>1664</v>
      </c>
      <c r="S38" s="1508">
        <f t="shared" si="12"/>
        <v>100</v>
      </c>
      <c r="T38" s="1507" t="s">
        <v>1664</v>
      </c>
      <c r="U38" s="1508">
        <f t="shared" si="13"/>
        <v>100</v>
      </c>
      <c r="V38" s="1507" t="s">
        <v>1664</v>
      </c>
      <c r="W38" s="1508">
        <f t="shared" si="14"/>
        <v>100</v>
      </c>
      <c r="X38" s="1509"/>
      <c r="Y38" s="3462"/>
      <c r="Z38" s="1518" t="str">
        <f t="shared" si="15"/>
        <v>写字楼等级</v>
      </c>
      <c r="AA38" s="1518">
        <f t="shared" si="3"/>
        <v>1</v>
      </c>
      <c r="AB38" s="1518">
        <f t="shared" si="4"/>
        <v>1</v>
      </c>
      <c r="AC38" s="2219">
        <f t="shared" si="5"/>
        <v>1</v>
      </c>
    </row>
    <row r="39" spans="1:29" ht="15">
      <c r="A39" s="1385"/>
      <c r="B39" s="1334" t="s">
        <v>1702</v>
      </c>
      <c r="C39" s="1679" t="s">
        <v>1703</v>
      </c>
      <c r="D39" s="759">
        <v>100</v>
      </c>
      <c r="E39" s="1679" t="s">
        <v>1703</v>
      </c>
      <c r="F39" s="1490">
        <f>SUMIF(115:115,E39,116:116)-SUMIF(115:115,C39,116:116)+100</f>
        <v>100</v>
      </c>
      <c r="G39" s="1679" t="s">
        <v>1703</v>
      </c>
      <c r="H39" s="759">
        <f>SUMIF(115:115,G39,116:116)-SUMIF(115:115,C39,116:116)+100</f>
        <v>100</v>
      </c>
      <c r="I39" s="1679" t="s">
        <v>1703</v>
      </c>
      <c r="J39" s="759">
        <f>SUMIF(115:115,I39,116:116)-SUMIF(115:115,C39,116:116)+100</f>
        <v>100</v>
      </c>
      <c r="K39" s="1481">
        <v>1</v>
      </c>
      <c r="L39" s="1474"/>
      <c r="M39" s="1409"/>
      <c r="N39" s="1409"/>
      <c r="O39" s="1409"/>
      <c r="P39" s="3458" t="s">
        <v>1694</v>
      </c>
      <c r="Q39" s="625" t="str">
        <f t="shared" si="11"/>
        <v>物业管理</v>
      </c>
      <c r="R39" s="1511" t="s">
        <v>1664</v>
      </c>
      <c r="S39" s="1512">
        <f t="shared" si="12"/>
        <v>100</v>
      </c>
      <c r="T39" s="1511" t="s">
        <v>1664</v>
      </c>
      <c r="U39" s="1512">
        <f t="shared" si="13"/>
        <v>100</v>
      </c>
      <c r="V39" s="1511" t="s">
        <v>1664</v>
      </c>
      <c r="W39" s="1512">
        <f t="shared" si="14"/>
        <v>100</v>
      </c>
      <c r="X39" s="1506"/>
      <c r="Y39" s="3462" t="s">
        <v>1694</v>
      </c>
      <c r="Z39" s="1495" t="str">
        <f t="shared" si="15"/>
        <v>物业管理</v>
      </c>
      <c r="AA39" s="1495">
        <f t="shared" si="3"/>
        <v>1</v>
      </c>
      <c r="AB39" s="1495">
        <f t="shared" si="4"/>
        <v>1</v>
      </c>
      <c r="AC39" s="2220">
        <f t="shared" si="5"/>
        <v>1</v>
      </c>
    </row>
    <row r="40" spans="1:29" ht="15">
      <c r="A40" s="1385"/>
      <c r="B40" s="1334" t="s">
        <v>1704</v>
      </c>
      <c r="C40" s="1679" t="s">
        <v>268</v>
      </c>
      <c r="D40" s="759">
        <v>100</v>
      </c>
      <c r="E40" s="1679" t="s">
        <v>268</v>
      </c>
      <c r="F40" s="1490">
        <f>SUMIF(117:117,E40,118:118)-SUMIF(117:117,C40,118:118)+100</f>
        <v>100</v>
      </c>
      <c r="G40" s="1679" t="s">
        <v>268</v>
      </c>
      <c r="H40" s="759">
        <f>SUMIF(117:117,G40,118:118)-SUMIF(117:117,C40,118:118)+100</f>
        <v>100</v>
      </c>
      <c r="I40" s="1679" t="s">
        <v>268</v>
      </c>
      <c r="J40" s="759">
        <f>SUMIF(117:117,I40,118:118)-SUMIF(117:117,C40,118:118)+100</f>
        <v>100</v>
      </c>
      <c r="K40" s="1481">
        <v>1</v>
      </c>
      <c r="L40" s="1474"/>
      <c r="M40" s="1409"/>
      <c r="N40" s="1409"/>
      <c r="O40" s="1409"/>
      <c r="P40" s="3458"/>
      <c r="Q40" s="625" t="str">
        <f t="shared" si="11"/>
        <v>市政基础设施</v>
      </c>
      <c r="R40" s="1511" t="s">
        <v>1664</v>
      </c>
      <c r="S40" s="1512">
        <f t="shared" si="12"/>
        <v>100</v>
      </c>
      <c r="T40" s="1511" t="s">
        <v>1664</v>
      </c>
      <c r="U40" s="1512">
        <f t="shared" si="13"/>
        <v>100</v>
      </c>
      <c r="V40" s="1511" t="s">
        <v>1664</v>
      </c>
      <c r="W40" s="1512">
        <f t="shared" si="14"/>
        <v>100</v>
      </c>
      <c r="X40" s="1506"/>
      <c r="Y40" s="3462"/>
      <c r="Z40" s="1495" t="str">
        <f t="shared" si="15"/>
        <v>市政基础设施</v>
      </c>
      <c r="AA40" s="1495">
        <f t="shared" si="3"/>
        <v>1</v>
      </c>
      <c r="AB40" s="1495">
        <f t="shared" si="4"/>
        <v>1</v>
      </c>
      <c r="AC40" s="2220">
        <f t="shared" si="5"/>
        <v>1</v>
      </c>
    </row>
    <row r="41" spans="1:29" ht="15">
      <c r="A41" s="1385"/>
      <c r="B41" s="1334" t="s">
        <v>1705</v>
      </c>
      <c r="C41" s="1370" t="s">
        <v>1706</v>
      </c>
      <c r="D41" s="759">
        <v>100</v>
      </c>
      <c r="E41" s="1370" t="s">
        <v>1706</v>
      </c>
      <c r="F41" s="1490">
        <f>SUMIF(119:119,E41,120:120)-SUMIF(119:119,C41,120:120)+100</f>
        <v>100</v>
      </c>
      <c r="G41" s="1370" t="s">
        <v>1706</v>
      </c>
      <c r="H41" s="759">
        <f>SUMIF(119:119,G41,120:120)-SUMIF(119:119,C41,120:120)+100</f>
        <v>100</v>
      </c>
      <c r="I41" s="1370" t="s">
        <v>1706</v>
      </c>
      <c r="J41" s="759">
        <f>SUMIF(119:119,I41,120:120)-SUMIF(119:119,C41,120:120)+100</f>
        <v>100</v>
      </c>
      <c r="K41" s="1481">
        <v>1</v>
      </c>
      <c r="L41" s="1474"/>
      <c r="M41" s="1409"/>
      <c r="N41" s="1409"/>
      <c r="O41" s="1409"/>
      <c r="P41" s="3458"/>
      <c r="Q41" s="625" t="str">
        <f t="shared" si="11"/>
        <v>层高</v>
      </c>
      <c r="R41" s="1511" t="s">
        <v>1664</v>
      </c>
      <c r="S41" s="1512">
        <f t="shared" si="12"/>
        <v>100</v>
      </c>
      <c r="T41" s="1511" t="s">
        <v>1664</v>
      </c>
      <c r="U41" s="1512">
        <f t="shared" si="13"/>
        <v>100</v>
      </c>
      <c r="V41" s="1511" t="s">
        <v>1664</v>
      </c>
      <c r="W41" s="1512">
        <f t="shared" si="14"/>
        <v>100</v>
      </c>
      <c r="X41" s="1506"/>
      <c r="Y41" s="3462"/>
      <c r="Z41" s="1495" t="str">
        <f t="shared" si="15"/>
        <v>层高</v>
      </c>
      <c r="AA41" s="1495">
        <f t="shared" si="3"/>
        <v>1</v>
      </c>
      <c r="AB41" s="1495">
        <f t="shared" si="4"/>
        <v>1</v>
      </c>
      <c r="AC41" s="2220">
        <f t="shared" si="5"/>
        <v>1</v>
      </c>
    </row>
    <row r="42" spans="1:29" s="1295" customFormat="1" ht="15" hidden="1">
      <c r="A42" s="1390"/>
      <c r="B42" s="1490" t="s">
        <v>1707</v>
      </c>
      <c r="C42" s="1345"/>
      <c r="D42" s="759">
        <v>100</v>
      </c>
      <c r="E42" s="1345"/>
      <c r="F42" s="1490">
        <f>SUMIF(121:121,E42,122:122)-SUMIF(121:121,C42,122:122)+100</f>
        <v>100</v>
      </c>
      <c r="G42" s="1345"/>
      <c r="H42" s="759">
        <f>SUMIF(121:121,G42,122:122)-SUMIF(121:121,C42,122:122)+100</f>
        <v>100</v>
      </c>
      <c r="I42" s="1345"/>
      <c r="J42" s="759">
        <f>SUMIF(121:121,I42,122:122)-SUMIF(121:121,C42,122:122)+100</f>
        <v>100</v>
      </c>
      <c r="K42" s="1480"/>
      <c r="L42" s="1472"/>
      <c r="M42" s="1482"/>
      <c r="N42" s="1482"/>
      <c r="O42" s="1482"/>
      <c r="P42" s="3458"/>
      <c r="Q42" s="1700" t="str">
        <f t="shared" si="11"/>
        <v>单套建筑面积</v>
      </c>
      <c r="R42" s="1513" t="s">
        <v>1664</v>
      </c>
      <c r="S42" s="1514">
        <f t="shared" si="12"/>
        <v>100</v>
      </c>
      <c r="T42" s="1513" t="s">
        <v>1664</v>
      </c>
      <c r="U42" s="1514">
        <f t="shared" si="13"/>
        <v>100</v>
      </c>
      <c r="V42" s="1513" t="s">
        <v>1664</v>
      </c>
      <c r="W42" s="1514">
        <f t="shared" si="14"/>
        <v>100</v>
      </c>
      <c r="X42" s="1515"/>
      <c r="Y42" s="3462"/>
      <c r="Z42" s="1519" t="str">
        <f t="shared" si="15"/>
        <v>单套建筑面积</v>
      </c>
      <c r="AA42" s="1495">
        <f t="shared" si="3"/>
        <v>1</v>
      </c>
      <c r="AB42" s="1495">
        <f t="shared" si="4"/>
        <v>1</v>
      </c>
      <c r="AC42" s="2220">
        <f t="shared" si="5"/>
        <v>1</v>
      </c>
    </row>
    <row r="43" spans="1:29" ht="15">
      <c r="A43" s="1385"/>
      <c r="B43" s="1334" t="s">
        <v>1708</v>
      </c>
      <c r="C43" s="1679" t="s">
        <v>1699</v>
      </c>
      <c r="D43" s="759">
        <v>100</v>
      </c>
      <c r="E43" s="1679" t="s">
        <v>1699</v>
      </c>
      <c r="F43" s="1490">
        <f>SUMIF(123:123,E43,124:124)-SUMIF(123:123,C43,124:124)+100</f>
        <v>100</v>
      </c>
      <c r="G43" s="1679" t="s">
        <v>1699</v>
      </c>
      <c r="H43" s="759">
        <f>SUMIF(123:123,G43,124:124)-SUMIF(123:123,C43,124:124)+100</f>
        <v>100</v>
      </c>
      <c r="I43" s="1679" t="s">
        <v>1699</v>
      </c>
      <c r="J43" s="759">
        <f>SUMIF(123:123,I43,124:124)-SUMIF(123:123,C43,124:124)+100</f>
        <v>100</v>
      </c>
      <c r="K43" s="1481">
        <v>1</v>
      </c>
      <c r="L43" s="1474"/>
      <c r="M43" s="1409"/>
      <c r="N43" s="1409"/>
      <c r="O43" s="1409"/>
      <c r="P43" s="3458"/>
      <c r="Q43" s="625" t="str">
        <f t="shared" si="11"/>
        <v>内部装修</v>
      </c>
      <c r="R43" s="1511" t="s">
        <v>1664</v>
      </c>
      <c r="S43" s="1512">
        <f t="shared" si="12"/>
        <v>100</v>
      </c>
      <c r="T43" s="1511" t="s">
        <v>1664</v>
      </c>
      <c r="U43" s="1512">
        <f t="shared" si="13"/>
        <v>100</v>
      </c>
      <c r="V43" s="1511" t="s">
        <v>1664</v>
      </c>
      <c r="W43" s="1512">
        <f t="shared" si="14"/>
        <v>100</v>
      </c>
      <c r="X43" s="1506"/>
      <c r="Y43" s="3462"/>
      <c r="Z43" s="1495" t="str">
        <f t="shared" si="15"/>
        <v>内部装修</v>
      </c>
      <c r="AA43" s="1495">
        <f t="shared" si="3"/>
        <v>1</v>
      </c>
      <c r="AB43" s="1495">
        <f t="shared" si="4"/>
        <v>1</v>
      </c>
      <c r="AC43" s="2220">
        <f t="shared" si="5"/>
        <v>1</v>
      </c>
    </row>
    <row r="44" spans="1:29" ht="15.75" thickBot="1">
      <c r="A44" s="1385"/>
      <c r="B44" s="1334" t="s">
        <v>1709</v>
      </c>
      <c r="C44" s="1679" t="s">
        <v>1680</v>
      </c>
      <c r="D44" s="759">
        <v>100</v>
      </c>
      <c r="E44" s="1679" t="s">
        <v>1680</v>
      </c>
      <c r="F44" s="1490">
        <f>SUMIF(125:125,E44,126:126)-SUMIF(125:125,C44,126:126)+100</f>
        <v>100</v>
      </c>
      <c r="G44" s="1679" t="s">
        <v>1680</v>
      </c>
      <c r="H44" s="759">
        <f>SUMIF(125:125,G44,126:126)-SUMIF(125:125,C44,126:126)+100</f>
        <v>100</v>
      </c>
      <c r="I44" s="1679" t="s">
        <v>1680</v>
      </c>
      <c r="J44" s="759">
        <f>SUMIF(125:125,I44,126:126)-SUMIF(125:125,C44,126:126)+100</f>
        <v>100</v>
      </c>
      <c r="K44" s="1481">
        <v>1</v>
      </c>
      <c r="L44" s="1474"/>
      <c r="M44" s="1409"/>
      <c r="N44" s="1409"/>
      <c r="O44" s="1409"/>
      <c r="P44" s="3458"/>
      <c r="Q44" s="625" t="str">
        <f t="shared" si="11"/>
        <v>内部装修维护情况</v>
      </c>
      <c r="R44" s="1511" t="s">
        <v>1664</v>
      </c>
      <c r="S44" s="1512">
        <f t="shared" si="12"/>
        <v>100</v>
      </c>
      <c r="T44" s="1511" t="s">
        <v>1664</v>
      </c>
      <c r="U44" s="1512">
        <f t="shared" si="13"/>
        <v>100</v>
      </c>
      <c r="V44" s="1511" t="s">
        <v>1664</v>
      </c>
      <c r="W44" s="1512">
        <f t="shared" si="14"/>
        <v>100</v>
      </c>
      <c r="X44" s="1506"/>
      <c r="Y44" s="3462"/>
      <c r="Z44" s="1495" t="str">
        <f t="shared" si="15"/>
        <v>内部装修维护情况</v>
      </c>
      <c r="AA44" s="1495">
        <f t="shared" si="3"/>
        <v>1</v>
      </c>
      <c r="AB44" s="1495">
        <f t="shared" si="4"/>
        <v>1</v>
      </c>
      <c r="AC44" s="2220">
        <f t="shared" si="5"/>
        <v>1</v>
      </c>
    </row>
    <row r="45" spans="1:29" s="1293" customFormat="1" ht="15">
      <c r="A45" s="1387"/>
      <c r="B45" s="2209" t="s">
        <v>1710</v>
      </c>
      <c r="C45" s="1670" t="s">
        <v>3398</v>
      </c>
      <c r="D45" s="1336">
        <v>100</v>
      </c>
      <c r="E45" s="1548" t="s">
        <v>3398</v>
      </c>
      <c r="F45" s="1334">
        <f>SUMIF(127:127,E45,128:128)-SUMIF(127:127,C45,128:128)+100</f>
        <v>100</v>
      </c>
      <c r="G45" s="1345" t="s">
        <v>3399</v>
      </c>
      <c r="H45" s="1336">
        <f>SUMIF(127:127,G45,128:128)-SUMIF(127:127,C45,128:128)+100</f>
        <v>109</v>
      </c>
      <c r="I45" s="1345" t="s">
        <v>3400</v>
      </c>
      <c r="J45" s="1336">
        <f>SUMIF(127:127,I45,128:128)-SUMIF(127:127,C45,128:128)+100</f>
        <v>97</v>
      </c>
      <c r="K45" s="1480"/>
      <c r="L45" s="1463"/>
      <c r="M45" s="1464"/>
      <c r="N45" s="1464"/>
      <c r="O45" s="1464"/>
      <c r="P45" s="3458"/>
      <c r="Q45" s="794" t="str">
        <f t="shared" si="11"/>
        <v>地下面积占比</v>
      </c>
      <c r="R45" s="1507" t="s">
        <v>1664</v>
      </c>
      <c r="S45" s="1508">
        <f t="shared" si="12"/>
        <v>100</v>
      </c>
      <c r="T45" s="1507" t="s">
        <v>1664</v>
      </c>
      <c r="U45" s="1508">
        <f t="shared" si="13"/>
        <v>109</v>
      </c>
      <c r="V45" s="1507" t="s">
        <v>1664</v>
      </c>
      <c r="W45" s="1508">
        <f t="shared" si="14"/>
        <v>97</v>
      </c>
      <c r="X45" s="1509"/>
      <c r="Y45" s="3462"/>
      <c r="Z45" s="1518" t="str">
        <f t="shared" si="15"/>
        <v>地下面积占比</v>
      </c>
      <c r="AA45" s="1518">
        <f t="shared" si="3"/>
        <v>1</v>
      </c>
      <c r="AB45" s="1518">
        <f t="shared" si="4"/>
        <v>0.91743119266055051</v>
      </c>
      <c r="AC45" s="2219">
        <f t="shared" si="5"/>
        <v>1.0309278350515463</v>
      </c>
    </row>
    <row r="46" spans="1:29" ht="15">
      <c r="A46" s="1385"/>
      <c r="B46" s="2209" t="s">
        <v>1710</v>
      </c>
      <c r="C46" s="1345">
        <f>'数据-汇总表'!G33</f>
        <v>16.52</v>
      </c>
      <c r="D46" s="759">
        <v>100</v>
      </c>
      <c r="E46" s="2210">
        <f>乐华大厦!N18</f>
        <v>0.16</v>
      </c>
      <c r="F46" s="1490">
        <f>SUMIF(129:129,E46,130:130)-SUMIF(129:129,C46,130:130)+100</f>
        <v>100</v>
      </c>
      <c r="G46" s="2211">
        <v>0</v>
      </c>
      <c r="H46" s="759">
        <f>SUMIF(129:129,G46,130:130)-SUMIF(129:129,C46,130:130)+100</f>
        <v>100</v>
      </c>
      <c r="I46" s="2216">
        <f>新景商务楼!M48</f>
        <v>0.24</v>
      </c>
      <c r="J46" s="759">
        <f>SUMIF(129:129,I46,130:130)-SUMIF(129:129,C46,130:130)+100</f>
        <v>100</v>
      </c>
      <c r="K46" s="1480"/>
      <c r="L46" s="1474"/>
      <c r="M46" s="1409"/>
      <c r="N46" s="1409"/>
      <c r="O46" s="1409"/>
      <c r="P46" s="3458"/>
      <c r="Q46" s="625" t="str">
        <f t="shared" si="11"/>
        <v>地下面积占比</v>
      </c>
      <c r="R46" s="1511" t="s">
        <v>1664</v>
      </c>
      <c r="S46" s="1512">
        <f t="shared" si="12"/>
        <v>100</v>
      </c>
      <c r="T46" s="1511" t="s">
        <v>1664</v>
      </c>
      <c r="U46" s="1512">
        <f t="shared" si="13"/>
        <v>100</v>
      </c>
      <c r="V46" s="1511" t="s">
        <v>1664</v>
      </c>
      <c r="W46" s="1512">
        <f t="shared" si="14"/>
        <v>100</v>
      </c>
      <c r="X46" s="1506"/>
      <c r="Y46" s="3462"/>
      <c r="Z46" s="1495" t="str">
        <f t="shared" si="15"/>
        <v>地下面积占比</v>
      </c>
      <c r="AA46" s="1495">
        <f t="shared" si="3"/>
        <v>1</v>
      </c>
      <c r="AB46" s="1495">
        <f t="shared" si="4"/>
        <v>1</v>
      </c>
      <c r="AC46" s="2220">
        <f t="shared" si="5"/>
        <v>1</v>
      </c>
    </row>
    <row r="47" spans="1:29" ht="15">
      <c r="A47" s="1681"/>
      <c r="B47" s="2212" t="s">
        <v>3384</v>
      </c>
      <c r="C47" s="3240" t="s">
        <v>3391</v>
      </c>
      <c r="D47" s="1349">
        <v>100</v>
      </c>
      <c r="E47" s="3241" t="s">
        <v>3389</v>
      </c>
      <c r="F47" s="1682">
        <f>SUMIF(131:131,E47,132:132)-SUMIF(131:131,C47,132:132)+100</f>
        <v>110</v>
      </c>
      <c r="G47" s="3241" t="s">
        <v>3390</v>
      </c>
      <c r="H47" s="1349">
        <f>SUMIF(131:131,G47,132:132)-SUMIF(131:131,C47,132:132)+100</f>
        <v>100</v>
      </c>
      <c r="I47" s="3241" t="s">
        <v>3385</v>
      </c>
      <c r="J47" s="1349">
        <f>SUMIF(131:131,I47,132:132)-SUMIF(131:131,C47,132:132)+100</f>
        <v>103</v>
      </c>
      <c r="K47" s="1480"/>
      <c r="L47" s="1474"/>
      <c r="M47" s="1409"/>
      <c r="N47" s="1409"/>
      <c r="O47" s="1409"/>
      <c r="P47" s="3459"/>
      <c r="Q47" s="625" t="str">
        <f t="shared" si="11"/>
        <v>地下用途</v>
      </c>
      <c r="R47" s="1511" t="s">
        <v>1664</v>
      </c>
      <c r="S47" s="1512">
        <f t="shared" si="12"/>
        <v>110</v>
      </c>
      <c r="T47" s="1511" t="s">
        <v>1664</v>
      </c>
      <c r="U47" s="1512">
        <f t="shared" si="13"/>
        <v>100</v>
      </c>
      <c r="V47" s="1511" t="s">
        <v>1664</v>
      </c>
      <c r="W47" s="1512">
        <f t="shared" si="14"/>
        <v>103</v>
      </c>
      <c r="X47" s="1506"/>
      <c r="Y47" s="3463"/>
      <c r="Z47" s="1495" t="str">
        <f t="shared" si="15"/>
        <v>地下用途</v>
      </c>
      <c r="AA47" s="1495">
        <f t="shared" si="3"/>
        <v>0.90909090909090906</v>
      </c>
      <c r="AB47" s="1495">
        <f t="shared" si="4"/>
        <v>1</v>
      </c>
      <c r="AC47" s="2220">
        <f t="shared" si="5"/>
        <v>0.970873786407767</v>
      </c>
    </row>
    <row r="48" spans="1:29" ht="15">
      <c r="A48" s="1392" t="s">
        <v>1711</v>
      </c>
      <c r="B48" s="1683"/>
      <c r="C48" s="1684" t="s">
        <v>124</v>
      </c>
      <c r="D48" s="1395"/>
      <c r="E48" s="2213">
        <f>乐华大厦!O14</f>
        <v>44386</v>
      </c>
      <c r="F48" s="1397"/>
      <c r="G48" s="2214">
        <f>悦荣中心!O20</f>
        <v>42597</v>
      </c>
      <c r="H48" s="1399"/>
      <c r="I48" s="2213">
        <f>新景商务楼!O44</f>
        <v>49448</v>
      </c>
      <c r="J48" s="1399"/>
      <c r="K48" s="1486"/>
      <c r="L48" s="1487"/>
      <c r="M48" s="1409"/>
      <c r="N48" s="1409"/>
      <c r="O48" s="1409"/>
      <c r="P48" s="3447" t="str">
        <f>A48</f>
        <v>成交单价（元/平方米）</v>
      </c>
      <c r="Q48" s="3448"/>
      <c r="R48" s="3446">
        <f>E48</f>
        <v>44386</v>
      </c>
      <c r="S48" s="3446"/>
      <c r="T48" s="3446">
        <f>G48</f>
        <v>42597</v>
      </c>
      <c r="U48" s="3446"/>
      <c r="V48" s="3446">
        <f>I48</f>
        <v>49448</v>
      </c>
      <c r="W48" s="3446"/>
      <c r="X48" s="1448"/>
      <c r="Y48" s="1520"/>
      <c r="Z48" s="1448"/>
      <c r="AA48" s="1448"/>
      <c r="AB48" s="1448"/>
      <c r="AC48" s="1355"/>
    </row>
    <row r="49" spans="1:30" ht="15">
      <c r="A49" s="1400" t="s">
        <v>1712</v>
      </c>
      <c r="B49" s="1685"/>
      <c r="C49" s="1686">
        <f>R50</f>
        <v>42708</v>
      </c>
      <c r="D49" s="1403" t="s">
        <v>1713</v>
      </c>
      <c r="E49" s="1687">
        <f>R49</f>
        <v>39807</v>
      </c>
      <c r="F49" s="1404"/>
      <c r="G49" s="1686">
        <f>T49</f>
        <v>39490</v>
      </c>
      <c r="H49" s="1404"/>
      <c r="I49" s="1687">
        <f>V49</f>
        <v>48826</v>
      </c>
      <c r="J49" s="1404"/>
      <c r="K49" s="1488">
        <f>F49+H49+J49</f>
        <v>0</v>
      </c>
      <c r="L49" s="1487"/>
      <c r="M49" s="1409"/>
      <c r="N49" s="1409"/>
      <c r="O49" s="1409"/>
      <c r="P49" s="3447" t="str">
        <f>A49</f>
        <v>比较价值（元/平方米）</v>
      </c>
      <c r="Q49" s="3448"/>
      <c r="R49" s="3446">
        <f>IF(F1="售价",ROUND(PRODUCT(R48,AA7:AA47),0),ROUND(PRODUCT(R48,AA7:AA47),1))</f>
        <v>39807</v>
      </c>
      <c r="S49" s="3446"/>
      <c r="T49" s="3446">
        <f>IF(F1="售价",ROUND(PRODUCT(T48,AB7:AB47),0),ROUND(PRODUCT(T48,AB7:AB47),1))</f>
        <v>39490</v>
      </c>
      <c r="U49" s="3446"/>
      <c r="V49" s="3446">
        <f>IF(F1="售价",ROUND(PRODUCT(V48,AC7:AC47),0),ROUND(PRODUCT(V48,AC7:AC47),1))</f>
        <v>48826</v>
      </c>
      <c r="W49" s="3446"/>
      <c r="X49" s="1448"/>
      <c r="Y49" s="1448"/>
      <c r="Z49" s="1448"/>
      <c r="AA49" s="1448"/>
      <c r="AB49" s="1448"/>
      <c r="AC49" s="1355"/>
    </row>
    <row r="50" spans="1:30" ht="15">
      <c r="A50" s="1406" t="s">
        <v>1714</v>
      </c>
      <c r="B50" s="1407"/>
      <c r="C50" s="1319">
        <f>R50</f>
        <v>42708</v>
      </c>
      <c r="D50" s="1319"/>
      <c r="E50" s="1319"/>
      <c r="F50" s="1319"/>
      <c r="G50" s="1319"/>
      <c r="H50" s="1319"/>
      <c r="I50" s="1319"/>
      <c r="J50" s="1408"/>
      <c r="K50" s="1489"/>
      <c r="L50" s="1487"/>
      <c r="M50" s="1409"/>
      <c r="N50" s="1409"/>
      <c r="O50" s="1409"/>
      <c r="P50" s="3449" t="str">
        <f>A50</f>
        <v>估价对象XX用房的比较价值（楼面单价，元/平方米）</v>
      </c>
      <c r="Q50" s="3450"/>
      <c r="R50" s="3451">
        <f>IF(F1="售价",ROUND(IF(D49="简单平均",AVERAGE(R49:V49),R49*F49+T49*H49+V49*J49),0),ROUND(IF(D49="简单平均",AVERAGE(R49:V49),R49*F49+T49*H49+V49*J49),1))</f>
        <v>42708</v>
      </c>
      <c r="S50" s="3451"/>
      <c r="T50" s="3451"/>
      <c r="U50" s="3451"/>
      <c r="V50" s="3451"/>
      <c r="W50" s="3451"/>
      <c r="X50" s="1897"/>
      <c r="Y50" s="1897"/>
      <c r="Z50" s="1897"/>
      <c r="AA50" s="1897"/>
      <c r="AB50" s="1897"/>
      <c r="AC50" s="1898"/>
    </row>
    <row r="51" spans="1:30">
      <c r="A51" s="1409"/>
      <c r="B51" s="1409"/>
      <c r="C51" s="1409"/>
      <c r="D51" s="1409"/>
      <c r="E51" s="1409"/>
      <c r="F51" s="1409"/>
      <c r="G51" s="1410"/>
      <c r="H51" s="1409"/>
      <c r="I51" s="1409"/>
      <c r="J51" s="1409"/>
      <c r="K51" s="1491"/>
      <c r="L51" s="1492"/>
      <c r="M51" s="1409"/>
      <c r="N51" s="1409"/>
      <c r="O51" s="1409"/>
      <c r="P51" s="1749"/>
      <c r="Q51" s="1409"/>
      <c r="R51" s="1409"/>
      <c r="S51" s="1409"/>
      <c r="T51" s="1409"/>
      <c r="U51" s="1409"/>
      <c r="V51" s="1409"/>
      <c r="W51" s="1409"/>
      <c r="X51" s="1409"/>
      <c r="Y51" s="1409"/>
      <c r="Z51" s="1409"/>
      <c r="AA51" s="1409"/>
      <c r="AB51" s="1409"/>
      <c r="AC51" s="1409"/>
    </row>
    <row r="52" spans="1:30">
      <c r="A52" s="1409"/>
      <c r="B52" s="1409"/>
      <c r="C52" s="1409"/>
      <c r="D52" s="1409"/>
      <c r="E52" s="1409"/>
      <c r="F52" s="1409"/>
      <c r="G52" s="1409"/>
      <c r="H52" s="1409"/>
      <c r="I52" s="1409"/>
      <c r="J52" s="1409"/>
      <c r="K52" s="1491"/>
      <c r="L52" s="1492"/>
      <c r="M52" s="1409"/>
      <c r="N52" s="1409"/>
      <c r="O52" s="1409"/>
      <c r="P52" s="1749"/>
      <c r="Q52" s="1409"/>
      <c r="R52" s="1409"/>
      <c r="S52" s="1409"/>
      <c r="T52" s="1409"/>
      <c r="U52" s="1409"/>
      <c r="V52" s="1409"/>
      <c r="W52" s="1409"/>
      <c r="X52" s="1409"/>
      <c r="Y52" s="1409"/>
      <c r="Z52" s="1409"/>
      <c r="AA52" s="1409"/>
      <c r="AB52" s="1409"/>
      <c r="AC52" s="1409"/>
    </row>
    <row r="53" spans="1:30" ht="13.5" customHeight="1">
      <c r="A53" s="1409"/>
      <c r="B53" s="1409"/>
      <c r="C53" s="1411" t="s">
        <v>1715</v>
      </c>
      <c r="D53" s="667"/>
      <c r="E53" s="1412">
        <f>IF(E48&lt;E49,E49/E48-1,E48/E49-1)</f>
        <v>0.11503001984575567</v>
      </c>
      <c r="F53" s="1413" t="str">
        <f>IF(OR(E53&gt;=0.3,E53&lt;=-0.3),"超过30%","")</f>
        <v/>
      </c>
      <c r="G53" s="1412">
        <f>IF(G48&lt;G49,G49/G48-1,G48/G49-1)</f>
        <v>7.8678146366168544E-2</v>
      </c>
      <c r="H53" s="1413" t="str">
        <f>IF(OR(G53&gt;=0.3,G53&lt;=-0.3),"超过30%","")</f>
        <v/>
      </c>
      <c r="I53" s="1412">
        <f>IF(I48&lt;I49,I49/I48-1,I48/I49-1)</f>
        <v>1.2739114406258967E-2</v>
      </c>
      <c r="J53" s="1413" t="str">
        <f>IF(OR(I53&gt;=0.3,I53&lt;=-0.3),"超过30%","")</f>
        <v/>
      </c>
      <c r="K53" s="1491"/>
      <c r="L53" s="1492"/>
      <c r="M53" s="1409"/>
      <c r="N53" s="1409"/>
      <c r="O53" s="1409"/>
      <c r="P53" s="1749"/>
      <c r="Q53" s="1409"/>
      <c r="R53" s="1409"/>
      <c r="S53" s="1409"/>
      <c r="T53" s="1409"/>
      <c r="U53" s="1409"/>
      <c r="V53" s="1409"/>
      <c r="W53" s="1409"/>
      <c r="X53" s="1409"/>
      <c r="Y53" s="1409"/>
      <c r="Z53" s="1409"/>
      <c r="AA53" s="1409"/>
      <c r="AB53" s="1409"/>
      <c r="AC53" s="1409"/>
    </row>
    <row r="54" spans="1:30" ht="13.5" customHeight="1">
      <c r="A54" s="1409"/>
      <c r="B54" s="1409"/>
      <c r="C54" s="1411" t="s">
        <v>1716</v>
      </c>
      <c r="D54" s="666"/>
      <c r="E54" s="1412">
        <f>IF(E49&lt;G49,G49/E49-1,E49/G49-1)</f>
        <v>8.027348695872405E-3</v>
      </c>
      <c r="F54" s="1413" t="str">
        <f>IF(OR(E54&gt;=0.2,E54&lt;=-0.2),"超过20%","")</f>
        <v/>
      </c>
      <c r="G54" s="1412">
        <f>IF(G49&lt;I49,I49/G49-1,G49/I49-1)</f>
        <v>0.23641428209673343</v>
      </c>
      <c r="H54" s="1413" t="str">
        <f>IF(OR(G54&gt;=0.2,G54&lt;=-0.2),"超过20%","")</f>
        <v>超过20%</v>
      </c>
      <c r="I54" s="1412">
        <f>IF(I49&lt;E49,E49/I49-1,I49/E49-1)</f>
        <v>0.22656819152410379</v>
      </c>
      <c r="J54" s="1413" t="str">
        <f>IF(OR(I54&gt;=0.2,I54&lt;=-0.2),"超过20%","")</f>
        <v>超过20%</v>
      </c>
      <c r="K54" s="1491"/>
      <c r="L54" s="1492"/>
      <c r="M54" s="1409"/>
      <c r="N54" s="1409"/>
      <c r="O54" s="1409"/>
      <c r="P54" s="1749"/>
      <c r="Q54" s="1409"/>
      <c r="R54" s="1409"/>
      <c r="S54" s="1409"/>
      <c r="T54" s="1409"/>
      <c r="U54" s="1409"/>
      <c r="V54" s="1409"/>
      <c r="W54" s="1409"/>
      <c r="X54" s="1409"/>
      <c r="Y54" s="1409"/>
      <c r="Z54" s="1409"/>
      <c r="AA54" s="1409"/>
      <c r="AB54" s="1409"/>
      <c r="AC54" s="1409"/>
    </row>
    <row r="55" spans="1:30" s="1296" customFormat="1" ht="13.5" customHeight="1">
      <c r="A55" s="1414"/>
      <c r="B55" s="1414"/>
      <c r="C55" s="1411" t="s">
        <v>1717</v>
      </c>
      <c r="D55" s="666"/>
      <c r="E55" s="1412">
        <f>IF(E48&lt;G48,G48/E48-1,E48/G48-1)</f>
        <v>4.1998262788459195E-2</v>
      </c>
      <c r="F55" s="1413" t="str">
        <f>IF(OR(E55&gt;=0.3,E55&lt;=-0.3),"超过30%","")</f>
        <v/>
      </c>
      <c r="G55" s="1412">
        <f>IF(G48&lt;I48,I48/G48-1,G48/I48-1)</f>
        <v>0.16083292250627967</v>
      </c>
      <c r="H55" s="1413" t="str">
        <f>IF(OR(G55&gt;=0.3,G55&lt;=-0.3),"超过30%","")</f>
        <v/>
      </c>
      <c r="I55" s="1412">
        <f>IF(I48&lt;E48,E48/I48-1,I48/E48-1)</f>
        <v>0.11404496913441164</v>
      </c>
      <c r="J55" s="1413" t="str">
        <f>IF(OR(I55&gt;=0.3,I55&lt;=-0.3),"超过30%","")</f>
        <v/>
      </c>
      <c r="K55" s="1493"/>
      <c r="L55" s="1494"/>
      <c r="M55" s="1414"/>
      <c r="N55" s="1414"/>
      <c r="O55" s="1414"/>
      <c r="P55" s="1750"/>
      <c r="Q55" s="1414"/>
      <c r="R55" s="1414"/>
      <c r="S55" s="1414"/>
      <c r="T55" s="1414"/>
      <c r="U55" s="1414"/>
      <c r="V55" s="1414"/>
      <c r="W55" s="1414"/>
      <c r="X55" s="1414"/>
      <c r="Y55" s="1414"/>
      <c r="Z55" s="1414"/>
      <c r="AA55" s="1414"/>
      <c r="AB55" s="1414"/>
      <c r="AC55" s="1414"/>
    </row>
    <row r="56" spans="1:30" s="1296" customFormat="1">
      <c r="A56" s="1414"/>
      <c r="B56" s="1415"/>
      <c r="C56" s="1688"/>
      <c r="D56" s="1414"/>
      <c r="E56" s="1414"/>
      <c r="F56" s="1414"/>
      <c r="G56" s="1414"/>
      <c r="H56" s="1414"/>
      <c r="I56" s="1414"/>
      <c r="J56" s="1414"/>
      <c r="K56" s="1493"/>
      <c r="L56" s="1494"/>
      <c r="M56" s="1414"/>
      <c r="N56" s="1414"/>
      <c r="O56" s="1414"/>
      <c r="P56" s="1750"/>
      <c r="Q56" s="1414"/>
      <c r="R56" s="1414"/>
      <c r="S56" s="1414"/>
      <c r="T56" s="1414"/>
      <c r="U56" s="1414"/>
      <c r="V56" s="1414"/>
      <c r="W56" s="1414"/>
      <c r="X56" s="1414"/>
      <c r="Y56" s="1414"/>
      <c r="Z56" s="1414"/>
      <c r="AA56" s="1414"/>
      <c r="AB56" s="1414"/>
      <c r="AC56" s="1414"/>
    </row>
    <row r="57" spans="1:30">
      <c r="A57" s="1409"/>
      <c r="B57" s="1415"/>
      <c r="C57" s="1688"/>
      <c r="D57" s="1409"/>
      <c r="E57" s="1409"/>
      <c r="F57" s="1409"/>
      <c r="G57" s="1409"/>
      <c r="H57" s="1409"/>
      <c r="I57" s="1409"/>
      <c r="J57" s="1409"/>
      <c r="K57" s="1491"/>
      <c r="L57" s="1492"/>
      <c r="M57" s="1409"/>
      <c r="N57" s="1409"/>
      <c r="O57" s="1409"/>
      <c r="P57" s="1749"/>
      <c r="Q57" s="1409"/>
      <c r="R57" s="1409"/>
      <c r="S57" s="1409"/>
      <c r="T57" s="1409"/>
      <c r="U57" s="1409"/>
      <c r="V57" s="1409"/>
      <c r="W57" s="1409"/>
      <c r="X57" s="1409"/>
      <c r="Y57" s="1409"/>
      <c r="Z57" s="1409"/>
      <c r="AA57" s="1409"/>
      <c r="AB57" s="1409"/>
      <c r="AC57" s="1409"/>
    </row>
    <row r="58" spans="1:30" ht="21">
      <c r="A58" s="1447" t="s">
        <v>1718</v>
      </c>
      <c r="B58" s="1448"/>
      <c r="C58" s="1449"/>
      <c r="D58" s="1449"/>
      <c r="E58" s="1449"/>
      <c r="F58" s="1450"/>
      <c r="G58" s="1450"/>
      <c r="H58" s="1449"/>
      <c r="I58" s="1449"/>
      <c r="J58" s="1449"/>
      <c r="K58" s="1501"/>
      <c r="L58" s="1648"/>
      <c r="M58" s="1503"/>
      <c r="N58" s="1504"/>
      <c r="O58" s="1504"/>
      <c r="P58" s="1751"/>
      <c r="Q58" s="1516"/>
      <c r="R58" s="1409"/>
      <c r="S58" s="1409"/>
      <c r="T58" s="1409"/>
      <c r="U58" s="1409"/>
      <c r="V58" s="1409"/>
      <c r="W58" s="1409"/>
      <c r="X58" s="1409"/>
      <c r="Y58" s="1409"/>
      <c r="Z58" s="1409"/>
      <c r="AA58" s="1409"/>
      <c r="AB58" s="1409"/>
      <c r="AC58" s="1409"/>
    </row>
    <row r="59" spans="1:30" s="1298" customFormat="1" ht="15">
      <c r="A59" s="1689" t="s">
        <v>1662</v>
      </c>
      <c r="B59" s="1690"/>
      <c r="C59" s="1691" t="str">
        <f>YEAR(C7)&amp;"-"&amp;MONTH(C7)</f>
        <v>2025-8</v>
      </c>
      <c r="D59" s="1692">
        <f>EDATE(C59,-1)</f>
        <v>45839</v>
      </c>
      <c r="E59" s="1692">
        <f>EDATE(D59,-1)</f>
        <v>45809</v>
      </c>
      <c r="F59" s="1692">
        <f t="shared" ref="F59:O59" si="16">EDATE(E59,-1)</f>
        <v>45778</v>
      </c>
      <c r="G59" s="1692">
        <f t="shared" si="16"/>
        <v>45748</v>
      </c>
      <c r="H59" s="1692">
        <f t="shared" si="16"/>
        <v>45717</v>
      </c>
      <c r="I59" s="1692">
        <f t="shared" si="16"/>
        <v>45689</v>
      </c>
      <c r="J59" s="1692">
        <f t="shared" si="16"/>
        <v>45658</v>
      </c>
      <c r="K59" s="1692">
        <f t="shared" si="16"/>
        <v>45627</v>
      </c>
      <c r="L59" s="1692">
        <f t="shared" si="16"/>
        <v>45597</v>
      </c>
      <c r="M59" s="1692">
        <f t="shared" si="16"/>
        <v>45566</v>
      </c>
      <c r="N59" s="1692">
        <f t="shared" si="16"/>
        <v>45536</v>
      </c>
      <c r="O59" s="1692">
        <f t="shared" si="16"/>
        <v>45505</v>
      </c>
      <c r="P59" s="2217">
        <f t="shared" ref="P59" si="17">EDATE(O59,-1)</f>
        <v>45474</v>
      </c>
      <c r="Q59" s="2217">
        <f t="shared" ref="Q59" si="18">EDATE(P59,-1)</f>
        <v>45444</v>
      </c>
      <c r="R59" s="2217">
        <f t="shared" ref="R59" si="19">EDATE(Q59,-1)</f>
        <v>45413</v>
      </c>
      <c r="S59" s="2217">
        <f t="shared" ref="S59" si="20">EDATE(R59,-1)</f>
        <v>45383</v>
      </c>
      <c r="T59" s="2217">
        <f t="shared" ref="T59" si="21">EDATE(S59,-1)</f>
        <v>45352</v>
      </c>
      <c r="U59" s="2217">
        <f t="shared" ref="U59" si="22">EDATE(T59,-1)</f>
        <v>45323</v>
      </c>
      <c r="V59" s="2217">
        <f t="shared" ref="V59" si="23">EDATE(U59,-1)</f>
        <v>45292</v>
      </c>
      <c r="W59" s="2217">
        <f t="shared" ref="W59" si="24">EDATE(V59,-1)</f>
        <v>45261</v>
      </c>
      <c r="X59" s="2217">
        <f t="shared" ref="X59" si="25">EDATE(W59,-1)</f>
        <v>45231</v>
      </c>
      <c r="Y59" s="2217">
        <f t="shared" ref="Y59" si="26">EDATE(X59,-1)</f>
        <v>45200</v>
      </c>
      <c r="Z59" s="2217">
        <f t="shared" ref="Z59" si="27">EDATE(Y59,-1)</f>
        <v>45170</v>
      </c>
      <c r="AA59" s="2217">
        <f t="shared" ref="AA59" si="28">EDATE(Z59,-1)</f>
        <v>45139</v>
      </c>
      <c r="AB59" s="2217">
        <f t="shared" ref="AB59" si="29">EDATE(AA59,-1)</f>
        <v>45108</v>
      </c>
      <c r="AC59" s="2217">
        <f t="shared" ref="AC59" si="30">EDATE(AB59,-1)</f>
        <v>45078</v>
      </c>
      <c r="AD59" s="2217">
        <f t="shared" ref="AD59" si="31">EDATE(AC59,-1)</f>
        <v>45047</v>
      </c>
    </row>
    <row r="60" spans="1:30" s="1293" customFormat="1" ht="15">
      <c r="A60" s="1366"/>
      <c r="B60" s="1532"/>
      <c r="C60" s="1693">
        <v>100</v>
      </c>
      <c r="D60" s="1536">
        <v>100</v>
      </c>
      <c r="E60" s="1536">
        <v>100</v>
      </c>
      <c r="F60" s="1536">
        <v>100</v>
      </c>
      <c r="G60" s="1536">
        <v>100</v>
      </c>
      <c r="H60" s="1536">
        <v>100</v>
      </c>
      <c r="I60" s="1536">
        <v>100</v>
      </c>
      <c r="J60" s="1536">
        <v>100</v>
      </c>
      <c r="K60" s="1536">
        <v>100</v>
      </c>
      <c r="L60" s="1536">
        <v>100</v>
      </c>
      <c r="M60" s="1536">
        <v>100</v>
      </c>
      <c r="N60" s="1536">
        <v>100</v>
      </c>
      <c r="O60" s="1536">
        <v>100</v>
      </c>
      <c r="P60" s="1536">
        <v>100</v>
      </c>
      <c r="Q60" s="1536">
        <v>100</v>
      </c>
      <c r="R60" s="1536">
        <v>100</v>
      </c>
      <c r="S60" s="1536">
        <v>100</v>
      </c>
      <c r="T60" s="1536">
        <v>100</v>
      </c>
      <c r="U60" s="1536">
        <v>100</v>
      </c>
      <c r="V60" s="1536">
        <v>100</v>
      </c>
      <c r="W60" s="1536">
        <v>100</v>
      </c>
      <c r="X60" s="1536">
        <v>100</v>
      </c>
      <c r="Y60" s="1536">
        <v>100</v>
      </c>
      <c r="Z60" s="1536">
        <v>100</v>
      </c>
      <c r="AA60" s="1536">
        <v>100</v>
      </c>
      <c r="AB60" s="1536">
        <v>100</v>
      </c>
      <c r="AC60" s="1536">
        <v>100</v>
      </c>
      <c r="AD60" s="1536">
        <v>100</v>
      </c>
    </row>
    <row r="61" spans="1:30" s="1293" customFormat="1" ht="15">
      <c r="A61" s="1527" t="s">
        <v>1719</v>
      </c>
      <c r="B61" s="1528"/>
      <c r="C61" s="1529"/>
      <c r="D61" s="1530"/>
      <c r="E61" s="1530"/>
      <c r="F61" s="1530"/>
      <c r="G61" s="1530"/>
      <c r="H61" s="1530"/>
      <c r="I61" s="1530"/>
      <c r="J61" s="1530"/>
      <c r="K61" s="1530"/>
      <c r="L61" s="1530"/>
      <c r="M61" s="1570"/>
      <c r="N61" s="1530"/>
      <c r="O61" s="1570"/>
      <c r="P61" s="1753"/>
      <c r="Q61" s="1516"/>
      <c r="R61" s="1464"/>
      <c r="S61" s="1464"/>
      <c r="T61" s="1464"/>
      <c r="U61" s="1464"/>
      <c r="V61" s="1464"/>
      <c r="W61" s="1464"/>
      <c r="X61" s="1464"/>
      <c r="Y61" s="1464"/>
      <c r="Z61" s="1464"/>
      <c r="AA61" s="1464"/>
      <c r="AB61" s="1464"/>
      <c r="AC61" s="1464"/>
    </row>
    <row r="62" spans="1:30" s="1293" customFormat="1" ht="15">
      <c r="A62" s="1531" t="s">
        <v>1665</v>
      </c>
      <c r="B62" s="1532"/>
      <c r="C62" s="1533" t="s">
        <v>1720</v>
      </c>
      <c r="D62" s="1534"/>
      <c r="E62" s="1534"/>
      <c r="F62" s="1534"/>
      <c r="G62" s="1534"/>
      <c r="H62" s="1534"/>
      <c r="I62" s="1534"/>
      <c r="J62" s="1534"/>
      <c r="K62" s="1534"/>
      <c r="L62" s="1572"/>
      <c r="M62" s="1573"/>
      <c r="N62" s="1574"/>
      <c r="O62" s="1574"/>
      <c r="P62" s="1754"/>
      <c r="Q62" s="1516"/>
      <c r="R62" s="1464"/>
      <c r="S62" s="1464"/>
      <c r="T62" s="1464"/>
      <c r="U62" s="1464"/>
      <c r="V62" s="1464"/>
      <c r="W62" s="1464"/>
      <c r="X62" s="1464"/>
      <c r="Y62" s="1464"/>
      <c r="Z62" s="1464"/>
      <c r="AA62" s="1464"/>
      <c r="AB62" s="1464"/>
      <c r="AC62" s="1464"/>
    </row>
    <row r="63" spans="1:30" s="1293" customFormat="1" ht="15">
      <c r="A63" s="1531"/>
      <c r="B63" s="1532"/>
      <c r="C63" s="1811">
        <v>100</v>
      </c>
      <c r="D63" s="1536"/>
      <c r="E63" s="1536"/>
      <c r="F63" s="1536"/>
      <c r="G63" s="1536"/>
      <c r="H63" s="1536"/>
      <c r="I63" s="1536"/>
      <c r="J63" s="1536"/>
      <c r="K63" s="1536"/>
      <c r="L63" s="1536"/>
      <c r="M63" s="1575"/>
      <c r="N63" s="1574"/>
      <c r="O63" s="1574"/>
      <c r="P63" s="1753"/>
      <c r="Q63" s="1516"/>
      <c r="R63" s="1464"/>
      <c r="S63" s="1464"/>
      <c r="T63" s="1464"/>
      <c r="U63" s="1464"/>
      <c r="V63" s="1464"/>
      <c r="W63" s="1464"/>
      <c r="X63" s="1464"/>
      <c r="Y63" s="1464"/>
      <c r="Z63" s="1464"/>
      <c r="AA63" s="1464"/>
      <c r="AB63" s="1464"/>
      <c r="AC63" s="1464"/>
    </row>
    <row r="64" spans="1:30">
      <c r="A64" s="1350" t="s">
        <v>1721</v>
      </c>
      <c r="B64" s="1537" t="s">
        <v>1669</v>
      </c>
      <c r="C64" s="621" t="str">
        <f>C9</f>
        <v>商业办公</v>
      </c>
      <c r="D64" s="2215" t="s">
        <v>229</v>
      </c>
      <c r="E64" s="2215" t="s">
        <v>230</v>
      </c>
      <c r="F64" s="1484"/>
      <c r="G64" s="1484"/>
      <c r="H64" s="1484"/>
      <c r="I64" s="1484"/>
      <c r="J64" s="1484"/>
      <c r="K64" s="1576"/>
      <c r="L64" s="1577"/>
      <c r="M64" s="1578"/>
      <c r="N64" s="1579"/>
      <c r="O64" s="1579"/>
      <c r="P64" s="1755"/>
      <c r="Q64" s="1516"/>
      <c r="R64" s="1409"/>
      <c r="S64" s="1409"/>
      <c r="T64" s="1409"/>
      <c r="U64" s="1409"/>
      <c r="V64" s="1409"/>
      <c r="W64" s="1409"/>
      <c r="X64" s="1409"/>
      <c r="Y64" s="1409"/>
      <c r="Z64" s="1409"/>
      <c r="AA64" s="1409"/>
      <c r="AB64" s="1409"/>
      <c r="AC64" s="1409"/>
    </row>
    <row r="65" spans="1:29" ht="15">
      <c r="A65" s="1337"/>
      <c r="B65" s="1538"/>
      <c r="C65" s="1539">
        <v>100</v>
      </c>
      <c r="D65" s="1539">
        <v>103</v>
      </c>
      <c r="E65" s="1539">
        <v>97</v>
      </c>
      <c r="F65" s="1539"/>
      <c r="G65" s="1539"/>
      <c r="H65" s="1539"/>
      <c r="I65" s="1539"/>
      <c r="J65" s="1539"/>
      <c r="K65" s="1539"/>
      <c r="L65" s="1539"/>
      <c r="M65" s="1580"/>
      <c r="N65" s="1581"/>
      <c r="O65" s="1581"/>
      <c r="P65" s="1755"/>
      <c r="Q65" s="1516"/>
      <c r="R65" s="1409"/>
      <c r="S65" s="1409"/>
      <c r="T65" s="1409"/>
      <c r="U65" s="1409"/>
      <c r="V65" s="1409"/>
      <c r="W65" s="1409"/>
      <c r="X65" s="1409"/>
      <c r="Y65" s="1409"/>
      <c r="Z65" s="1409"/>
      <c r="AA65" s="1409"/>
      <c r="AB65" s="1409"/>
      <c r="AC65" s="1409"/>
    </row>
    <row r="66" spans="1:29" ht="27">
      <c r="A66" s="1337"/>
      <c r="B66" s="1540" t="s">
        <v>1672</v>
      </c>
      <c r="C66" s="1562" t="s">
        <v>3382</v>
      </c>
      <c r="D66" s="1562" t="s">
        <v>1674</v>
      </c>
      <c r="E66" s="1562" t="s">
        <v>1673</v>
      </c>
      <c r="F66" s="1562"/>
      <c r="G66" s="1562"/>
      <c r="H66" s="1562"/>
      <c r="I66" s="1562"/>
      <c r="J66" s="1562"/>
      <c r="K66" s="1607"/>
      <c r="L66" s="1608"/>
      <c r="M66" s="1609"/>
      <c r="N66" s="1579"/>
      <c r="O66" s="1579"/>
      <c r="P66" s="1755"/>
      <c r="Q66" s="1516"/>
      <c r="R66" s="1409"/>
      <c r="S66" s="1409"/>
      <c r="T66" s="1409"/>
      <c r="U66" s="1409"/>
      <c r="V66" s="1409"/>
      <c r="W66" s="1409"/>
      <c r="X66" s="1409"/>
      <c r="Y66" s="1409"/>
      <c r="Z66" s="1409"/>
      <c r="AA66" s="1409"/>
      <c r="AB66" s="1409"/>
      <c r="AC66" s="1409"/>
    </row>
    <row r="67" spans="1:29" ht="15">
      <c r="A67" s="1337"/>
      <c r="B67" s="1542"/>
      <c r="C67" s="1539">
        <v>100</v>
      </c>
      <c r="D67" s="1539">
        <f>C67-5</f>
        <v>95</v>
      </c>
      <c r="E67" s="1539">
        <f>D67-5</f>
        <v>90</v>
      </c>
      <c r="F67" s="1539"/>
      <c r="G67" s="1539"/>
      <c r="H67" s="1539"/>
      <c r="I67" s="1539"/>
      <c r="J67" s="1539"/>
      <c r="K67" s="1539"/>
      <c r="L67" s="1539"/>
      <c r="M67" s="1580"/>
      <c r="N67" s="1581"/>
      <c r="O67" s="1581"/>
      <c r="P67" s="1755"/>
      <c r="Q67" s="1516"/>
      <c r="R67" s="1409"/>
      <c r="S67" s="1409"/>
      <c r="T67" s="1409"/>
      <c r="U67" s="1409"/>
      <c r="V67" s="1409"/>
      <c r="W67" s="1409"/>
      <c r="X67" s="1409"/>
      <c r="Y67" s="1409"/>
      <c r="Z67" s="1409"/>
      <c r="AA67" s="1409"/>
      <c r="AB67" s="1409"/>
      <c r="AC67" s="1409"/>
    </row>
    <row r="68" spans="1:29" ht="15">
      <c r="A68" s="1337"/>
      <c r="B68" s="1544" t="s">
        <v>1675</v>
      </c>
      <c r="C68" s="1545" t="str">
        <f>C69&amp;"（含）"&amp;"-"&amp;D69</f>
        <v>0（含）-3</v>
      </c>
      <c r="D68" s="1545" t="str">
        <f t="shared" ref="D68:L68" si="32">D69&amp;"（含）"&amp;"-"&amp;E69</f>
        <v>3（含）-</v>
      </c>
      <c r="E68" s="1545" t="str">
        <f t="shared" si="32"/>
        <v>（含）-</v>
      </c>
      <c r="F68" s="1545" t="str">
        <f t="shared" si="32"/>
        <v>（含）-</v>
      </c>
      <c r="G68" s="1545" t="str">
        <f t="shared" si="32"/>
        <v>（含）-</v>
      </c>
      <c r="H68" s="1545" t="str">
        <f t="shared" si="32"/>
        <v>（含）-</v>
      </c>
      <c r="I68" s="1545" t="str">
        <f t="shared" si="32"/>
        <v>（含）-</v>
      </c>
      <c r="J68" s="1545" t="str">
        <f t="shared" si="32"/>
        <v>（含）-</v>
      </c>
      <c r="K68" s="1545" t="str">
        <f t="shared" si="32"/>
        <v>（含）-</v>
      </c>
      <c r="L68" s="1545" t="str">
        <f t="shared" si="32"/>
        <v>（含）-</v>
      </c>
      <c r="M68" s="1357" t="str">
        <f>M69&amp;"（含）"&amp;"-"&amp;P69</f>
        <v>（含）-</v>
      </c>
      <c r="N68" s="1581"/>
      <c r="O68" s="1581"/>
      <c r="P68" s="1755"/>
      <c r="Q68" s="1516"/>
      <c r="R68" s="1409"/>
      <c r="S68" s="1409"/>
      <c r="T68" s="1409"/>
      <c r="U68" s="1409"/>
      <c r="V68" s="1409"/>
      <c r="W68" s="1409"/>
      <c r="X68" s="1409"/>
      <c r="Y68" s="1409"/>
      <c r="Z68" s="1409"/>
      <c r="AA68" s="1409"/>
      <c r="AB68" s="1409"/>
      <c r="AC68" s="1409"/>
    </row>
    <row r="69" spans="1:29" ht="15">
      <c r="A69" s="1337"/>
      <c r="B69" s="1546"/>
      <c r="C69" s="1343">
        <v>0</v>
      </c>
      <c r="D69" s="1343">
        <v>3</v>
      </c>
      <c r="E69" s="1343"/>
      <c r="F69" s="1343"/>
      <c r="G69" s="1343"/>
      <c r="H69" s="1343"/>
      <c r="I69" s="1343"/>
      <c r="J69" s="1343"/>
      <c r="K69" s="1586"/>
      <c r="L69" s="1587"/>
      <c r="M69" s="1588"/>
      <c r="N69" s="1579"/>
      <c r="O69" s="1579"/>
      <c r="P69" s="1755"/>
      <c r="Q69" s="1516"/>
      <c r="R69" s="1409"/>
      <c r="S69" s="1409"/>
      <c r="T69" s="1409"/>
      <c r="U69" s="1409"/>
      <c r="V69" s="1409"/>
      <c r="W69" s="1409"/>
      <c r="X69" s="1409"/>
      <c r="Y69" s="1409"/>
      <c r="Z69" s="1409"/>
      <c r="AA69" s="1409"/>
      <c r="AB69" s="1409"/>
      <c r="AC69" s="1409"/>
    </row>
    <row r="70" spans="1:29" ht="15">
      <c r="A70" s="1337"/>
      <c r="B70" s="1538"/>
      <c r="C70" s="1543">
        <v>100</v>
      </c>
      <c r="D70" s="1543">
        <f t="shared" ref="D70:M70" si="33">C70-$K11</f>
        <v>100</v>
      </c>
      <c r="E70" s="1543">
        <f t="shared" si="33"/>
        <v>100</v>
      </c>
      <c r="F70" s="1543">
        <f t="shared" si="33"/>
        <v>100</v>
      </c>
      <c r="G70" s="1543">
        <f t="shared" si="33"/>
        <v>100</v>
      </c>
      <c r="H70" s="1543">
        <f t="shared" si="33"/>
        <v>100</v>
      </c>
      <c r="I70" s="1543">
        <f t="shared" si="33"/>
        <v>100</v>
      </c>
      <c r="J70" s="1543">
        <f t="shared" si="33"/>
        <v>100</v>
      </c>
      <c r="K70" s="1543">
        <f t="shared" si="33"/>
        <v>100</v>
      </c>
      <c r="L70" s="1543">
        <f t="shared" si="33"/>
        <v>100</v>
      </c>
      <c r="M70" s="1585">
        <f t="shared" si="33"/>
        <v>100</v>
      </c>
      <c r="N70" s="1581"/>
      <c r="O70" s="1581"/>
      <c r="P70" s="1755"/>
      <c r="Q70" s="1516"/>
      <c r="R70" s="1409"/>
      <c r="S70" s="1409"/>
      <c r="T70" s="1409"/>
      <c r="U70" s="1409"/>
      <c r="V70" s="1409"/>
      <c r="W70" s="1409"/>
      <c r="X70" s="1409"/>
      <c r="Y70" s="1409"/>
      <c r="Z70" s="1409"/>
      <c r="AA70" s="1409"/>
      <c r="AB70" s="1409"/>
      <c r="AC70" s="1409"/>
    </row>
    <row r="71" spans="1:29" s="1295" customFormat="1" ht="15">
      <c r="A71" s="1547"/>
      <c r="B71" s="1540" t="str">
        <f>B12</f>
        <v>建成年代</v>
      </c>
      <c r="C71" s="1548"/>
      <c r="D71" s="1548"/>
      <c r="E71" s="1548"/>
      <c r="F71" s="1548"/>
      <c r="G71" s="1548"/>
      <c r="H71" s="1549"/>
      <c r="I71" s="1549"/>
      <c r="J71" s="1549"/>
      <c r="K71" s="1549"/>
      <c r="L71" s="1589"/>
      <c r="M71" s="1590"/>
      <c r="N71" s="1591"/>
      <c r="O71" s="1591"/>
      <c r="P71" s="1756"/>
      <c r="Q71" s="1619"/>
      <c r="R71" s="1482"/>
      <c r="S71" s="1482"/>
      <c r="T71" s="1482"/>
      <c r="U71" s="1482"/>
      <c r="V71" s="1482"/>
      <c r="W71" s="1482"/>
      <c r="X71" s="1482"/>
      <c r="Y71" s="1482"/>
      <c r="Z71" s="1482"/>
      <c r="AA71" s="1482"/>
      <c r="AB71" s="1482"/>
      <c r="AC71" s="1482"/>
    </row>
    <row r="72" spans="1:29" s="1295" customFormat="1" ht="15">
      <c r="A72" s="1547"/>
      <c r="B72" s="1542"/>
      <c r="C72" s="1550"/>
      <c r="D72" s="1539"/>
      <c r="E72" s="1539"/>
      <c r="F72" s="1539"/>
      <c r="G72" s="1539"/>
      <c r="H72" s="1539"/>
      <c r="I72" s="1539"/>
      <c r="J72" s="1539"/>
      <c r="K72" s="1539"/>
      <c r="L72" s="1539"/>
      <c r="M72" s="1580"/>
      <c r="N72" s="1581"/>
      <c r="O72" s="1581"/>
      <c r="P72" s="1756"/>
      <c r="Q72" s="1619"/>
      <c r="R72" s="1482"/>
      <c r="S72" s="1482"/>
      <c r="T72" s="1482"/>
      <c r="U72" s="1482"/>
      <c r="V72" s="1482"/>
      <c r="W72" s="1482"/>
      <c r="X72" s="1482"/>
      <c r="Y72" s="1482"/>
      <c r="Z72" s="1482"/>
      <c r="AA72" s="1482"/>
      <c r="AB72" s="1482"/>
      <c r="AC72" s="1482"/>
    </row>
    <row r="73" spans="1:29" s="1295" customFormat="1" ht="15">
      <c r="A73" s="1547"/>
      <c r="B73" s="1540">
        <f>B13</f>
        <v>111</v>
      </c>
      <c r="C73" s="1548"/>
      <c r="D73" s="1548"/>
      <c r="E73" s="1548"/>
      <c r="F73" s="1548"/>
      <c r="G73" s="1548"/>
      <c r="H73" s="1549"/>
      <c r="I73" s="1549"/>
      <c r="J73" s="1549"/>
      <c r="K73" s="1549"/>
      <c r="L73" s="1589"/>
      <c r="M73" s="1590"/>
      <c r="N73" s="1591"/>
      <c r="O73" s="1591"/>
      <c r="P73" s="1757"/>
      <c r="Q73" s="1620"/>
      <c r="R73" s="1482"/>
      <c r="S73" s="1482"/>
      <c r="T73" s="1482"/>
      <c r="U73" s="1482"/>
      <c r="V73" s="1482"/>
      <c r="W73" s="1482"/>
      <c r="X73" s="1482"/>
      <c r="Y73" s="1482"/>
      <c r="Z73" s="1482"/>
      <c r="AA73" s="1482"/>
      <c r="AB73" s="1482"/>
      <c r="AC73" s="1482"/>
    </row>
    <row r="74" spans="1:29" s="1295" customFormat="1" ht="15">
      <c r="A74" s="1547"/>
      <c r="B74" s="1542"/>
      <c r="C74" s="1550"/>
      <c r="D74" s="1550"/>
      <c r="E74" s="1550"/>
      <c r="F74" s="1550"/>
      <c r="G74" s="1550"/>
      <c r="H74" s="1551"/>
      <c r="I74" s="1551"/>
      <c r="J74" s="1551"/>
      <c r="K74" s="1551"/>
      <c r="L74" s="1551"/>
      <c r="M74" s="1592"/>
      <c r="N74" s="1591"/>
      <c r="O74" s="1591"/>
      <c r="P74" s="1756"/>
      <c r="Q74" s="1619"/>
      <c r="R74" s="1482"/>
      <c r="S74" s="1482"/>
      <c r="T74" s="1482"/>
      <c r="U74" s="1482"/>
      <c r="V74" s="1482"/>
      <c r="W74" s="1482"/>
      <c r="X74" s="1482"/>
      <c r="Y74" s="1482"/>
      <c r="Z74" s="1482"/>
      <c r="AA74" s="1482"/>
      <c r="AB74" s="1482"/>
      <c r="AC74" s="1482"/>
    </row>
    <row r="75" spans="1:29" s="1295" customFormat="1" ht="15">
      <c r="A75" s="1547"/>
      <c r="B75" s="1544">
        <f>B14</f>
        <v>111</v>
      </c>
      <c r="C75" s="1534"/>
      <c r="D75" s="1534"/>
      <c r="E75" s="1534"/>
      <c r="F75" s="1534"/>
      <c r="G75" s="1534"/>
      <c r="H75" s="1552"/>
      <c r="I75" s="1552"/>
      <c r="J75" s="1552"/>
      <c r="K75" s="1552"/>
      <c r="L75" s="1593"/>
      <c r="M75" s="1594"/>
      <c r="N75" s="1591"/>
      <c r="O75" s="1591"/>
      <c r="P75" s="2224"/>
      <c r="Q75" s="1619"/>
      <c r="R75" s="1482"/>
      <c r="S75" s="1482"/>
      <c r="T75" s="1482"/>
      <c r="U75" s="1482"/>
      <c r="V75" s="1482"/>
      <c r="W75" s="1482"/>
      <c r="X75" s="1482"/>
      <c r="Y75" s="1482"/>
      <c r="Z75" s="1482"/>
      <c r="AA75" s="1482"/>
      <c r="AB75" s="1482"/>
      <c r="AC75" s="1482"/>
    </row>
    <row r="76" spans="1:29" s="1295" customFormat="1" ht="15">
      <c r="A76" s="1553"/>
      <c r="B76" s="1554"/>
      <c r="C76" s="1555"/>
      <c r="D76" s="1555"/>
      <c r="E76" s="1555"/>
      <c r="F76" s="1555"/>
      <c r="G76" s="1555"/>
      <c r="H76" s="1556"/>
      <c r="I76" s="1556"/>
      <c r="J76" s="1556"/>
      <c r="K76" s="1556"/>
      <c r="L76" s="1556"/>
      <c r="M76" s="1596"/>
      <c r="N76" s="1591"/>
      <c r="O76" s="1591"/>
      <c r="P76" s="1756"/>
      <c r="Q76" s="1619"/>
      <c r="R76" s="1482"/>
      <c r="S76" s="1482"/>
      <c r="T76" s="1482"/>
      <c r="U76" s="1482"/>
      <c r="V76" s="1482"/>
      <c r="W76" s="1482"/>
      <c r="X76" s="1482"/>
      <c r="Y76" s="1482"/>
      <c r="Z76" s="1482"/>
      <c r="AA76" s="1482"/>
      <c r="AB76" s="1482"/>
      <c r="AC76" s="1482"/>
    </row>
    <row r="77" spans="1:29">
      <c r="A77" s="1350" t="s">
        <v>1676</v>
      </c>
      <c r="B77" s="1537" t="s">
        <v>1677</v>
      </c>
      <c r="C77" s="1557" t="s">
        <v>1722</v>
      </c>
      <c r="D77" s="1557" t="s">
        <v>1723</v>
      </c>
      <c r="E77" s="1557" t="s">
        <v>1724</v>
      </c>
      <c r="F77" s="1557" t="s">
        <v>1725</v>
      </c>
      <c r="G77" s="1557" t="s">
        <v>1726</v>
      </c>
      <c r="H77" s="621"/>
      <c r="I77" s="621"/>
      <c r="J77" s="621"/>
      <c r="K77" s="1597"/>
      <c r="L77" s="1598"/>
      <c r="M77" s="1599"/>
      <c r="N77" s="1579"/>
      <c r="O77" s="1579"/>
      <c r="P77" s="1758"/>
      <c r="Q77" s="1516"/>
      <c r="R77" s="1409"/>
      <c r="S77" s="1409"/>
      <c r="T77" s="1409"/>
      <c r="U77" s="1409"/>
      <c r="V77" s="1409"/>
      <c r="W77" s="1409"/>
      <c r="X77" s="1409"/>
      <c r="Y77" s="1409"/>
      <c r="Z77" s="1409"/>
      <c r="AA77" s="1409"/>
      <c r="AB77" s="1409"/>
      <c r="AC77" s="1409"/>
    </row>
    <row r="78" spans="1:29" ht="15">
      <c r="A78" s="1337"/>
      <c r="B78" s="1542"/>
      <c r="C78" s="1543">
        <v>100</v>
      </c>
      <c r="D78" s="1543">
        <f>C78-$K15</f>
        <v>95</v>
      </c>
      <c r="E78" s="1543">
        <f>D78-$K15</f>
        <v>90</v>
      </c>
      <c r="F78" s="1543">
        <f>E78-$K15</f>
        <v>85</v>
      </c>
      <c r="G78" s="1543">
        <f>F78-$K15</f>
        <v>80</v>
      </c>
      <c r="H78" s="1543"/>
      <c r="I78" s="1543"/>
      <c r="J78" s="1543"/>
      <c r="K78" s="1543"/>
      <c r="L78" s="1543"/>
      <c r="M78" s="1585"/>
      <c r="N78" s="1581"/>
      <c r="O78" s="1581"/>
      <c r="P78" s="1755"/>
      <c r="Q78" s="1516"/>
      <c r="R78" s="1409"/>
      <c r="S78" s="1409"/>
      <c r="T78" s="1409"/>
      <c r="U78" s="1409"/>
      <c r="V78" s="1409"/>
      <c r="W78" s="1409"/>
      <c r="X78" s="1409"/>
      <c r="Y78" s="1409"/>
      <c r="Z78" s="1409"/>
      <c r="AA78" s="1409"/>
      <c r="AB78" s="1409"/>
      <c r="AC78" s="1409"/>
    </row>
    <row r="79" spans="1:29" ht="15">
      <c r="A79" s="1337"/>
      <c r="B79" s="1540" t="s">
        <v>1682</v>
      </c>
      <c r="C79" s="1558" t="s">
        <v>1722</v>
      </c>
      <c r="D79" s="1558" t="s">
        <v>1723</v>
      </c>
      <c r="E79" s="1558" t="s">
        <v>1724</v>
      </c>
      <c r="F79" s="1558" t="s">
        <v>1725</v>
      </c>
      <c r="G79" s="1558" t="s">
        <v>1726</v>
      </c>
      <c r="H79" s="1541"/>
      <c r="I79" s="1541"/>
      <c r="J79" s="1541"/>
      <c r="K79" s="1582"/>
      <c r="L79" s="1583"/>
      <c r="M79" s="1584"/>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C80-$K17</f>
        <v>98</v>
      </c>
      <c r="E80" s="1543">
        <f>D80-$K17</f>
        <v>96</v>
      </c>
      <c r="F80" s="1543">
        <f>E80-$K17</f>
        <v>94</v>
      </c>
      <c r="G80" s="1543">
        <f>F80-$K17</f>
        <v>92</v>
      </c>
      <c r="H80" s="1543"/>
      <c r="I80" s="1543"/>
      <c r="J80" s="1543"/>
      <c r="K80" s="1543"/>
      <c r="L80" s="1543"/>
      <c r="M80" s="1585"/>
      <c r="N80" s="1581"/>
      <c r="O80" s="1581"/>
      <c r="P80" s="1755"/>
      <c r="Q80" s="1516"/>
      <c r="R80" s="1409"/>
      <c r="S80" s="1409"/>
      <c r="T80" s="1409"/>
      <c r="U80" s="1409"/>
      <c r="V80" s="1409"/>
      <c r="W80" s="1409"/>
      <c r="X80" s="1409"/>
      <c r="Y80" s="1409"/>
      <c r="Z80" s="1409"/>
      <c r="AA80" s="1409"/>
      <c r="AB80" s="1409"/>
      <c r="AC80" s="1409"/>
    </row>
    <row r="81" spans="1:29" ht="15">
      <c r="A81" s="1337"/>
      <c r="B81" s="1540" t="s">
        <v>1683</v>
      </c>
      <c r="C81" s="1558" t="s">
        <v>1722</v>
      </c>
      <c r="D81" s="1558" t="s">
        <v>1723</v>
      </c>
      <c r="E81" s="1558" t="s">
        <v>1724</v>
      </c>
      <c r="F81" s="1558" t="s">
        <v>1725</v>
      </c>
      <c r="G81" s="1558" t="s">
        <v>1726</v>
      </c>
      <c r="H81" s="1541"/>
      <c r="I81" s="1541"/>
      <c r="J81" s="1541"/>
      <c r="K81" s="1582"/>
      <c r="L81" s="1583"/>
      <c r="M81" s="1584"/>
      <c r="N81" s="1579"/>
      <c r="O81" s="1579"/>
      <c r="P81" s="1755"/>
      <c r="Q81" s="1516"/>
      <c r="R81" s="1409"/>
      <c r="S81" s="1409"/>
      <c r="T81" s="1409"/>
      <c r="U81" s="1409"/>
      <c r="V81" s="1409"/>
      <c r="W81" s="1409"/>
      <c r="X81" s="1409"/>
      <c r="Y81" s="1409"/>
      <c r="Z81" s="1409"/>
      <c r="AA81" s="1409"/>
      <c r="AB81" s="1409"/>
      <c r="AC81" s="1409"/>
    </row>
    <row r="82" spans="1:29" ht="15">
      <c r="A82" s="1337"/>
      <c r="B82" s="1542"/>
      <c r="C82" s="1543">
        <v>100</v>
      </c>
      <c r="D82" s="1543">
        <f>C82-$K19</f>
        <v>98</v>
      </c>
      <c r="E82" s="1543">
        <f>D82-$K19</f>
        <v>96</v>
      </c>
      <c r="F82" s="1543">
        <f>E82-$K19</f>
        <v>94</v>
      </c>
      <c r="G82" s="1543">
        <f>F82-$K19</f>
        <v>92</v>
      </c>
      <c r="H82" s="1543"/>
      <c r="I82" s="1543"/>
      <c r="J82" s="1543"/>
      <c r="K82" s="1543"/>
      <c r="L82" s="1543"/>
      <c r="M82" s="1585"/>
      <c r="N82" s="1581"/>
      <c r="O82" s="1581"/>
      <c r="P82" s="1755"/>
      <c r="Q82" s="1516"/>
      <c r="R82" s="1409"/>
      <c r="S82" s="1409"/>
      <c r="T82" s="1409"/>
      <c r="U82" s="1409"/>
      <c r="V82" s="1409"/>
      <c r="W82" s="1409"/>
      <c r="X82" s="1409"/>
      <c r="Y82" s="1409"/>
      <c r="Z82" s="1409"/>
      <c r="AA82" s="1409"/>
      <c r="AB82" s="1409"/>
      <c r="AC82" s="1409"/>
    </row>
    <row r="83" spans="1:29" ht="15">
      <c r="A83" s="1337"/>
      <c r="B83" s="1544" t="s">
        <v>1684</v>
      </c>
      <c r="C83" s="1476" t="s">
        <v>1727</v>
      </c>
      <c r="D83" s="1476" t="s">
        <v>1728</v>
      </c>
      <c r="E83" s="1476" t="s">
        <v>1729</v>
      </c>
      <c r="F83" s="1476" t="s">
        <v>1730</v>
      </c>
      <c r="G83" s="1476" t="s">
        <v>1731</v>
      </c>
      <c r="H83" s="1541"/>
      <c r="I83" s="1541"/>
      <c r="J83" s="1541"/>
      <c r="K83" s="1541"/>
      <c r="L83" s="1541"/>
      <c r="M83" s="1704"/>
      <c r="N83" s="1581"/>
      <c r="O83" s="1581"/>
      <c r="P83" s="1755"/>
      <c r="Q83" s="1516"/>
      <c r="R83" s="1409"/>
      <c r="S83" s="1409"/>
      <c r="T83" s="1409"/>
      <c r="U83" s="1409"/>
      <c r="V83" s="1409"/>
      <c r="W83" s="1409"/>
      <c r="X83" s="1409"/>
      <c r="Y83" s="1409"/>
      <c r="Z83" s="1409"/>
      <c r="AA83" s="1409"/>
      <c r="AB83" s="1409"/>
      <c r="AC83" s="1409"/>
    </row>
    <row r="84" spans="1:29" ht="15">
      <c r="A84" s="1337"/>
      <c r="B84" s="1544"/>
      <c r="C84" s="1543">
        <v>100</v>
      </c>
      <c r="D84" s="1543">
        <f>C84-$K21</f>
        <v>98</v>
      </c>
      <c r="E84" s="1543">
        <f>D84-$K21</f>
        <v>96</v>
      </c>
      <c r="F84" s="1543">
        <f>E84-$K21</f>
        <v>94</v>
      </c>
      <c r="G84" s="1543">
        <f>F84-$K21</f>
        <v>92</v>
      </c>
      <c r="H84" s="1476"/>
      <c r="I84" s="1476"/>
      <c r="J84" s="1476"/>
      <c r="K84" s="1476"/>
      <c r="L84" s="1476"/>
      <c r="M84" s="1359"/>
      <c r="N84" s="1581"/>
      <c r="O84" s="1581"/>
      <c r="P84" s="1755"/>
      <c r="Q84" s="1516"/>
      <c r="R84" s="1409"/>
      <c r="S84" s="1409"/>
      <c r="T84" s="1409"/>
      <c r="U84" s="1409"/>
      <c r="V84" s="1409"/>
      <c r="W84" s="1409"/>
      <c r="X84" s="1409"/>
      <c r="Y84" s="1409"/>
      <c r="Z84" s="1409"/>
      <c r="AA84" s="1409"/>
      <c r="AB84" s="1409"/>
      <c r="AC84" s="1409"/>
    </row>
    <row r="85" spans="1:29" ht="15">
      <c r="A85" s="1337"/>
      <c r="B85" s="1540" t="s">
        <v>1685</v>
      </c>
      <c r="C85" s="1558" t="s">
        <v>1722</v>
      </c>
      <c r="D85" s="1558" t="s">
        <v>1723</v>
      </c>
      <c r="E85" s="1558" t="s">
        <v>1724</v>
      </c>
      <c r="F85" s="1558" t="s">
        <v>1725</v>
      </c>
      <c r="G85" s="1558" t="s">
        <v>1726</v>
      </c>
      <c r="H85" s="1541"/>
      <c r="I85" s="1541"/>
      <c r="J85" s="1541"/>
      <c r="K85" s="1582"/>
      <c r="L85" s="1583"/>
      <c r="M85" s="1584"/>
      <c r="N85" s="1579"/>
      <c r="O85" s="1579"/>
      <c r="P85" s="1755"/>
      <c r="Q85" s="1516"/>
      <c r="R85" s="1409"/>
      <c r="S85" s="1409"/>
      <c r="T85" s="1409"/>
      <c r="U85" s="1409"/>
      <c r="V85" s="1409"/>
      <c r="W85" s="1409"/>
      <c r="X85" s="1409"/>
      <c r="Y85" s="1409"/>
      <c r="Z85" s="1409"/>
      <c r="AA85" s="1409"/>
      <c r="AB85" s="1409"/>
      <c r="AC85" s="1409"/>
    </row>
    <row r="86" spans="1:29" ht="15">
      <c r="A86" s="1337"/>
      <c r="B86" s="1542"/>
      <c r="C86" s="1543">
        <v>100</v>
      </c>
      <c r="D86" s="1543">
        <f>C86-$K23</f>
        <v>98</v>
      </c>
      <c r="E86" s="1543">
        <f>D86-$K23</f>
        <v>96</v>
      </c>
      <c r="F86" s="1543">
        <f>E86-$K23</f>
        <v>94</v>
      </c>
      <c r="G86" s="1543">
        <f>F86-$K23</f>
        <v>92</v>
      </c>
      <c r="H86" s="1543"/>
      <c r="I86" s="1543"/>
      <c r="J86" s="1543"/>
      <c r="K86" s="1543"/>
      <c r="L86" s="1543"/>
      <c r="M86" s="1585"/>
      <c r="N86" s="1581"/>
      <c r="O86" s="1581"/>
      <c r="P86" s="1755"/>
      <c r="Q86" s="1516"/>
      <c r="R86" s="1409"/>
      <c r="S86" s="1409"/>
      <c r="T86" s="1409"/>
      <c r="U86" s="1409"/>
      <c r="V86" s="1409"/>
      <c r="W86" s="1409"/>
      <c r="X86" s="1409"/>
      <c r="Y86" s="1409"/>
      <c r="Z86" s="1409"/>
      <c r="AA86" s="1409"/>
      <c r="AB86" s="1409"/>
      <c r="AC86" s="1409"/>
    </row>
    <row r="87" spans="1:29" s="1293" customFormat="1" ht="27">
      <c r="A87" s="1340"/>
      <c r="B87" s="1540" t="s">
        <v>1686</v>
      </c>
      <c r="C87" s="2221" t="s">
        <v>1687</v>
      </c>
      <c r="D87" s="2221" t="s">
        <v>1688</v>
      </c>
      <c r="E87" s="2221" t="s">
        <v>1732</v>
      </c>
      <c r="F87" s="1548"/>
      <c r="G87" s="1548"/>
      <c r="H87" s="1548"/>
      <c r="I87" s="1548"/>
      <c r="J87" s="1548"/>
      <c r="K87" s="1548"/>
      <c r="L87" s="1705"/>
      <c r="M87" s="1706"/>
      <c r="N87" s="1574"/>
      <c r="O87" s="1574"/>
      <c r="P87" s="1755"/>
      <c r="Q87" s="1516"/>
      <c r="R87" s="1464"/>
      <c r="S87" s="1464"/>
      <c r="T87" s="1464"/>
      <c r="U87" s="1464"/>
      <c r="V87" s="1464"/>
      <c r="W87" s="1464"/>
      <c r="X87" s="1464"/>
      <c r="Y87" s="1464"/>
      <c r="Z87" s="1464"/>
      <c r="AA87" s="1464"/>
      <c r="AB87" s="1464"/>
      <c r="AC87" s="1464"/>
    </row>
    <row r="88" spans="1:29" s="1293" customFormat="1" ht="15">
      <c r="A88" s="1340"/>
      <c r="B88" s="1542"/>
      <c r="C88" s="1559">
        <v>100</v>
      </c>
      <c r="D88" s="1543">
        <f t="shared" ref="D88:M88" si="34">C88-$K25</f>
        <v>98</v>
      </c>
      <c r="E88" s="1543">
        <f t="shared" si="34"/>
        <v>96</v>
      </c>
      <c r="F88" s="1543">
        <f t="shared" si="34"/>
        <v>94</v>
      </c>
      <c r="G88" s="1543">
        <f t="shared" si="34"/>
        <v>92</v>
      </c>
      <c r="H88" s="1543">
        <f t="shared" si="34"/>
        <v>90</v>
      </c>
      <c r="I88" s="1543">
        <f t="shared" si="34"/>
        <v>88</v>
      </c>
      <c r="J88" s="1543">
        <f t="shared" si="34"/>
        <v>86</v>
      </c>
      <c r="K88" s="1543">
        <f t="shared" si="34"/>
        <v>84</v>
      </c>
      <c r="L88" s="1543">
        <f t="shared" si="34"/>
        <v>82</v>
      </c>
      <c r="M88" s="1543">
        <f t="shared" si="34"/>
        <v>80</v>
      </c>
      <c r="N88" s="1581"/>
      <c r="O88" s="1581"/>
      <c r="P88" s="1755"/>
      <c r="Q88" s="1516"/>
      <c r="R88" s="1464"/>
      <c r="S88" s="1464"/>
      <c r="T88" s="1464"/>
      <c r="U88" s="1464"/>
      <c r="V88" s="1464"/>
      <c r="W88" s="1464"/>
      <c r="X88" s="1464"/>
      <c r="Y88" s="1464"/>
      <c r="Z88" s="1464"/>
      <c r="AA88" s="1464"/>
      <c r="AB88" s="1464"/>
      <c r="AC88" s="1464"/>
    </row>
    <row r="89" spans="1:29" s="1293" customFormat="1" ht="15">
      <c r="A89" s="1340"/>
      <c r="B89" s="1540" t="str">
        <f>B27</f>
        <v>楼层</v>
      </c>
      <c r="C89" s="2221"/>
      <c r="D89" s="1548"/>
      <c r="E89" s="1548"/>
      <c r="F89" s="1823"/>
      <c r="G89" s="1548"/>
      <c r="H89" s="1548"/>
      <c r="I89" s="1548"/>
      <c r="J89" s="1548"/>
      <c r="K89" s="1548"/>
      <c r="L89" s="1548"/>
      <c r="M89" s="1706"/>
      <c r="N89" s="1574"/>
      <c r="O89" s="1574"/>
      <c r="P89" s="1755"/>
      <c r="Q89" s="1516"/>
      <c r="R89" s="1464"/>
      <c r="S89" s="1464"/>
      <c r="T89" s="1464"/>
      <c r="U89" s="1464"/>
      <c r="V89" s="1464"/>
      <c r="W89" s="1464"/>
      <c r="X89" s="1464"/>
      <c r="Y89" s="1464"/>
      <c r="Z89" s="1464"/>
      <c r="AA89" s="1464"/>
      <c r="AB89" s="1464"/>
      <c r="AC89" s="1464"/>
    </row>
    <row r="90" spans="1:29" s="1293" customFormat="1" ht="15">
      <c r="A90" s="1340"/>
      <c r="B90" s="1542"/>
      <c r="C90" s="1559">
        <v>100</v>
      </c>
      <c r="D90" s="1543">
        <f>C90-$K27</f>
        <v>100</v>
      </c>
      <c r="E90" s="1543">
        <f t="shared" ref="E90:M90" si="35">D90-$K27</f>
        <v>100</v>
      </c>
      <c r="F90" s="1543">
        <f t="shared" si="35"/>
        <v>100</v>
      </c>
      <c r="G90" s="1543">
        <f t="shared" si="35"/>
        <v>100</v>
      </c>
      <c r="H90" s="1543">
        <f t="shared" si="35"/>
        <v>100</v>
      </c>
      <c r="I90" s="1543">
        <f t="shared" si="35"/>
        <v>100</v>
      </c>
      <c r="J90" s="1543">
        <f t="shared" si="35"/>
        <v>100</v>
      </c>
      <c r="K90" s="1543">
        <f t="shared" si="35"/>
        <v>100</v>
      </c>
      <c r="L90" s="1543">
        <f t="shared" si="35"/>
        <v>100</v>
      </c>
      <c r="M90" s="1543">
        <f t="shared" si="35"/>
        <v>100</v>
      </c>
      <c r="N90" s="1581"/>
      <c r="O90" s="1581"/>
      <c r="P90" s="1755"/>
      <c r="Q90" s="1516"/>
      <c r="R90" s="1464"/>
      <c r="S90" s="1464"/>
      <c r="T90" s="1464"/>
      <c r="U90" s="1464"/>
      <c r="V90" s="1464"/>
      <c r="W90" s="1464"/>
      <c r="X90" s="1464"/>
      <c r="Y90" s="1464"/>
      <c r="Z90" s="1464"/>
      <c r="AA90" s="1464"/>
      <c r="AB90" s="1464"/>
      <c r="AC90" s="1464"/>
    </row>
    <row r="91" spans="1:29" s="1295" customFormat="1" ht="15">
      <c r="A91" s="1547"/>
      <c r="B91" s="1540" t="str">
        <f>B28</f>
        <v>朝向</v>
      </c>
      <c r="C91" s="1548"/>
      <c r="D91" s="1548"/>
      <c r="E91" s="1548"/>
      <c r="F91" s="1548"/>
      <c r="G91" s="1548"/>
      <c r="H91" s="1549"/>
      <c r="I91" s="1549"/>
      <c r="J91" s="1549"/>
      <c r="K91" s="1549"/>
      <c r="L91" s="1589"/>
      <c r="M91" s="1590"/>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9">
        <v>100</v>
      </c>
      <c r="D92" s="1543">
        <f t="shared" ref="D92:M92" si="36">C92-$K28</f>
        <v>100</v>
      </c>
      <c r="E92" s="1543">
        <f t="shared" si="36"/>
        <v>100</v>
      </c>
      <c r="F92" s="1543">
        <f t="shared" si="36"/>
        <v>100</v>
      </c>
      <c r="G92" s="1543">
        <f t="shared" si="36"/>
        <v>100</v>
      </c>
      <c r="H92" s="1543">
        <f t="shared" si="36"/>
        <v>100</v>
      </c>
      <c r="I92" s="1543">
        <f t="shared" si="36"/>
        <v>100</v>
      </c>
      <c r="J92" s="1543">
        <f t="shared" si="36"/>
        <v>100</v>
      </c>
      <c r="K92" s="1543">
        <f t="shared" si="36"/>
        <v>100</v>
      </c>
      <c r="L92" s="1543">
        <f t="shared" si="36"/>
        <v>100</v>
      </c>
      <c r="M92" s="1543">
        <f t="shared" si="36"/>
        <v>100</v>
      </c>
      <c r="N92" s="1591"/>
      <c r="O92" s="1591"/>
      <c r="P92" s="1756"/>
      <c r="Q92" s="1619"/>
      <c r="R92" s="1482"/>
      <c r="S92" s="1482"/>
      <c r="T92" s="1482"/>
      <c r="U92" s="1482"/>
      <c r="V92" s="1482"/>
      <c r="W92" s="1482"/>
      <c r="X92" s="1482"/>
      <c r="Y92" s="1482"/>
      <c r="Z92" s="1482"/>
      <c r="AA92" s="1482"/>
      <c r="AB92" s="1482"/>
      <c r="AC92" s="1482"/>
    </row>
    <row r="93" spans="1:29" ht="15">
      <c r="A93" s="1337"/>
      <c r="B93" s="1540">
        <f>B29</f>
        <v>111</v>
      </c>
      <c r="C93" s="1548"/>
      <c r="D93" s="1548"/>
      <c r="E93" s="1548"/>
      <c r="F93" s="1548"/>
      <c r="G93" s="1548"/>
      <c r="H93" s="1548"/>
      <c r="I93" s="1548"/>
      <c r="J93" s="1548"/>
      <c r="K93" s="1548"/>
      <c r="L93" s="1705"/>
      <c r="M93" s="1706"/>
      <c r="N93" s="1579"/>
      <c r="O93" s="1579"/>
      <c r="P93" s="1755"/>
      <c r="Q93" s="1516"/>
      <c r="R93" s="1409"/>
      <c r="S93" s="1409"/>
      <c r="T93" s="1409"/>
      <c r="U93" s="1409"/>
      <c r="V93" s="1409"/>
      <c r="W93" s="1409"/>
      <c r="X93" s="1409"/>
      <c r="Y93" s="1409"/>
      <c r="Z93" s="1409"/>
      <c r="AA93" s="1409"/>
      <c r="AB93" s="1409"/>
      <c r="AC93" s="1409"/>
    </row>
    <row r="94" spans="1:29" ht="15">
      <c r="A94" s="1337"/>
      <c r="B94" s="1542"/>
      <c r="C94" s="1550"/>
      <c r="D94" s="1539"/>
      <c r="E94" s="1539"/>
      <c r="F94" s="1539"/>
      <c r="G94" s="1539"/>
      <c r="H94" s="1539"/>
      <c r="I94" s="1539"/>
      <c r="J94" s="1539"/>
      <c r="K94" s="1539"/>
      <c r="L94" s="1539"/>
      <c r="M94" s="1580"/>
      <c r="N94" s="1581"/>
      <c r="O94" s="1581"/>
      <c r="P94" s="1755"/>
      <c r="Q94" s="1516"/>
      <c r="R94" s="1409"/>
      <c r="S94" s="1409"/>
      <c r="T94" s="1409"/>
      <c r="U94" s="1409"/>
      <c r="V94" s="1409"/>
      <c r="W94" s="1409"/>
      <c r="X94" s="1409"/>
      <c r="Y94" s="1409"/>
      <c r="Z94" s="1409"/>
      <c r="AA94" s="1409"/>
      <c r="AB94" s="1409"/>
      <c r="AC94" s="1409"/>
    </row>
    <row r="95" spans="1:29" ht="15">
      <c r="A95" s="1337"/>
      <c r="B95" s="1540">
        <f>B30</f>
        <v>111</v>
      </c>
      <c r="C95" s="1548"/>
      <c r="D95" s="1548"/>
      <c r="E95" s="1548"/>
      <c r="F95" s="1548"/>
      <c r="G95" s="1562"/>
      <c r="H95" s="1562"/>
      <c r="I95" s="1562"/>
      <c r="J95" s="1562"/>
      <c r="K95" s="1607"/>
      <c r="L95" s="1608"/>
      <c r="M95" s="1609"/>
      <c r="N95" s="1579"/>
      <c r="O95" s="1579"/>
      <c r="P95" s="1755"/>
      <c r="Q95" s="1516"/>
      <c r="R95" s="1409"/>
      <c r="S95" s="1409"/>
      <c r="T95" s="1409"/>
      <c r="U95" s="1409"/>
      <c r="V95" s="1409"/>
      <c r="W95" s="1409"/>
      <c r="X95" s="1409"/>
      <c r="Y95" s="1409"/>
      <c r="Z95" s="1409"/>
      <c r="AA95" s="1409"/>
      <c r="AB95" s="1409"/>
      <c r="AC95" s="1409"/>
    </row>
    <row r="96" spans="1:29" ht="15">
      <c r="A96" s="1337"/>
      <c r="B96" s="1542"/>
      <c r="C96" s="1550"/>
      <c r="D96" s="1550"/>
      <c r="E96" s="1550"/>
      <c r="F96" s="1550"/>
      <c r="G96" s="1539"/>
      <c r="H96" s="1539"/>
      <c r="I96" s="1539"/>
      <c r="J96" s="1539"/>
      <c r="K96" s="1539"/>
      <c r="L96" s="1539"/>
      <c r="M96" s="1580"/>
      <c r="N96" s="1581"/>
      <c r="O96" s="1581"/>
      <c r="P96" s="1755"/>
      <c r="Q96" s="1516"/>
      <c r="R96" s="1409"/>
      <c r="S96" s="1409"/>
      <c r="T96" s="1409"/>
      <c r="U96" s="1409"/>
      <c r="V96" s="1409"/>
      <c r="W96" s="1409"/>
      <c r="X96" s="1409"/>
      <c r="Y96" s="1409"/>
      <c r="Z96" s="1409"/>
      <c r="AA96" s="1409"/>
      <c r="AB96" s="1409"/>
      <c r="AC96" s="1409"/>
    </row>
    <row r="97" spans="1:29" ht="15">
      <c r="A97" s="1337"/>
      <c r="B97" s="1540">
        <f>B31</f>
        <v>111</v>
      </c>
      <c r="C97" s="1548"/>
      <c r="D97" s="1548"/>
      <c r="E97" s="1548"/>
      <c r="F97" s="1548"/>
      <c r="G97" s="1562"/>
      <c r="H97" s="1562"/>
      <c r="I97" s="1562"/>
      <c r="J97" s="1562"/>
      <c r="K97" s="1607"/>
      <c r="L97" s="1608"/>
      <c r="M97" s="1609"/>
      <c r="N97" s="1579"/>
      <c r="O97" s="1579"/>
      <c r="P97" s="1755"/>
      <c r="Q97" s="1516"/>
      <c r="R97" s="1409"/>
      <c r="S97" s="1409"/>
      <c r="T97" s="1409"/>
      <c r="U97" s="1409"/>
      <c r="V97" s="1409"/>
      <c r="W97" s="1409"/>
      <c r="X97" s="1409"/>
      <c r="Y97" s="1409"/>
      <c r="Z97" s="1409"/>
      <c r="AA97" s="1409"/>
      <c r="AB97" s="1409"/>
      <c r="AC97" s="1409"/>
    </row>
    <row r="98" spans="1:29" ht="15">
      <c r="A98" s="1337"/>
      <c r="B98" s="1542"/>
      <c r="C98" s="1550"/>
      <c r="D98" s="1539"/>
      <c r="E98" s="1539"/>
      <c r="F98" s="1539"/>
      <c r="G98" s="1539"/>
      <c r="H98" s="1539"/>
      <c r="I98" s="1539"/>
      <c r="J98" s="1539"/>
      <c r="K98" s="1539"/>
      <c r="L98" s="1539"/>
      <c r="M98" s="1580"/>
      <c r="N98" s="1581"/>
      <c r="O98" s="1581"/>
      <c r="P98" s="1755"/>
      <c r="Q98" s="1516"/>
      <c r="R98" s="1409"/>
      <c r="S98" s="1409"/>
      <c r="T98" s="1409"/>
      <c r="U98" s="1409"/>
      <c r="V98" s="1409"/>
      <c r="W98" s="1409"/>
      <c r="X98" s="1409"/>
      <c r="Y98" s="1409"/>
      <c r="Z98" s="1409"/>
      <c r="AA98" s="1409"/>
      <c r="AB98" s="1409"/>
      <c r="AC98" s="1409"/>
    </row>
    <row r="99" spans="1:29" ht="15">
      <c r="A99" s="1337"/>
      <c r="B99" s="1544">
        <f>B32</f>
        <v>111</v>
      </c>
      <c r="C99" s="1534"/>
      <c r="D99" s="1534"/>
      <c r="E99" s="1534"/>
      <c r="F99" s="1534"/>
      <c r="G99" s="1563"/>
      <c r="H99" s="1563"/>
      <c r="I99" s="1563"/>
      <c r="J99" s="1563"/>
      <c r="K99" s="1610"/>
      <c r="L99" s="1611"/>
      <c r="M99" s="1612"/>
      <c r="N99" s="1579"/>
      <c r="O99" s="1579"/>
      <c r="P99" s="1755"/>
      <c r="Q99" s="1516"/>
      <c r="R99" s="1409"/>
      <c r="S99" s="1409"/>
      <c r="T99" s="1409"/>
      <c r="U99" s="1409"/>
      <c r="V99" s="1409"/>
      <c r="W99" s="1409"/>
      <c r="X99" s="1409"/>
      <c r="Y99" s="1409"/>
      <c r="Z99" s="1409"/>
      <c r="AA99" s="1409"/>
      <c r="AB99" s="1409"/>
      <c r="AC99" s="1409"/>
    </row>
    <row r="100" spans="1:29" ht="15">
      <c r="A100" s="1346"/>
      <c r="B100" s="1554"/>
      <c r="C100" s="1555"/>
      <c r="D100" s="1555"/>
      <c r="E100" s="1555"/>
      <c r="F100" s="1555"/>
      <c r="G100" s="1564"/>
      <c r="H100" s="1564"/>
      <c r="I100" s="1564"/>
      <c r="J100" s="1564"/>
      <c r="K100" s="1564"/>
      <c r="L100" s="1564"/>
      <c r="M100" s="1613"/>
      <c r="N100" s="1581"/>
      <c r="O100" s="1581"/>
      <c r="P100" s="1755"/>
      <c r="Q100" s="1516"/>
      <c r="R100" s="1409"/>
      <c r="S100" s="1409"/>
      <c r="T100" s="1409"/>
      <c r="U100" s="1409"/>
      <c r="V100" s="1409"/>
      <c r="W100" s="1409"/>
      <c r="X100" s="1409"/>
      <c r="Y100" s="1409"/>
      <c r="Z100" s="1409"/>
      <c r="AA100" s="1409"/>
      <c r="AB100" s="1409"/>
      <c r="AC100" s="1409"/>
    </row>
    <row r="101" spans="1:29">
      <c r="A101" s="1350" t="s">
        <v>1691</v>
      </c>
      <c r="B101" s="1537" t="s">
        <v>1692</v>
      </c>
      <c r="C101" s="2215" t="s">
        <v>1693</v>
      </c>
      <c r="D101" s="1484"/>
      <c r="E101" s="1484"/>
      <c r="F101" s="1484"/>
      <c r="G101" s="1484"/>
      <c r="H101" s="1484"/>
      <c r="I101" s="1484"/>
      <c r="J101" s="1484"/>
      <c r="K101" s="1576"/>
      <c r="L101" s="1577"/>
      <c r="M101" s="1578"/>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43">
        <v>100</v>
      </c>
      <c r="D102" s="1543">
        <f t="shared" ref="D102:M102" si="37">C102-$K33</f>
        <v>95</v>
      </c>
      <c r="E102" s="1543">
        <f t="shared" si="37"/>
        <v>90</v>
      </c>
      <c r="F102" s="1543">
        <f t="shared" si="37"/>
        <v>85</v>
      </c>
      <c r="G102" s="1543">
        <f t="shared" si="37"/>
        <v>80</v>
      </c>
      <c r="H102" s="1543">
        <f t="shared" si="37"/>
        <v>75</v>
      </c>
      <c r="I102" s="1543">
        <f t="shared" si="37"/>
        <v>70</v>
      </c>
      <c r="J102" s="1543">
        <f t="shared" si="37"/>
        <v>65</v>
      </c>
      <c r="K102" s="1543">
        <f t="shared" si="37"/>
        <v>60</v>
      </c>
      <c r="L102" s="1543">
        <f t="shared" si="37"/>
        <v>55</v>
      </c>
      <c r="M102" s="1585">
        <f t="shared" si="37"/>
        <v>50</v>
      </c>
      <c r="N102" s="1581"/>
      <c r="O102" s="1581"/>
      <c r="P102" s="1755"/>
      <c r="Q102" s="1516"/>
      <c r="R102" s="1409"/>
      <c r="S102" s="1409"/>
      <c r="T102" s="1409"/>
      <c r="U102" s="1409"/>
      <c r="V102" s="1409"/>
      <c r="W102" s="1409"/>
      <c r="X102" s="1409"/>
      <c r="Y102" s="1409"/>
      <c r="Z102" s="1409"/>
      <c r="AA102" s="1409"/>
      <c r="AB102" s="1409"/>
      <c r="AC102" s="1409"/>
    </row>
    <row r="103" spans="1:29" ht="28.5">
      <c r="A103" s="1337"/>
      <c r="B103" s="1540" t="s">
        <v>1695</v>
      </c>
      <c r="C103" s="1558" t="str">
        <f>C104&amp;"(含)"&amp;"-"&amp;D104</f>
        <v>0(含)-50000</v>
      </c>
      <c r="D103" s="1558" t="str">
        <f t="shared" ref="D103:L103" si="38">D104&amp;"(含)"&amp;"-"&amp;E104</f>
        <v>50000(含)-100000</v>
      </c>
      <c r="E103" s="1558" t="str">
        <f t="shared" si="38"/>
        <v>100000(含)-150000</v>
      </c>
      <c r="F103" s="1558" t="str">
        <f t="shared" si="38"/>
        <v>150000(含)-200000</v>
      </c>
      <c r="G103" s="1558" t="str">
        <f t="shared" si="38"/>
        <v>200000(含)-</v>
      </c>
      <c r="H103" s="1558" t="str">
        <f t="shared" si="38"/>
        <v>(含)-</v>
      </c>
      <c r="I103" s="1558" t="str">
        <f t="shared" si="38"/>
        <v>(含)-</v>
      </c>
      <c r="J103" s="1558" t="str">
        <f t="shared" si="38"/>
        <v>(含)-</v>
      </c>
      <c r="K103" s="1558" t="str">
        <f t="shared" si="38"/>
        <v>(含)-</v>
      </c>
      <c r="L103" s="1558" t="str">
        <f t="shared" si="38"/>
        <v>(含)-</v>
      </c>
      <c r="M103" s="1602" t="str">
        <f>M104&amp;"(含)"&amp;"-"&amp;P104</f>
        <v>(含)-</v>
      </c>
      <c r="N103" s="1574"/>
      <c r="O103" s="1574"/>
      <c r="P103" s="1755"/>
      <c r="Q103" s="1516"/>
      <c r="R103" s="1409"/>
      <c r="S103" s="1409"/>
      <c r="T103" s="1409"/>
      <c r="U103" s="1409"/>
      <c r="V103" s="1409"/>
      <c r="W103" s="1409"/>
      <c r="X103" s="1409"/>
      <c r="Y103" s="1409"/>
      <c r="Z103" s="1409"/>
      <c r="AA103" s="1409"/>
      <c r="AB103" s="1409"/>
      <c r="AC103" s="1409"/>
    </row>
    <row r="104" spans="1:29" s="1295" customFormat="1">
      <c r="A104" s="1390"/>
      <c r="B104" s="1565"/>
      <c r="C104" s="1526">
        <v>0</v>
      </c>
      <c r="D104" s="1526">
        <v>50000</v>
      </c>
      <c r="E104" s="1526">
        <v>100000</v>
      </c>
      <c r="F104" s="1526">
        <v>150000</v>
      </c>
      <c r="G104" s="1526">
        <v>200000</v>
      </c>
      <c r="H104" s="1526"/>
      <c r="I104" s="1526"/>
      <c r="J104" s="1614"/>
      <c r="K104" s="1614"/>
      <c r="L104" s="1615"/>
      <c r="M104" s="1616"/>
      <c r="N104" s="1591"/>
      <c r="O104" s="1591"/>
      <c r="P104" s="1756"/>
      <c r="Q104" s="1619"/>
      <c r="R104" s="1482"/>
      <c r="S104" s="1482"/>
      <c r="T104" s="1482"/>
      <c r="U104" s="1482"/>
      <c r="V104" s="1482"/>
      <c r="W104" s="1482"/>
      <c r="X104" s="1482"/>
      <c r="Y104" s="1482"/>
      <c r="Z104" s="1482"/>
      <c r="AA104" s="1482"/>
      <c r="AB104" s="1482"/>
      <c r="AC104" s="1482"/>
    </row>
    <row r="105" spans="1:29" s="1295" customFormat="1" ht="15">
      <c r="A105" s="1547"/>
      <c r="B105" s="1542"/>
      <c r="C105" s="1550">
        <v>100</v>
      </c>
      <c r="D105" s="1550">
        <f>C105-$N$105</f>
        <v>100</v>
      </c>
      <c r="E105" s="1550">
        <v>100</v>
      </c>
      <c r="F105" s="1550">
        <f t="shared" ref="F105" si="39">E105-$N$105</f>
        <v>100</v>
      </c>
      <c r="G105" s="1550">
        <v>100</v>
      </c>
      <c r="H105" s="1539"/>
      <c r="I105" s="1539"/>
      <c r="J105" s="1539"/>
      <c r="K105" s="1539"/>
      <c r="L105" s="1539"/>
      <c r="M105" s="1580"/>
      <c r="N105" s="1581"/>
      <c r="O105" s="1581"/>
      <c r="P105" s="1756"/>
      <c r="Q105" s="1619"/>
      <c r="R105" s="1482"/>
      <c r="S105" s="1482"/>
      <c r="T105" s="1482"/>
      <c r="U105" s="1482"/>
      <c r="V105" s="1482"/>
      <c r="W105" s="1482"/>
      <c r="X105" s="1482"/>
      <c r="Y105" s="1482"/>
      <c r="Z105" s="1482"/>
      <c r="AA105" s="1482"/>
      <c r="AB105" s="1482"/>
      <c r="AC105" s="1482"/>
    </row>
    <row r="106" spans="1:29">
      <c r="A106" s="1385"/>
      <c r="B106" s="1540" t="s">
        <v>1696</v>
      </c>
      <c r="C106" s="2221" t="s">
        <v>1697</v>
      </c>
      <c r="D106" s="1548"/>
      <c r="E106" s="1562"/>
      <c r="F106" s="1562"/>
      <c r="G106" s="1562"/>
      <c r="H106" s="1562"/>
      <c r="I106" s="1562"/>
      <c r="J106" s="1562"/>
      <c r="K106" s="1607"/>
      <c r="L106" s="1608"/>
      <c r="M106" s="1609"/>
      <c r="N106" s="1579"/>
      <c r="O106" s="1579"/>
      <c r="P106" s="1755"/>
      <c r="Q106" s="1516"/>
      <c r="R106" s="1409"/>
      <c r="S106" s="1409"/>
      <c r="T106" s="1409"/>
      <c r="U106" s="1409"/>
      <c r="V106" s="1409"/>
      <c r="W106" s="1409"/>
      <c r="X106" s="1409"/>
      <c r="Y106" s="1409"/>
      <c r="Z106" s="1409"/>
      <c r="AA106" s="1409"/>
      <c r="AB106" s="1409"/>
      <c r="AC106" s="1409"/>
    </row>
    <row r="107" spans="1:29" ht="15">
      <c r="A107" s="1337"/>
      <c r="B107" s="1542"/>
      <c r="C107" s="1543">
        <v>100</v>
      </c>
      <c r="D107" s="1543">
        <f t="shared" ref="D107:M107" si="40">C107-$K35</f>
        <v>99</v>
      </c>
      <c r="E107" s="1543">
        <f t="shared" si="40"/>
        <v>98</v>
      </c>
      <c r="F107" s="1543">
        <f t="shared" si="40"/>
        <v>97</v>
      </c>
      <c r="G107" s="1543">
        <f t="shared" si="40"/>
        <v>96</v>
      </c>
      <c r="H107" s="1543">
        <f t="shared" si="40"/>
        <v>95</v>
      </c>
      <c r="I107" s="1543">
        <f t="shared" si="40"/>
        <v>94</v>
      </c>
      <c r="J107" s="1543">
        <f t="shared" si="40"/>
        <v>93</v>
      </c>
      <c r="K107" s="1543">
        <f t="shared" si="40"/>
        <v>92</v>
      </c>
      <c r="L107" s="1543">
        <f t="shared" si="40"/>
        <v>91</v>
      </c>
      <c r="M107" s="1585">
        <f t="shared" si="40"/>
        <v>90</v>
      </c>
      <c r="N107" s="1581"/>
      <c r="O107" s="1581"/>
      <c r="P107" s="1755"/>
      <c r="Q107" s="1516"/>
      <c r="R107" s="1409"/>
      <c r="S107" s="1409"/>
      <c r="T107" s="1409"/>
      <c r="U107" s="1409"/>
      <c r="V107" s="1409"/>
      <c r="W107" s="1409"/>
      <c r="X107" s="1409"/>
      <c r="Y107" s="1409"/>
      <c r="Z107" s="1409"/>
      <c r="AA107" s="1409"/>
      <c r="AB107" s="1409"/>
      <c r="AC107" s="1409"/>
    </row>
    <row r="108" spans="1:29">
      <c r="A108" s="1385"/>
      <c r="B108" s="1540" t="s">
        <v>1698</v>
      </c>
      <c r="C108" s="1548" t="s">
        <v>1699</v>
      </c>
      <c r="D108" s="1548" t="s">
        <v>1733</v>
      </c>
      <c r="E108" s="1548" t="s">
        <v>1734</v>
      </c>
      <c r="F108" s="1562" t="s">
        <v>1735</v>
      </c>
      <c r="G108" s="1562"/>
      <c r="H108" s="1562"/>
      <c r="I108" s="1562"/>
      <c r="J108" s="1562"/>
      <c r="K108" s="1607"/>
      <c r="L108" s="1608"/>
      <c r="M108" s="1609"/>
      <c r="N108" s="1579"/>
      <c r="O108" s="1579"/>
      <c r="P108" s="1755"/>
      <c r="Q108" s="1516"/>
      <c r="R108" s="1409"/>
      <c r="S108" s="1409"/>
      <c r="T108" s="1409"/>
      <c r="U108" s="1409"/>
      <c r="V108" s="1409"/>
      <c r="W108" s="1409"/>
      <c r="X108" s="1409"/>
      <c r="Y108" s="1409"/>
      <c r="Z108" s="1409"/>
      <c r="AA108" s="1409"/>
      <c r="AB108" s="1409"/>
      <c r="AC108" s="1409"/>
    </row>
    <row r="109" spans="1:29" ht="15">
      <c r="A109" s="1337"/>
      <c r="B109" s="1542"/>
      <c r="C109" s="1543">
        <v>100</v>
      </c>
      <c r="D109" s="1543">
        <f t="shared" ref="D109:M109" si="41">C109-$K36</f>
        <v>99</v>
      </c>
      <c r="E109" s="1543">
        <f t="shared" si="41"/>
        <v>98</v>
      </c>
      <c r="F109" s="1543">
        <f t="shared" si="41"/>
        <v>97</v>
      </c>
      <c r="G109" s="1543">
        <f t="shared" si="41"/>
        <v>96</v>
      </c>
      <c r="H109" s="1543">
        <f t="shared" si="41"/>
        <v>95</v>
      </c>
      <c r="I109" s="1543">
        <f t="shared" si="41"/>
        <v>94</v>
      </c>
      <c r="J109" s="1543">
        <f t="shared" si="41"/>
        <v>93</v>
      </c>
      <c r="K109" s="1543">
        <f t="shared" si="41"/>
        <v>92</v>
      </c>
      <c r="L109" s="1543">
        <f t="shared" si="41"/>
        <v>91</v>
      </c>
      <c r="M109" s="1585">
        <f t="shared" si="41"/>
        <v>90</v>
      </c>
      <c r="N109" s="1581"/>
      <c r="O109" s="1581"/>
      <c r="P109" s="1755"/>
      <c r="Q109" s="1516"/>
      <c r="R109" s="1409"/>
      <c r="S109" s="1409"/>
      <c r="T109" s="1409"/>
      <c r="U109" s="1409"/>
      <c r="V109" s="1409"/>
      <c r="W109" s="1409"/>
      <c r="X109" s="1409"/>
      <c r="Y109" s="1409"/>
      <c r="Z109" s="1409"/>
      <c r="AA109" s="1409"/>
      <c r="AB109" s="1409"/>
      <c r="AC109" s="1409"/>
    </row>
    <row r="110" spans="1:29">
      <c r="A110" s="1385"/>
      <c r="B110" s="1540" t="s">
        <v>687</v>
      </c>
      <c r="C110" s="1558" t="str">
        <f>C111&amp;"(含)"&amp;"-"&amp;D111</f>
        <v>0.5(含)-0.6</v>
      </c>
      <c r="D110" s="1558" t="str">
        <f>D111&amp;"(含)"&amp;"-"&amp;E111</f>
        <v>0.6(含)-0.7</v>
      </c>
      <c r="E110" s="1558" t="str">
        <f>E111&amp;"(含)"&amp;"-"&amp;F111</f>
        <v>0.7(含)-0.8</v>
      </c>
      <c r="F110" s="1558" t="str">
        <f>F111&amp;"(含)"&amp;"-"&amp;G111</f>
        <v>0.8(含)-0.9</v>
      </c>
      <c r="G110" s="1558" t="str">
        <f>G111&amp;"(含)"&amp;"-"&amp;ROUND(H111,0)&amp;"(含)"</f>
        <v>0.9(含)-1(含)</v>
      </c>
      <c r="H110" s="1558"/>
      <c r="I110" s="1562"/>
      <c r="J110" s="1562"/>
      <c r="K110" s="1607"/>
      <c r="L110" s="1608"/>
      <c r="M110" s="1609"/>
      <c r="N110" s="1579"/>
      <c r="O110" s="1579"/>
      <c r="P110" s="1755"/>
      <c r="Q110" s="1516"/>
      <c r="R110" s="1409"/>
      <c r="S110" s="1409"/>
      <c r="T110" s="1409"/>
      <c r="U110" s="1409"/>
      <c r="V110" s="1409"/>
      <c r="W110" s="1409"/>
      <c r="X110" s="1409"/>
      <c r="Y110" s="1409"/>
      <c r="Z110" s="1409"/>
      <c r="AA110" s="1409"/>
      <c r="AB110" s="1409"/>
      <c r="AC110" s="1409"/>
    </row>
    <row r="111" spans="1:29">
      <c r="A111" s="1385"/>
      <c r="B111" s="1544"/>
      <c r="C111" s="794">
        <v>0.5</v>
      </c>
      <c r="D111" s="794">
        <v>0.6</v>
      </c>
      <c r="E111" s="794">
        <v>0.7</v>
      </c>
      <c r="F111" s="794">
        <v>0.8</v>
      </c>
      <c r="G111" s="794">
        <v>0.9</v>
      </c>
      <c r="H111" s="794">
        <v>1.0001</v>
      </c>
      <c r="I111" s="1763"/>
      <c r="J111" s="1763"/>
      <c r="K111" s="1764"/>
      <c r="L111" s="1765"/>
      <c r="M111" s="1766"/>
      <c r="N111" s="1579"/>
      <c r="O111" s="1579"/>
      <c r="P111" s="1755"/>
      <c r="Q111" s="1516"/>
      <c r="R111" s="1409"/>
      <c r="S111" s="1409"/>
      <c r="T111" s="1409"/>
      <c r="U111" s="1409"/>
      <c r="V111" s="1409"/>
      <c r="W111" s="1409"/>
      <c r="X111" s="1409"/>
      <c r="Y111" s="1409"/>
      <c r="Z111" s="1409"/>
      <c r="AA111" s="1409"/>
      <c r="AB111" s="1409"/>
      <c r="AC111" s="1409"/>
    </row>
    <row r="112" spans="1:29" ht="15">
      <c r="A112" s="1337"/>
      <c r="B112" s="1542"/>
      <c r="C112" s="1559">
        <v>100</v>
      </c>
      <c r="D112" s="1543">
        <f>C112+$K37</f>
        <v>101</v>
      </c>
      <c r="E112" s="1543">
        <f t="shared" ref="E112:M112" si="42">D112+$K37</f>
        <v>102</v>
      </c>
      <c r="F112" s="1543">
        <f t="shared" si="42"/>
        <v>103</v>
      </c>
      <c r="G112" s="1543">
        <f t="shared" si="42"/>
        <v>104</v>
      </c>
      <c r="H112" s="1543">
        <f t="shared" si="42"/>
        <v>105</v>
      </c>
      <c r="I112" s="1543">
        <f t="shared" si="42"/>
        <v>106</v>
      </c>
      <c r="J112" s="1543">
        <f t="shared" si="42"/>
        <v>107</v>
      </c>
      <c r="K112" s="1543">
        <f t="shared" si="42"/>
        <v>108</v>
      </c>
      <c r="L112" s="1543">
        <f t="shared" si="42"/>
        <v>109</v>
      </c>
      <c r="M112" s="1543">
        <f t="shared" si="42"/>
        <v>110</v>
      </c>
      <c r="N112" s="1581"/>
      <c r="O112" s="1581"/>
      <c r="P112" s="1755"/>
      <c r="Q112" s="1516"/>
      <c r="R112" s="1409"/>
      <c r="S112" s="1409"/>
      <c r="T112" s="1409"/>
      <c r="U112" s="1409"/>
      <c r="V112" s="1409"/>
      <c r="W112" s="1409"/>
      <c r="X112" s="1409"/>
      <c r="Y112" s="1409"/>
      <c r="Z112" s="1409"/>
      <c r="AA112" s="1409"/>
      <c r="AB112" s="1409"/>
      <c r="AC112" s="1409"/>
    </row>
    <row r="113" spans="1:29" s="1295" customFormat="1">
      <c r="A113" s="1390"/>
      <c r="B113" s="1540" t="s">
        <v>1700</v>
      </c>
      <c r="C113" s="2221" t="s">
        <v>1701</v>
      </c>
      <c r="D113" s="2221" t="s">
        <v>1736</v>
      </c>
      <c r="E113" s="1548"/>
      <c r="F113" s="1548"/>
      <c r="G113" s="1548"/>
      <c r="H113" s="1562"/>
      <c r="I113" s="1562"/>
      <c r="J113" s="1562"/>
      <c r="K113" s="1607"/>
      <c r="L113" s="1608"/>
      <c r="M113" s="1609"/>
      <c r="N113" s="1591"/>
      <c r="O113" s="1591"/>
      <c r="P113" s="1756"/>
      <c r="Q113" s="1619"/>
      <c r="R113" s="1482"/>
      <c r="S113" s="1482"/>
      <c r="T113" s="1482"/>
      <c r="U113" s="1482"/>
      <c r="V113" s="1482"/>
      <c r="W113" s="1482"/>
      <c r="X113" s="1482"/>
      <c r="Y113" s="1482"/>
      <c r="Z113" s="1482"/>
      <c r="AA113" s="1482"/>
      <c r="AB113" s="1482"/>
      <c r="AC113" s="1482"/>
    </row>
    <row r="114" spans="1:29" s="1295" customFormat="1" ht="15">
      <c r="A114" s="1547"/>
      <c r="B114" s="1542"/>
      <c r="C114" s="1543">
        <v>100</v>
      </c>
      <c r="D114" s="1543">
        <f>C114-$K38</f>
        <v>99</v>
      </c>
      <c r="E114" s="1543">
        <f t="shared" ref="E114:M114" si="43">D114-$K38</f>
        <v>98</v>
      </c>
      <c r="F114" s="1543">
        <f t="shared" si="43"/>
        <v>97</v>
      </c>
      <c r="G114" s="1543">
        <f t="shared" si="43"/>
        <v>96</v>
      </c>
      <c r="H114" s="1543">
        <f t="shared" si="43"/>
        <v>95</v>
      </c>
      <c r="I114" s="1543">
        <f t="shared" si="43"/>
        <v>94</v>
      </c>
      <c r="J114" s="1543">
        <f t="shared" si="43"/>
        <v>93</v>
      </c>
      <c r="K114" s="1543">
        <f t="shared" si="43"/>
        <v>92</v>
      </c>
      <c r="L114" s="1543">
        <f t="shared" si="43"/>
        <v>91</v>
      </c>
      <c r="M114" s="1543">
        <f t="shared" si="43"/>
        <v>90</v>
      </c>
      <c r="N114" s="1591"/>
      <c r="O114" s="1591"/>
      <c r="P114" s="1756"/>
      <c r="Q114" s="1619"/>
      <c r="R114" s="1482"/>
      <c r="S114" s="1482"/>
      <c r="T114" s="1482"/>
      <c r="U114" s="1482"/>
      <c r="V114" s="1482"/>
      <c r="W114" s="1482"/>
      <c r="X114" s="1482"/>
      <c r="Y114" s="1482"/>
      <c r="Z114" s="1482"/>
      <c r="AA114" s="1482"/>
      <c r="AB114" s="1482"/>
      <c r="AC114" s="1482"/>
    </row>
    <row r="115" spans="1:29">
      <c r="A115" s="1385"/>
      <c r="B115" s="1540" t="s">
        <v>1702</v>
      </c>
      <c r="C115" s="2222" t="s">
        <v>1703</v>
      </c>
      <c r="D115" s="1548"/>
      <c r="E115" s="1562"/>
      <c r="F115" s="1562"/>
      <c r="G115" s="1562"/>
      <c r="H115" s="1562"/>
      <c r="I115" s="1562"/>
      <c r="J115" s="1562"/>
      <c r="K115" s="1607"/>
      <c r="L115" s="1608"/>
      <c r="M115" s="1609"/>
      <c r="N115" s="1579"/>
      <c r="O115" s="1579"/>
      <c r="P115" s="1755"/>
      <c r="Q115" s="1516"/>
      <c r="R115" s="1409"/>
      <c r="S115" s="1409"/>
      <c r="T115" s="1409"/>
      <c r="U115" s="1409"/>
      <c r="V115" s="1409"/>
      <c r="W115" s="1409"/>
      <c r="X115" s="1409"/>
      <c r="Y115" s="1409"/>
      <c r="Z115" s="1409"/>
      <c r="AA115" s="1409"/>
      <c r="AB115" s="1409"/>
      <c r="AC115" s="1409"/>
    </row>
    <row r="116" spans="1:29" ht="15">
      <c r="A116" s="1337"/>
      <c r="B116" s="1542"/>
      <c r="C116" s="1543">
        <v>100</v>
      </c>
      <c r="D116" s="1543">
        <f t="shared" ref="D116:M116" si="44">C116-$K39</f>
        <v>99</v>
      </c>
      <c r="E116" s="1543">
        <f t="shared" si="44"/>
        <v>98</v>
      </c>
      <c r="F116" s="1543">
        <f t="shared" si="44"/>
        <v>97</v>
      </c>
      <c r="G116" s="1543">
        <f t="shared" si="44"/>
        <v>96</v>
      </c>
      <c r="H116" s="1543">
        <f t="shared" si="44"/>
        <v>95</v>
      </c>
      <c r="I116" s="1543">
        <f t="shared" si="44"/>
        <v>94</v>
      </c>
      <c r="J116" s="1543">
        <f t="shared" si="44"/>
        <v>93</v>
      </c>
      <c r="K116" s="1543">
        <f t="shared" si="44"/>
        <v>92</v>
      </c>
      <c r="L116" s="1543">
        <f t="shared" si="44"/>
        <v>91</v>
      </c>
      <c r="M116" s="1585">
        <f t="shared" si="44"/>
        <v>90</v>
      </c>
      <c r="N116" s="1581"/>
      <c r="O116" s="1581"/>
      <c r="P116" s="1755"/>
      <c r="Q116" s="1516"/>
      <c r="R116" s="1409"/>
      <c r="S116" s="1409"/>
      <c r="T116" s="1409"/>
      <c r="U116" s="1409"/>
      <c r="V116" s="1409"/>
      <c r="W116" s="1409"/>
      <c r="X116" s="1409"/>
      <c r="Y116" s="1409"/>
      <c r="Z116" s="1409"/>
      <c r="AA116" s="1409"/>
      <c r="AB116" s="1409"/>
      <c r="AC116" s="1409"/>
    </row>
    <row r="117" spans="1:29">
      <c r="A117" s="1385"/>
      <c r="B117" s="1540" t="s">
        <v>1704</v>
      </c>
      <c r="C117" s="2221" t="s">
        <v>241</v>
      </c>
      <c r="D117" s="2221" t="s">
        <v>268</v>
      </c>
      <c r="E117" s="1548"/>
      <c r="F117" s="1548"/>
      <c r="G117" s="1548"/>
      <c r="H117" s="1562"/>
      <c r="I117" s="1562"/>
      <c r="J117" s="1562"/>
      <c r="K117" s="1607"/>
      <c r="L117" s="1608"/>
      <c r="M117" s="1609"/>
      <c r="N117" s="1579"/>
      <c r="O117" s="1579"/>
      <c r="P117" s="1755"/>
      <c r="Q117" s="1516"/>
      <c r="R117" s="1409"/>
      <c r="S117" s="1409"/>
      <c r="T117" s="1409"/>
      <c r="U117" s="1409"/>
      <c r="V117" s="1409"/>
      <c r="W117" s="1409"/>
      <c r="X117" s="1409"/>
      <c r="Y117" s="1409"/>
      <c r="Z117" s="1409"/>
      <c r="AA117" s="1409"/>
      <c r="AB117" s="1409"/>
      <c r="AC117" s="1409"/>
    </row>
    <row r="118" spans="1:29" ht="15">
      <c r="A118" s="1337"/>
      <c r="B118" s="1542"/>
      <c r="C118" s="1543">
        <v>100</v>
      </c>
      <c r="D118" s="1543">
        <f>C118-$K40</f>
        <v>99</v>
      </c>
      <c r="E118" s="1543">
        <f>D118-$K40</f>
        <v>98</v>
      </c>
      <c r="F118" s="1543">
        <f>E118-$K40</f>
        <v>97</v>
      </c>
      <c r="G118" s="1543">
        <f>F118-$K40</f>
        <v>96</v>
      </c>
      <c r="H118" s="1543"/>
      <c r="I118" s="1543"/>
      <c r="J118" s="1543"/>
      <c r="K118" s="1543"/>
      <c r="L118" s="1543"/>
      <c r="M118" s="1585"/>
      <c r="N118" s="1581"/>
      <c r="O118" s="1581"/>
      <c r="P118" s="1755"/>
      <c r="Q118" s="1516"/>
      <c r="R118" s="1409"/>
      <c r="S118" s="1409"/>
      <c r="T118" s="1409"/>
      <c r="U118" s="1409"/>
      <c r="V118" s="1409"/>
      <c r="W118" s="1409"/>
      <c r="X118" s="1409"/>
      <c r="Y118" s="1409"/>
      <c r="Z118" s="1409"/>
      <c r="AA118" s="1409"/>
      <c r="AB118" s="1409"/>
      <c r="AC118" s="1409"/>
    </row>
    <row r="119" spans="1:29">
      <c r="A119" s="1385"/>
      <c r="B119" s="1702" t="s">
        <v>1737</v>
      </c>
      <c r="C119" s="2223" t="s">
        <v>1706</v>
      </c>
      <c r="D119" s="1562"/>
      <c r="E119" s="1562"/>
      <c r="F119" s="1562"/>
      <c r="G119" s="1562"/>
      <c r="H119" s="1562"/>
      <c r="I119" s="1562"/>
      <c r="J119" s="1562"/>
      <c r="K119" s="1562"/>
      <c r="L119" s="2225"/>
      <c r="M119" s="2226"/>
      <c r="N119" s="1581"/>
      <c r="O119" s="1581"/>
      <c r="P119" s="1767"/>
      <c r="Q119" s="1712"/>
      <c r="R119" s="1409"/>
      <c r="S119" s="1409"/>
      <c r="T119" s="1409"/>
      <c r="U119" s="1409"/>
      <c r="V119" s="1409"/>
      <c r="W119" s="1409"/>
      <c r="X119" s="1409"/>
      <c r="Y119" s="1409"/>
      <c r="Z119" s="1409"/>
      <c r="AA119" s="1409"/>
      <c r="AB119" s="1409"/>
      <c r="AC119" s="1409"/>
    </row>
    <row r="120" spans="1:29" ht="15">
      <c r="A120" s="1337"/>
      <c r="B120" s="1542"/>
      <c r="C120" s="1559">
        <v>100</v>
      </c>
      <c r="D120" s="1543">
        <f>C120-$K41</f>
        <v>99</v>
      </c>
      <c r="E120" s="1543">
        <f t="shared" ref="E120:M120" si="45">D120-$K41</f>
        <v>98</v>
      </c>
      <c r="F120" s="1543">
        <f t="shared" si="45"/>
        <v>97</v>
      </c>
      <c r="G120" s="1543">
        <f t="shared" si="45"/>
        <v>96</v>
      </c>
      <c r="H120" s="1543">
        <f t="shared" si="45"/>
        <v>95</v>
      </c>
      <c r="I120" s="1543">
        <f t="shared" si="45"/>
        <v>94</v>
      </c>
      <c r="J120" s="1543">
        <f t="shared" si="45"/>
        <v>93</v>
      </c>
      <c r="K120" s="1543">
        <f t="shared" si="45"/>
        <v>92</v>
      </c>
      <c r="L120" s="1543">
        <f t="shared" si="45"/>
        <v>91</v>
      </c>
      <c r="M120" s="1543">
        <f t="shared" si="45"/>
        <v>90</v>
      </c>
      <c r="N120" s="1581"/>
      <c r="O120" s="1581"/>
      <c r="P120" s="1755"/>
      <c r="Q120" s="1516"/>
      <c r="R120" s="1409"/>
      <c r="S120" s="1409"/>
      <c r="T120" s="1409"/>
      <c r="U120" s="1409"/>
      <c r="V120" s="1409"/>
      <c r="W120" s="1409"/>
      <c r="X120" s="1409"/>
      <c r="Y120" s="1409"/>
      <c r="Z120" s="1409"/>
      <c r="AA120" s="1409"/>
      <c r="AB120" s="1409"/>
      <c r="AC120" s="1409"/>
    </row>
    <row r="121" spans="1:29" s="1295" customFormat="1">
      <c r="A121" s="1390"/>
      <c r="B121" s="1540" t="s">
        <v>1738</v>
      </c>
      <c r="C121" s="1548"/>
      <c r="D121" s="1548"/>
      <c r="E121" s="1548"/>
      <c r="F121" s="1562"/>
      <c r="G121" s="1549"/>
      <c r="H121" s="1549"/>
      <c r="I121" s="1549"/>
      <c r="J121" s="1549"/>
      <c r="K121" s="1549"/>
      <c r="L121" s="1589"/>
      <c r="M121" s="1590"/>
      <c r="N121" s="1591"/>
      <c r="O121" s="1591"/>
      <c r="P121" s="1756"/>
      <c r="Q121" s="1619"/>
      <c r="R121" s="1482"/>
      <c r="S121" s="1482"/>
      <c r="T121" s="1482"/>
      <c r="U121" s="1482"/>
      <c r="V121" s="1482"/>
      <c r="W121" s="1482"/>
      <c r="X121" s="1482"/>
      <c r="Y121" s="1482"/>
      <c r="Z121" s="1482"/>
      <c r="AA121" s="1482"/>
      <c r="AB121" s="1482"/>
      <c r="AC121" s="1482"/>
    </row>
    <row r="122" spans="1:29" s="1295" customFormat="1" ht="15">
      <c r="A122" s="1547"/>
      <c r="B122" s="1538"/>
      <c r="C122" s="1550"/>
      <c r="D122" s="1550"/>
      <c r="E122" s="1550"/>
      <c r="F122" s="1550"/>
      <c r="G122" s="1550"/>
      <c r="H122" s="1550"/>
      <c r="I122" s="1550"/>
      <c r="J122" s="1550"/>
      <c r="K122" s="1550"/>
      <c r="L122" s="1550"/>
      <c r="M122" s="1550"/>
      <c r="N122" s="1591"/>
      <c r="O122" s="1591"/>
      <c r="P122" s="1756"/>
      <c r="Q122" s="1619"/>
      <c r="R122" s="1482"/>
      <c r="S122" s="1482"/>
      <c r="T122" s="1482"/>
      <c r="U122" s="1482"/>
      <c r="V122" s="1482"/>
      <c r="W122" s="1482"/>
      <c r="X122" s="1482"/>
      <c r="Y122" s="1482"/>
      <c r="Z122" s="1482"/>
      <c r="AA122" s="1482"/>
      <c r="AB122" s="1482"/>
      <c r="AC122" s="1482"/>
    </row>
    <row r="123" spans="1:29">
      <c r="A123" s="1385"/>
      <c r="B123" s="1540" t="s">
        <v>1708</v>
      </c>
      <c r="C123" s="2221" t="s">
        <v>1699</v>
      </c>
      <c r="D123" s="2221" t="s">
        <v>1733</v>
      </c>
      <c r="E123" s="1548"/>
      <c r="F123" s="1562"/>
      <c r="G123" s="1562"/>
      <c r="H123" s="1562"/>
      <c r="I123" s="1562"/>
      <c r="J123" s="1562"/>
      <c r="K123" s="1607"/>
      <c r="L123" s="1608"/>
      <c r="M123" s="1609"/>
      <c r="N123" s="1579"/>
      <c r="O123" s="1579"/>
      <c r="P123" s="1755"/>
      <c r="Q123" s="1516"/>
      <c r="R123" s="1409"/>
      <c r="S123" s="1409"/>
      <c r="T123" s="1409"/>
      <c r="U123" s="1409"/>
      <c r="V123" s="1409"/>
      <c r="W123" s="1409"/>
      <c r="X123" s="1409"/>
      <c r="Y123" s="1409"/>
      <c r="Z123" s="1409"/>
      <c r="AA123" s="1409"/>
      <c r="AB123" s="1409"/>
      <c r="AC123" s="1409"/>
    </row>
    <row r="124" spans="1:29" ht="15">
      <c r="A124" s="1337"/>
      <c r="B124" s="1542"/>
      <c r="C124" s="1543">
        <v>100</v>
      </c>
      <c r="D124" s="1543">
        <f t="shared" ref="D124:M124" si="46">C124-$K43</f>
        <v>99</v>
      </c>
      <c r="E124" s="1543">
        <f t="shared" si="46"/>
        <v>98</v>
      </c>
      <c r="F124" s="1543">
        <f t="shared" si="46"/>
        <v>97</v>
      </c>
      <c r="G124" s="1543">
        <f t="shared" si="46"/>
        <v>96</v>
      </c>
      <c r="H124" s="1543">
        <f t="shared" si="46"/>
        <v>95</v>
      </c>
      <c r="I124" s="1543">
        <f t="shared" si="46"/>
        <v>94</v>
      </c>
      <c r="J124" s="1543">
        <f t="shared" si="46"/>
        <v>93</v>
      </c>
      <c r="K124" s="1543">
        <f t="shared" si="46"/>
        <v>92</v>
      </c>
      <c r="L124" s="1543">
        <f t="shared" si="46"/>
        <v>91</v>
      </c>
      <c r="M124" s="1585">
        <f t="shared" si="46"/>
        <v>90</v>
      </c>
      <c r="N124" s="1581"/>
      <c r="O124" s="1581"/>
      <c r="P124" s="1755"/>
      <c r="Q124" s="1516"/>
      <c r="R124" s="1409"/>
      <c r="S124" s="1409"/>
      <c r="T124" s="1409"/>
      <c r="U124" s="1409"/>
      <c r="V124" s="1409"/>
      <c r="W124" s="1409"/>
      <c r="X124" s="1409"/>
      <c r="Y124" s="1409"/>
      <c r="Z124" s="1409"/>
      <c r="AA124" s="1409"/>
      <c r="AB124" s="1409"/>
      <c r="AC124" s="1409"/>
    </row>
    <row r="125" spans="1:29">
      <c r="A125" s="1385"/>
      <c r="B125" s="1540" t="s">
        <v>1709</v>
      </c>
      <c r="C125" s="1558" t="s">
        <v>1722</v>
      </c>
      <c r="D125" s="1558" t="s">
        <v>1723</v>
      </c>
      <c r="E125" s="1558" t="s">
        <v>1724</v>
      </c>
      <c r="F125" s="1558" t="s">
        <v>1725</v>
      </c>
      <c r="G125" s="1558" t="s">
        <v>1726</v>
      </c>
      <c r="H125" s="1541"/>
      <c r="I125" s="1541"/>
      <c r="J125" s="1541"/>
      <c r="K125" s="1582"/>
      <c r="L125" s="1583"/>
      <c r="M125" s="1584"/>
      <c r="N125" s="1579"/>
      <c r="O125" s="1579"/>
      <c r="P125" s="1756"/>
      <c r="Q125" s="1516"/>
      <c r="R125" s="1409"/>
      <c r="S125" s="1409"/>
      <c r="T125" s="1409"/>
      <c r="U125" s="1409"/>
      <c r="V125" s="1409"/>
      <c r="W125" s="1409"/>
      <c r="X125" s="1409"/>
      <c r="Y125" s="1409"/>
      <c r="Z125" s="1409"/>
      <c r="AA125" s="1409"/>
      <c r="AB125" s="1409"/>
      <c r="AC125" s="1409"/>
    </row>
    <row r="126" spans="1:29" ht="15">
      <c r="A126" s="1337"/>
      <c r="B126" s="1542"/>
      <c r="C126" s="1543">
        <v>100</v>
      </c>
      <c r="D126" s="1543">
        <f>C126-$K44</f>
        <v>99</v>
      </c>
      <c r="E126" s="1543">
        <f>D126-$K44</f>
        <v>98</v>
      </c>
      <c r="F126" s="1543">
        <f>E126-$K44</f>
        <v>97</v>
      </c>
      <c r="G126" s="1543">
        <f>F126-$K44</f>
        <v>96</v>
      </c>
      <c r="H126" s="1543"/>
      <c r="I126" s="1543"/>
      <c r="J126" s="1543"/>
      <c r="K126" s="1543"/>
      <c r="L126" s="1543"/>
      <c r="M126" s="1585"/>
      <c r="N126" s="1581"/>
      <c r="O126" s="1581"/>
      <c r="P126" s="1755"/>
      <c r="Q126" s="1516"/>
      <c r="R126" s="1409"/>
      <c r="S126" s="1409"/>
      <c r="T126" s="1409"/>
      <c r="U126" s="1409"/>
      <c r="V126" s="1409"/>
      <c r="W126" s="1409"/>
      <c r="X126" s="1409"/>
      <c r="Y126" s="1409"/>
      <c r="Z126" s="1409"/>
      <c r="AA126" s="1409"/>
      <c r="AB126" s="1409"/>
      <c r="AC126" s="1409"/>
    </row>
    <row r="127" spans="1:29" s="1295" customFormat="1">
      <c r="A127" s="1390"/>
      <c r="B127" s="1540" t="str">
        <f>B45</f>
        <v>地下面积占比</v>
      </c>
      <c r="C127" s="3243">
        <v>0</v>
      </c>
      <c r="D127" s="3243" t="s">
        <v>3393</v>
      </c>
      <c r="E127" s="3243" t="s">
        <v>3394</v>
      </c>
      <c r="F127" s="3243" t="s">
        <v>3395</v>
      </c>
      <c r="G127" s="1548" t="s">
        <v>3396</v>
      </c>
      <c r="H127" s="1549" t="s">
        <v>3397</v>
      </c>
      <c r="I127" s="1549"/>
      <c r="J127" s="1549"/>
      <c r="K127" s="1549"/>
      <c r="L127" s="1589"/>
      <c r="M127" s="1590"/>
      <c r="N127" s="1591"/>
      <c r="O127" s="1591"/>
      <c r="P127" s="1756"/>
      <c r="Q127" s="1619"/>
      <c r="R127" s="1482"/>
      <c r="S127" s="1482"/>
      <c r="T127" s="1482"/>
      <c r="U127" s="1482"/>
      <c r="V127" s="1482"/>
      <c r="W127" s="1482"/>
      <c r="X127" s="1482"/>
      <c r="Y127" s="1482"/>
      <c r="Z127" s="1482"/>
      <c r="AA127" s="1482"/>
      <c r="AB127" s="1482"/>
      <c r="AC127" s="1482"/>
    </row>
    <row r="128" spans="1:29" s="1295" customFormat="1" ht="15">
      <c r="A128" s="1547"/>
      <c r="B128" s="1542"/>
      <c r="C128" s="1550">
        <v>100</v>
      </c>
      <c r="D128" s="1539">
        <f>C128-3</f>
        <v>97</v>
      </c>
      <c r="E128" s="1539">
        <f t="shared" ref="E128:H128" si="47">D128-3</f>
        <v>94</v>
      </c>
      <c r="F128" s="1539">
        <f t="shared" si="47"/>
        <v>91</v>
      </c>
      <c r="G128" s="1539">
        <f t="shared" si="47"/>
        <v>88</v>
      </c>
      <c r="H128" s="1539">
        <f t="shared" si="47"/>
        <v>85</v>
      </c>
      <c r="I128" s="1551"/>
      <c r="J128" s="1551"/>
      <c r="K128" s="1551"/>
      <c r="L128" s="1551"/>
      <c r="M128" s="1592"/>
      <c r="N128" s="1591"/>
      <c r="O128" s="1591"/>
      <c r="P128" s="1756"/>
      <c r="Q128" s="1619"/>
      <c r="R128" s="1482"/>
      <c r="S128" s="1482"/>
      <c r="T128" s="1482"/>
      <c r="U128" s="1482"/>
      <c r="V128" s="1482"/>
      <c r="W128" s="1482"/>
      <c r="X128" s="1482"/>
      <c r="Y128" s="1482"/>
      <c r="Z128" s="1482"/>
      <c r="AA128" s="1482"/>
      <c r="AB128" s="1482"/>
      <c r="AC128" s="1482"/>
    </row>
    <row r="129" spans="1:29">
      <c r="A129" s="1385"/>
      <c r="B129" s="1540" t="str">
        <f>B46</f>
        <v>地下面积占比</v>
      </c>
      <c r="C129" s="1548"/>
      <c r="D129" s="1548"/>
      <c r="E129" s="1548"/>
      <c r="F129" s="1548"/>
      <c r="G129" s="1562"/>
      <c r="H129" s="1562"/>
      <c r="I129" s="1562"/>
      <c r="J129" s="1562"/>
      <c r="K129" s="1607"/>
      <c r="L129" s="1608"/>
      <c r="M129" s="1609"/>
      <c r="N129" s="1579"/>
      <c r="O129" s="1579"/>
      <c r="P129" s="1755"/>
      <c r="Q129" s="1516"/>
      <c r="R129" s="1409"/>
      <c r="S129" s="1409"/>
      <c r="T129" s="1409"/>
      <c r="U129" s="1409"/>
      <c r="V129" s="1409"/>
      <c r="W129" s="1409"/>
      <c r="X129" s="1409"/>
      <c r="Y129" s="1409"/>
      <c r="Z129" s="1409"/>
      <c r="AA129" s="1409"/>
      <c r="AB129" s="1409"/>
      <c r="AC129" s="1409"/>
    </row>
    <row r="130" spans="1:29" ht="15.75" thickBot="1">
      <c r="A130" s="1337"/>
      <c r="B130" s="1542"/>
      <c r="C130" s="1550"/>
      <c r="D130" s="1550"/>
      <c r="E130" s="1550"/>
      <c r="F130" s="1550"/>
      <c r="G130" s="1539"/>
      <c r="H130" s="1539"/>
      <c r="I130" s="1539"/>
      <c r="J130" s="1539"/>
      <c r="K130" s="1539"/>
      <c r="L130" s="1539"/>
      <c r="M130" s="1580"/>
      <c r="N130" s="1581"/>
      <c r="O130" s="1581"/>
      <c r="P130" s="1755"/>
      <c r="Q130" s="1516"/>
      <c r="R130" s="1409"/>
      <c r="S130" s="1409"/>
      <c r="T130" s="1409"/>
      <c r="U130" s="1409"/>
      <c r="V130" s="1409"/>
      <c r="W130" s="1409"/>
      <c r="X130" s="1409"/>
      <c r="Y130" s="1409"/>
      <c r="Z130" s="1409"/>
      <c r="AA130" s="1409"/>
      <c r="AB130" s="1409"/>
      <c r="AC130" s="1409"/>
    </row>
    <row r="131" spans="1:29" ht="15" thickTop="1">
      <c r="A131" s="1385"/>
      <c r="B131" s="1544" t="str">
        <f>B47</f>
        <v>地下用途</v>
      </c>
      <c r="C131" s="2221" t="s">
        <v>3386</v>
      </c>
      <c r="D131" s="2221" t="s">
        <v>3387</v>
      </c>
      <c r="E131" s="3242" t="s">
        <v>3392</v>
      </c>
      <c r="F131" s="2221" t="s">
        <v>3388</v>
      </c>
      <c r="G131" s="2223" t="s">
        <v>3390</v>
      </c>
      <c r="H131" s="1563"/>
      <c r="I131" s="1563"/>
      <c r="J131" s="1563"/>
      <c r="K131" s="1534"/>
      <c r="L131" s="1572"/>
      <c r="M131" s="1612"/>
      <c r="N131" s="1579"/>
      <c r="O131" s="1579"/>
      <c r="P131" s="1755"/>
      <c r="Q131" s="1516"/>
      <c r="R131" s="1409"/>
      <c r="S131" s="1409"/>
      <c r="T131" s="1409"/>
      <c r="U131" s="1409"/>
      <c r="V131" s="1409"/>
      <c r="W131" s="1409"/>
      <c r="X131" s="1409"/>
      <c r="Y131" s="1409"/>
      <c r="Z131" s="1409"/>
      <c r="AA131" s="1409"/>
      <c r="AB131" s="1409"/>
      <c r="AC131" s="1409"/>
    </row>
    <row r="132" spans="1:29" ht="15.75" thickBot="1">
      <c r="A132" s="1346"/>
      <c r="B132" s="1554"/>
      <c r="C132" s="1550">
        <v>103</v>
      </c>
      <c r="D132" s="1550">
        <v>103</v>
      </c>
      <c r="E132" s="1550">
        <v>100</v>
      </c>
      <c r="F132" s="1550">
        <v>110</v>
      </c>
      <c r="G132" s="1539">
        <v>100</v>
      </c>
      <c r="H132" s="1564"/>
      <c r="I132" s="1564"/>
      <c r="J132" s="1564"/>
      <c r="K132" s="1564"/>
      <c r="L132" s="1564"/>
      <c r="M132" s="1613"/>
      <c r="N132" s="1581"/>
      <c r="O132" s="1581"/>
      <c r="P132" s="1755"/>
      <c r="Q132" s="1516"/>
      <c r="R132" s="1409"/>
      <c r="S132" s="1409"/>
      <c r="T132" s="1409"/>
      <c r="U132" s="1409"/>
      <c r="V132" s="1409"/>
      <c r="W132" s="1409"/>
      <c r="X132" s="1409"/>
      <c r="Y132" s="1409"/>
      <c r="Z132" s="1409"/>
      <c r="AA132" s="1409"/>
      <c r="AB132" s="1409"/>
      <c r="AC132"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1739</v>
      </c>
      <c r="B1" s="880"/>
      <c r="C1" s="2200" t="s">
        <v>1740</v>
      </c>
      <c r="D1" s="341"/>
      <c r="E1" s="341"/>
      <c r="F1" s="341"/>
      <c r="G1" s="881">
        <f>MATCH(B1,'数据-取费表'!A6:A16,0)+5</f>
        <v>8</v>
      </c>
      <c r="H1" s="1864" t="str">
        <f>IF(ISERROR(FIND("住宅",B1)),"非住宅","住宅")</f>
        <v>非住宅</v>
      </c>
    </row>
    <row r="2" spans="1:8" s="331" customFormat="1" ht="18" customHeight="1">
      <c r="A2" s="343" t="s">
        <v>1648</v>
      </c>
      <c r="B2" s="2201">
        <f ca="1">ROUND(IF(D2="——",C52/10000,C52/10000-E2),4)</f>
        <v>42637.949399999998</v>
      </c>
      <c r="C2" s="342" t="s">
        <v>1649</v>
      </c>
      <c r="D2" s="882" t="s">
        <v>124</v>
      </c>
      <c r="E2" s="883" t="e">
        <f ca="1">SUMIF(INDIRECT("'"&amp;G2&amp;"'"&amp;"!A:A"),"承租人权益价值",INDIRECT("'"&amp;G2&amp;"'"&amp;"!c:c"))</f>
        <v>#REF!</v>
      </c>
      <c r="F2" s="884" t="s">
        <v>1649</v>
      </c>
      <c r="G2" s="885"/>
    </row>
    <row r="3" spans="1:8" s="331" customFormat="1" ht="18" customHeight="1">
      <c r="A3" s="346" t="s">
        <v>1650</v>
      </c>
      <c r="B3" s="347">
        <f ca="1">ROUND(B2*10000/(IF(B1="",'数据-汇总表'!E3,INDIRECT("'数据-取费表'!k"&amp;$G$1))),0)</f>
        <v>6537</v>
      </c>
      <c r="C3" s="342" t="s">
        <v>1741</v>
      </c>
      <c r="D3" s="342"/>
      <c r="E3" s="342"/>
      <c r="F3" s="342"/>
      <c r="G3" s="342"/>
    </row>
    <row r="4" spans="1:8" s="332" customFormat="1" ht="15.75">
      <c r="A4" s="348" t="s">
        <v>1742</v>
      </c>
      <c r="B4" s="349"/>
      <c r="C4" s="349"/>
      <c r="D4" s="349"/>
      <c r="E4" s="349"/>
      <c r="F4" s="349"/>
      <c r="G4" s="350"/>
    </row>
    <row r="5" spans="1:8" s="333" customFormat="1" ht="13.5" customHeight="1">
      <c r="A5" s="351" t="s">
        <v>1743</v>
      </c>
      <c r="B5" s="352" t="s">
        <v>1744</v>
      </c>
      <c r="C5" s="353">
        <f ca="1">C6+C7+C8</f>
        <v>13044384</v>
      </c>
      <c r="D5" s="353" t="s">
        <v>1745</v>
      </c>
      <c r="E5" s="354" t="s">
        <v>1746</v>
      </c>
      <c r="F5" s="354" t="s">
        <v>937</v>
      </c>
      <c r="G5" s="355"/>
    </row>
    <row r="6" spans="1:8" s="333" customFormat="1" ht="13.5" customHeight="1">
      <c r="A6" s="356" t="s">
        <v>1747</v>
      </c>
      <c r="B6" s="357" t="s">
        <v>1748</v>
      </c>
      <c r="C6" s="358"/>
      <c r="D6" s="359"/>
      <c r="E6" s="360"/>
      <c r="F6" s="360"/>
      <c r="G6" s="361"/>
    </row>
    <row r="7" spans="1:8" s="333" customFormat="1" ht="13.5" customHeight="1">
      <c r="A7" s="356" t="s">
        <v>1749</v>
      </c>
      <c r="B7" s="357" t="s">
        <v>1750</v>
      </c>
      <c r="C7" s="362">
        <f>ROUND(C6*F7,0)</f>
        <v>0</v>
      </c>
      <c r="D7" s="362"/>
      <c r="E7" s="360"/>
      <c r="F7" s="363">
        <f>IF(项目基本情况!B8="出让",0,'数据-取费表'!B48+'数据-取费表'!B49)</f>
        <v>3.0499999999999999E-2</v>
      </c>
      <c r="G7" s="361"/>
    </row>
    <row r="8" spans="1:8" s="334" customFormat="1">
      <c r="A8" s="356" t="s">
        <v>1751</v>
      </c>
      <c r="B8" s="357" t="s">
        <v>1752</v>
      </c>
      <c r="C8" s="362">
        <f ca="1">IF(G8="已包含在土地购买价格中",0,C9+C10)</f>
        <v>13044384</v>
      </c>
      <c r="D8" s="364"/>
      <c r="E8" s="362"/>
      <c r="F8" s="363"/>
      <c r="G8" s="886"/>
    </row>
    <row r="9" spans="1:8" s="333" customFormat="1" ht="13.5" customHeight="1">
      <c r="A9" s="366" t="s">
        <v>1753</v>
      </c>
      <c r="B9" s="367" t="s">
        <v>1754</v>
      </c>
      <c r="C9" s="368">
        <f ca="1">ROUND(D9*E9,0)</f>
        <v>0</v>
      </c>
      <c r="D9" s="369">
        <f ca="1">IF(B1="",'数据-汇总表'!E5,IF(INDIRECT("'数据-取费表'!c"&amp;$G$1)="住宅",INDIRECT("'数据-取费表'!k"&amp;$G$1),0))</f>
        <v>0</v>
      </c>
      <c r="E9" s="368">
        <f>'数据-取费表'!B27</f>
        <v>160</v>
      </c>
      <c r="F9" s="363"/>
      <c r="G9" s="370"/>
    </row>
    <row r="10" spans="1:8" s="333" customFormat="1" ht="13.5" customHeight="1">
      <c r="A10" s="366" t="s">
        <v>1755</v>
      </c>
      <c r="B10" s="367" t="s">
        <v>1756</v>
      </c>
      <c r="C10" s="368">
        <f ca="1">ROUND(D10*E10,0)</f>
        <v>13044384</v>
      </c>
      <c r="D10" s="369">
        <f ca="1">IF(B1="",'数据-汇总表'!E6,IF(INDIRECT("'数据-取费表'!c"&amp;$G$1)="住宅",INDIRECT("'数据-取费表'!s"&amp;$G$1),INDIRECT("'数据-取费表'!k"&amp;$G$1)+INDIRECT("'数据-取费表'!s"&amp;$G$1)))</f>
        <v>65221.919999999998</v>
      </c>
      <c r="E10" s="368">
        <f>'数据-取费表'!B28</f>
        <v>200</v>
      </c>
      <c r="F10" s="363"/>
      <c r="G10" s="370"/>
    </row>
    <row r="11" spans="1:8" s="333" customFormat="1" ht="13.5" hidden="1" customHeight="1">
      <c r="A11" s="371" t="s">
        <v>1757</v>
      </c>
      <c r="B11" s="357" t="s">
        <v>1758</v>
      </c>
      <c r="C11" s="353"/>
      <c r="D11" s="360"/>
      <c r="E11" s="360"/>
      <c r="F11" s="360"/>
      <c r="G11" s="361"/>
    </row>
    <row r="12" spans="1:8" s="333" customFormat="1" ht="13.5" hidden="1" customHeight="1">
      <c r="A12" s="371" t="s">
        <v>1759</v>
      </c>
      <c r="B12" s="357" t="s">
        <v>973</v>
      </c>
      <c r="C12" s="353">
        <v>0</v>
      </c>
      <c r="D12" s="360"/>
      <c r="E12" s="372"/>
      <c r="F12" s="363">
        <v>3.0499999999999999E-2</v>
      </c>
      <c r="G12" s="361"/>
    </row>
    <row r="13" spans="1:8" s="333" customFormat="1" ht="13.5" hidden="1" customHeight="1">
      <c r="A13" s="371" t="s">
        <v>1760</v>
      </c>
      <c r="B13" s="357" t="s">
        <v>1761</v>
      </c>
      <c r="C13" s="353"/>
      <c r="D13" s="360"/>
      <c r="E13" s="360"/>
      <c r="F13" s="360"/>
      <c r="G13" s="361"/>
    </row>
    <row r="14" spans="1:8" s="333" customFormat="1" ht="13.5" hidden="1" customHeight="1">
      <c r="A14" s="371" t="s">
        <v>1762</v>
      </c>
      <c r="B14" s="357" t="s">
        <v>1752</v>
      </c>
      <c r="C14" s="353"/>
      <c r="D14" s="360"/>
      <c r="E14" s="360"/>
      <c r="F14" s="360"/>
      <c r="G14" s="361" t="s">
        <v>1763</v>
      </c>
    </row>
    <row r="15" spans="1:8" s="333" customFormat="1" ht="13.5" hidden="1" customHeight="1">
      <c r="A15" s="371" t="s">
        <v>1764</v>
      </c>
      <c r="B15" s="357" t="s">
        <v>1765</v>
      </c>
      <c r="C15" s="362"/>
      <c r="D15" s="360"/>
      <c r="E15" s="360"/>
      <c r="F15" s="360"/>
      <c r="G15" s="361" t="s">
        <v>1766</v>
      </c>
    </row>
    <row r="16" spans="1:8" s="333" customFormat="1" ht="13.5" hidden="1" customHeight="1">
      <c r="A16" s="371" t="s">
        <v>1767</v>
      </c>
      <c r="B16" s="357" t="s">
        <v>1752</v>
      </c>
      <c r="C16" s="362"/>
      <c r="D16" s="360"/>
      <c r="E16" s="360"/>
      <c r="F16" s="360"/>
      <c r="G16" s="361"/>
    </row>
    <row r="17" spans="1:7" s="333" customFormat="1" ht="13.5" hidden="1" customHeight="1">
      <c r="A17" s="371" t="s">
        <v>1768</v>
      </c>
      <c r="B17" s="357" t="s">
        <v>1769</v>
      </c>
      <c r="C17" s="373"/>
      <c r="D17" s="373"/>
      <c r="E17" s="373"/>
      <c r="F17" s="373"/>
      <c r="G17" s="361" t="s">
        <v>1766</v>
      </c>
    </row>
    <row r="18" spans="1:7" s="333" customFormat="1" ht="13.5" hidden="1" customHeight="1">
      <c r="A18" s="371" t="s">
        <v>1770</v>
      </c>
      <c r="B18" s="357" t="s">
        <v>1771</v>
      </c>
      <c r="C18" s="362">
        <v>0</v>
      </c>
      <c r="D18" s="360"/>
      <c r="E18" s="360"/>
      <c r="F18" s="363">
        <v>3.0499999999999999E-2</v>
      </c>
      <c r="G18" s="361" t="s">
        <v>1772</v>
      </c>
    </row>
    <row r="19" spans="1:7" s="334" customFormat="1" ht="13.5" customHeight="1">
      <c r="A19" s="351" t="s">
        <v>1773</v>
      </c>
      <c r="B19" s="352" t="s">
        <v>1774</v>
      </c>
      <c r="C19" s="353">
        <f ca="1">IF(G19="已包含在土地取得成本中","0",ROUND(D19*E19,0))</f>
        <v>13044384</v>
      </c>
      <c r="D19" s="354">
        <f ca="1">D9+D10</f>
        <v>65221.919999999998</v>
      </c>
      <c r="E19" s="353">
        <f>'数据-取费表'!B31</f>
        <v>200</v>
      </c>
      <c r="F19" s="375"/>
      <c r="G19" s="886"/>
    </row>
    <row r="20" spans="1:7" s="333" customFormat="1" ht="13.5" customHeight="1">
      <c r="A20" s="351" t="s">
        <v>1775</v>
      </c>
      <c r="B20" s="352" t="s">
        <v>1776</v>
      </c>
      <c r="C20" s="376">
        <f ca="1">ROUND((C5+C19)*F20,0)</f>
        <v>521775</v>
      </c>
      <c r="D20" s="376"/>
      <c r="E20" s="376"/>
      <c r="F20" s="377">
        <f>'数据-取费表'!B37</f>
        <v>0.02</v>
      </c>
      <c r="G20" s="381" t="s">
        <v>1777</v>
      </c>
    </row>
    <row r="21" spans="1:7" s="333" customFormat="1" ht="13.5" customHeight="1">
      <c r="A21" s="351" t="s">
        <v>1778</v>
      </c>
      <c r="B21" s="352" t="s">
        <v>1779</v>
      </c>
      <c r="C21" s="379">
        <f>F21</f>
        <v>0.02</v>
      </c>
      <c r="D21" s="380" t="s">
        <v>1780</v>
      </c>
      <c r="E21" s="376"/>
      <c r="F21" s="377">
        <f>'数据-取费表'!B38</f>
        <v>0.02</v>
      </c>
      <c r="G21" s="381" t="s">
        <v>1781</v>
      </c>
    </row>
    <row r="22" spans="1:7" s="333" customFormat="1" ht="13.5" customHeight="1">
      <c r="A22" s="351" t="s">
        <v>1782</v>
      </c>
      <c r="B22" s="352" t="s">
        <v>1783</v>
      </c>
      <c r="C22" s="376">
        <f ca="1">ROUND(SUM(C23:C25),0)</f>
        <v>2020541</v>
      </c>
      <c r="D22" s="379">
        <f ca="1">C26</f>
        <v>8.0000000000000004E-4</v>
      </c>
      <c r="E22" s="380" t="s">
        <v>1780</v>
      </c>
      <c r="F22" s="383">
        <f ca="1">'数据-取费表'!B40</f>
        <v>0.03</v>
      </c>
      <c r="G22" s="381" t="str">
        <f>IF('数据-取费表'!B22&lt;=1,"单利计息","复利计息")</f>
        <v>复利计息</v>
      </c>
    </row>
    <row r="23" spans="1:7" s="333" customFormat="1" ht="13.5" customHeight="1">
      <c r="A23" s="384" t="s">
        <v>1747</v>
      </c>
      <c r="B23" s="357" t="s">
        <v>1784</v>
      </c>
      <c r="C23" s="386">
        <f ca="1">ROUND(IF('数据-取费表'!B22&lt;=1,C5*F22*'数据-取费表'!B22,C5*(POWER((1+F22),'数据-取费表'!B22)-1)),0)</f>
        <v>1000451</v>
      </c>
      <c r="D23" s="386"/>
      <c r="E23" s="386"/>
      <c r="F23" s="387"/>
      <c r="G23" s="388" t="s">
        <v>1785</v>
      </c>
    </row>
    <row r="24" spans="1:7" s="333" customFormat="1" ht="13.5" customHeight="1">
      <c r="A24" s="384" t="s">
        <v>1749</v>
      </c>
      <c r="B24" s="357" t="s">
        <v>1786</v>
      </c>
      <c r="C24" s="386">
        <f ca="1">ROUND(IF('数据-取费表'!B22&lt;=1,C19*F22*('数据-取费表'!B19/2+'数据-取费表'!B20),C19*(POWER((1+F22),('数据-取费表'!B19/2+'数据-取费表'!B20))-1)),0)</f>
        <v>1000451</v>
      </c>
      <c r="D24" s="386"/>
      <c r="E24" s="386"/>
      <c r="F24" s="387"/>
      <c r="G24" s="388" t="s">
        <v>1787</v>
      </c>
    </row>
    <row r="25" spans="1:7" s="333" customFormat="1" ht="24">
      <c r="A25" s="384" t="s">
        <v>1751</v>
      </c>
      <c r="B25" s="357" t="s">
        <v>1788</v>
      </c>
      <c r="C25" s="386">
        <f ca="1">ROUND(IF('数据-取费表'!B22&lt;=1,C20*F22*'数据-取费表'!B22/2,C20*(POWER((1+F22),'数据-取费表'!B22/2)-1)),0)</f>
        <v>19639</v>
      </c>
      <c r="D25" s="386"/>
      <c r="E25" s="389"/>
      <c r="F25" s="387"/>
      <c r="G25" s="390" t="s">
        <v>1789</v>
      </c>
    </row>
    <row r="26" spans="1:7" s="333" customFormat="1">
      <c r="A26" s="384" t="s">
        <v>1790</v>
      </c>
      <c r="B26" s="357" t="s">
        <v>1791</v>
      </c>
      <c r="C26" s="386">
        <f ca="1">ROUND(IF('数据-取费表'!B22&lt;=1,F21*F22*'数据-取费表'!B22/2,F21*(POWER((1+F22),'数据-取费表'!B22/2)-1)),4)</f>
        <v>8.0000000000000004E-4</v>
      </c>
      <c r="D26" s="386"/>
      <c r="E26" s="389"/>
      <c r="F26" s="387"/>
      <c r="G26" s="391"/>
    </row>
    <row r="27" spans="1:7" s="333" customFormat="1" ht="24.75">
      <c r="A27" s="351" t="s">
        <v>1792</v>
      </c>
      <c r="B27" s="392" t="s">
        <v>1793</v>
      </c>
      <c r="C27" s="393">
        <f ca="1">C28</f>
        <v>4789898</v>
      </c>
      <c r="D27" s="379">
        <f ca="1">C29</f>
        <v>3.5999999999999999E-3</v>
      </c>
      <c r="E27" s="380" t="s">
        <v>1780</v>
      </c>
      <c r="F27" s="394">
        <f ca="1">IF(B1="",'数据-取费表'!Q16,INDIRECT("'数据-取费表'!q"&amp;$G$1))</f>
        <v>0.18</v>
      </c>
      <c r="G27" s="395" t="s">
        <v>1794</v>
      </c>
    </row>
    <row r="28" spans="1:7" s="333" customFormat="1" ht="13.5" customHeight="1">
      <c r="A28" s="384" t="s">
        <v>1747</v>
      </c>
      <c r="B28" s="396" t="s">
        <v>1795</v>
      </c>
      <c r="C28" s="397">
        <f ca="1">ROUND((C5+C19+C20)*F27,0)</f>
        <v>4789898</v>
      </c>
      <c r="D28" s="379"/>
      <c r="E28" s="380"/>
      <c r="F28" s="394"/>
      <c r="G28" s="395"/>
    </row>
    <row r="29" spans="1:7" s="333" customFormat="1" ht="13.5" customHeight="1">
      <c r="A29" s="384" t="s">
        <v>1749</v>
      </c>
      <c r="B29" s="396" t="s">
        <v>1796</v>
      </c>
      <c r="C29" s="386">
        <f ca="1">ROUND(C21*F27,4)</f>
        <v>3.5999999999999999E-3</v>
      </c>
      <c r="D29" s="379"/>
      <c r="E29" s="380"/>
      <c r="F29" s="394"/>
      <c r="G29" s="395"/>
    </row>
    <row r="30" spans="1:7" s="333" customFormat="1" ht="13.5" customHeight="1">
      <c r="A30" s="351" t="s">
        <v>1797</v>
      </c>
      <c r="B30" s="352" t="s">
        <v>1798</v>
      </c>
      <c r="C30" s="379">
        <f>ROUND(F30/(1+'数据-取费表'!C42),4)</f>
        <v>5.33E-2</v>
      </c>
      <c r="D30" s="380" t="s">
        <v>1780</v>
      </c>
      <c r="E30" s="389"/>
      <c r="F30" s="383">
        <f>'数据-取费表'!B41</f>
        <v>5.6000000000000001E-2</v>
      </c>
      <c r="G30" s="381" t="s">
        <v>1799</v>
      </c>
    </row>
    <row r="31" spans="1:7" ht="16.5" customHeight="1">
      <c r="A31" s="398">
        <v>1</v>
      </c>
      <c r="B31" s="352" t="s">
        <v>1800</v>
      </c>
      <c r="C31" s="353">
        <f ca="1">ROUND((C5+C19+C20+C22+C27)/(1-C21-D22-D27-C30),0)</f>
        <v>36236563</v>
      </c>
      <c r="D31" s="399"/>
      <c r="E31" s="353"/>
      <c r="F31" s="400"/>
      <c r="G31" s="381" t="s">
        <v>1801</v>
      </c>
    </row>
    <row r="32" spans="1:7" s="332" customFormat="1" ht="15.75">
      <c r="A32" s="401" t="s">
        <v>1802</v>
      </c>
      <c r="B32" s="402"/>
      <c r="C32" s="402"/>
      <c r="D32" s="402"/>
      <c r="E32" s="402"/>
      <c r="F32" s="402"/>
      <c r="G32" s="403"/>
    </row>
    <row r="33" spans="1:7" s="333" customFormat="1" ht="13.5" customHeight="1">
      <c r="A33" s="351" t="s">
        <v>1743</v>
      </c>
      <c r="B33" s="352" t="s">
        <v>1803</v>
      </c>
      <c r="C33" s="404">
        <f ca="1">SUM(C34:C38)</f>
        <v>396875383</v>
      </c>
      <c r="D33" s="376"/>
      <c r="E33" s="354"/>
      <c r="F33" s="389"/>
      <c r="G33" s="381"/>
    </row>
    <row r="34" spans="1:7" s="335" customFormat="1" ht="13.5" customHeight="1">
      <c r="A34" s="384" t="s">
        <v>1747</v>
      </c>
      <c r="B34" s="357" t="s">
        <v>1804</v>
      </c>
      <c r="C34" s="362">
        <f ca="1">ROUND(IF(B1="",SUMPRODUCT('数据-取费表'!K6:K14,'数据-取费表'!L6:L14),INDIRECT("'数据-取费表'!l"&amp;$G$1)*INDIRECT("'数据-取费表'!k"&amp;$G$1)+'数据-取费表'!L14*INDIRECT("'数据-取费表'!S"&amp;$G$1)),0)</f>
        <v>358720560</v>
      </c>
      <c r="D34" s="359"/>
      <c r="E34" s="362"/>
      <c r="F34" s="405"/>
      <c r="G34" s="361"/>
    </row>
    <row r="35" spans="1:7" ht="13.5" customHeight="1">
      <c r="A35" s="384" t="s">
        <v>1749</v>
      </c>
      <c r="B35" s="357" t="s">
        <v>1805</v>
      </c>
      <c r="C35" s="362">
        <f ca="1">ROUND(C34*F35,0)</f>
        <v>17936028</v>
      </c>
      <c r="D35" s="362"/>
      <c r="E35" s="362"/>
      <c r="F35" s="406">
        <f>'数据-取费表'!B33</f>
        <v>0.05</v>
      </c>
      <c r="G35" s="361" t="s">
        <v>1806</v>
      </c>
    </row>
    <row r="36" spans="1:7" ht="24">
      <c r="A36" s="384" t="s">
        <v>1751</v>
      </c>
      <c r="B36" s="357" t="s">
        <v>1807</v>
      </c>
      <c r="C36" s="362">
        <f ca="1">ROUND(IF(B1="",SUM('数据-取费表'!AP6:AP13)*F36,IF(INDIRECT("'数据-取费表'!c"&amp;$G$1)="住宅",INDIRECT("'数据-取费表'!k"&amp;$G$1)*INDIRECT("'数据-取费表'!l"&amp;$G$1)*F36,0)),0)</f>
        <v>0</v>
      </c>
      <c r="D36" s="362"/>
      <c r="E36" s="362"/>
      <c r="F36" s="406">
        <f>'数据-取费表'!B34</f>
        <v>0</v>
      </c>
      <c r="G36" s="407" t="s">
        <v>1808</v>
      </c>
    </row>
    <row r="37" spans="1:7" s="335" customFormat="1" ht="13.5" customHeight="1">
      <c r="A37" s="384" t="s">
        <v>1790</v>
      </c>
      <c r="B37" s="357" t="s">
        <v>1809</v>
      </c>
      <c r="C37" s="397">
        <f ca="1">ROUND(E37*D37,0)</f>
        <v>13044384</v>
      </c>
      <c r="D37" s="359">
        <f ca="1">D19</f>
        <v>65221.919999999998</v>
      </c>
      <c r="E37" s="397">
        <f>'数据-取费表'!B35</f>
        <v>200</v>
      </c>
      <c r="F37" s="406"/>
      <c r="G37" s="408"/>
    </row>
    <row r="38" spans="1:7" ht="13.5" customHeight="1">
      <c r="A38" s="384" t="s">
        <v>1810</v>
      </c>
      <c r="B38" s="357" t="s">
        <v>973</v>
      </c>
      <c r="C38" s="362">
        <f ca="1">ROUND(C34*F38,0)</f>
        <v>7174411</v>
      </c>
      <c r="D38" s="362"/>
      <c r="E38" s="362"/>
      <c r="F38" s="406">
        <f>'数据-取费表'!B36</f>
        <v>0.02</v>
      </c>
      <c r="G38" s="361" t="s">
        <v>1806</v>
      </c>
    </row>
    <row r="39" spans="1:7" s="333" customFormat="1" ht="13.5" customHeight="1">
      <c r="A39" s="351" t="s">
        <v>1773</v>
      </c>
      <c r="B39" s="352" t="s">
        <v>1776</v>
      </c>
      <c r="C39" s="376">
        <f ca="1">ROUND(C33*F20,0)</f>
        <v>7937508</v>
      </c>
      <c r="D39" s="376"/>
      <c r="E39" s="376"/>
      <c r="F39" s="377">
        <f>F20</f>
        <v>0.02</v>
      </c>
      <c r="G39" s="381" t="s">
        <v>1811</v>
      </c>
    </row>
    <row r="40" spans="1:7" s="333" customFormat="1" ht="13.5" customHeight="1">
      <c r="A40" s="351" t="s">
        <v>1775</v>
      </c>
      <c r="B40" s="352" t="s">
        <v>1779</v>
      </c>
      <c r="C40" s="379">
        <f>F21</f>
        <v>0.02</v>
      </c>
      <c r="D40" s="380" t="s">
        <v>1812</v>
      </c>
      <c r="E40" s="376"/>
      <c r="F40" s="377">
        <f>F21</f>
        <v>0.02</v>
      </c>
      <c r="G40" s="381" t="s">
        <v>1813</v>
      </c>
    </row>
    <row r="41" spans="1:7" s="333" customFormat="1" ht="13.5" customHeight="1">
      <c r="A41" s="351" t="s">
        <v>1778</v>
      </c>
      <c r="B41" s="352" t="s">
        <v>1783</v>
      </c>
      <c r="C41" s="376">
        <f ca="1">ROUND(SUM(C42:C43),0)</f>
        <v>15236988</v>
      </c>
      <c r="D41" s="379">
        <f ca="1">C44</f>
        <v>8.0000000000000004E-4</v>
      </c>
      <c r="E41" s="380" t="s">
        <v>1812</v>
      </c>
      <c r="F41" s="383">
        <f ca="1">F22</f>
        <v>0.03</v>
      </c>
      <c r="G41" s="381" t="str">
        <f>IF('数据-取费表'!B22&lt;=1,"单利计息","复利计息")</f>
        <v>复利计息</v>
      </c>
    </row>
    <row r="42" spans="1:7" ht="13.5" customHeight="1">
      <c r="A42" s="384" t="s">
        <v>1747</v>
      </c>
      <c r="B42" s="357" t="s">
        <v>1784</v>
      </c>
      <c r="C42" s="386">
        <f ca="1">ROUND(IF('数据-取费表'!B22&lt;=1,C33*F22*'数据-取费表'!B20/2,C33*(POWER((1+F22),'数据-取费表'!B20/2)-1)),0)</f>
        <v>14938224</v>
      </c>
      <c r="D42" s="386"/>
      <c r="E42" s="386"/>
      <c r="F42" s="387"/>
      <c r="G42" s="3478" t="s">
        <v>1814</v>
      </c>
    </row>
    <row r="43" spans="1:7" ht="13.5" customHeight="1">
      <c r="A43" s="384" t="s">
        <v>1749</v>
      </c>
      <c r="B43" s="357" t="s">
        <v>1786</v>
      </c>
      <c r="C43" s="386">
        <f ca="1">ROUND(IF('数据-取费表'!B22&lt;=1,C39*F22*'数据-取费表'!B20/2,C39*(POWER((1+F22),'数据-取费表'!B20/2)-1)),0)</f>
        <v>298764</v>
      </c>
      <c r="D43" s="386"/>
      <c r="E43" s="386"/>
      <c r="F43" s="387"/>
      <c r="G43" s="3479"/>
    </row>
    <row r="44" spans="1:7" ht="13.5" customHeight="1">
      <c r="A44" s="384" t="s">
        <v>1751</v>
      </c>
      <c r="B44" s="357" t="s">
        <v>1788</v>
      </c>
      <c r="C44" s="386">
        <f ca="1">ROUND(IF('数据-取费表'!B22&lt;=1,C40*F22*'数据-取费表'!B20/2,C40*(POWER((1+F22),'数据-取费表'!B20/2)-1)),4)</f>
        <v>8.0000000000000004E-4</v>
      </c>
      <c r="D44" s="386"/>
      <c r="E44" s="386"/>
      <c r="F44" s="387"/>
      <c r="G44" s="3480"/>
    </row>
    <row r="45" spans="1:7" s="333" customFormat="1" ht="13.5" customHeight="1">
      <c r="A45" s="351" t="s">
        <v>1782</v>
      </c>
      <c r="B45" s="392" t="s">
        <v>1793</v>
      </c>
      <c r="C45" s="393">
        <f ca="1">C46</f>
        <v>72866320</v>
      </c>
      <c r="D45" s="379">
        <f ca="1">C47</f>
        <v>3.5999999999999999E-3</v>
      </c>
      <c r="E45" s="380" t="s">
        <v>1812</v>
      </c>
      <c r="F45" s="394">
        <f ca="1">F27</f>
        <v>0.18</v>
      </c>
      <c r="G45" s="395" t="s">
        <v>1815</v>
      </c>
    </row>
    <row r="46" spans="1:7" s="333" customFormat="1" ht="13.5" customHeight="1">
      <c r="A46" s="384" t="s">
        <v>1747</v>
      </c>
      <c r="B46" s="396" t="s">
        <v>1816</v>
      </c>
      <c r="C46" s="397">
        <f ca="1">ROUND((C33+C39)*F27,0)</f>
        <v>72866320</v>
      </c>
      <c r="D46" s="410"/>
      <c r="E46" s="380"/>
      <c r="F46" s="394"/>
      <c r="G46" s="395"/>
    </row>
    <row r="47" spans="1:7" s="333" customFormat="1" ht="13.5" customHeight="1">
      <c r="A47" s="384" t="s">
        <v>1749</v>
      </c>
      <c r="B47" s="396" t="s">
        <v>1817</v>
      </c>
      <c r="C47" s="386">
        <f ca="1">ROUND(C40*F27,4)</f>
        <v>3.5999999999999999E-3</v>
      </c>
      <c r="D47" s="410"/>
      <c r="E47" s="380"/>
      <c r="F47" s="394"/>
      <c r="G47" s="395"/>
    </row>
    <row r="48" spans="1:7" s="333" customFormat="1" ht="13.5" customHeight="1">
      <c r="A48" s="351" t="s">
        <v>1792</v>
      </c>
      <c r="B48" s="352" t="s">
        <v>1798</v>
      </c>
      <c r="C48" s="409">
        <f>ROUND(F30/(1+'数据-取费表'!C42),4)</f>
        <v>5.33E-2</v>
      </c>
      <c r="D48" s="380" t="s">
        <v>1812</v>
      </c>
      <c r="E48" s="376"/>
      <c r="F48" s="383">
        <f>F30</f>
        <v>5.6000000000000001E-2</v>
      </c>
      <c r="G48" s="381" t="s">
        <v>1818</v>
      </c>
    </row>
    <row r="49" spans="1:7" ht="16.5" customHeight="1">
      <c r="A49" s="351" t="s">
        <v>1797</v>
      </c>
      <c r="B49" s="352" t="s">
        <v>1819</v>
      </c>
      <c r="C49" s="376">
        <f ca="1">ROUND((C33+C39+C41+C45)/(1-C40-D41-D45-C48),0)</f>
        <v>534442371</v>
      </c>
      <c r="D49" s="376"/>
      <c r="E49" s="376"/>
      <c r="F49" s="411"/>
      <c r="G49" s="381" t="s">
        <v>1820</v>
      </c>
    </row>
    <row r="50" spans="1:7" s="335" customFormat="1">
      <c r="A50" s="351" t="s">
        <v>1821</v>
      </c>
      <c r="B50" s="352" t="s">
        <v>1822</v>
      </c>
      <c r="C50" s="376"/>
      <c r="D50" s="376"/>
      <c r="E50" s="376"/>
      <c r="F50" s="411">
        <f>IF('数据-取费表'!B24=0,'数据-取费表'!N16,1)</f>
        <v>0.73</v>
      </c>
      <c r="G50" s="395"/>
    </row>
    <row r="51" spans="1:7" ht="16.5" customHeight="1">
      <c r="A51" s="351" t="s">
        <v>1823</v>
      </c>
      <c r="B51" s="352" t="s">
        <v>1824</v>
      </c>
      <c r="C51" s="376">
        <f ca="1">ROUND(C49*F50,0)</f>
        <v>390142931</v>
      </c>
      <c r="D51" s="376"/>
      <c r="E51" s="376"/>
      <c r="F51" s="411"/>
      <c r="G51" s="381" t="s">
        <v>1825</v>
      </c>
    </row>
    <row r="52" spans="1:7" s="332" customFormat="1" ht="15.75">
      <c r="A52" s="412" t="s">
        <v>1826</v>
      </c>
      <c r="B52" s="413"/>
      <c r="C52" s="414">
        <f ca="1">C31+C51</f>
        <v>426379494</v>
      </c>
      <c r="D52" s="413"/>
      <c r="E52" s="413"/>
      <c r="F52" s="413"/>
      <c r="G52" s="415"/>
    </row>
    <row r="55" spans="1:7" ht="15">
      <c r="B55" s="416" t="s">
        <v>1827</v>
      </c>
      <c r="C55" s="417"/>
    </row>
    <row r="56" spans="1:7">
      <c r="B56" s="418" t="s">
        <v>1828</v>
      </c>
      <c r="C56" s="420">
        <f ca="1">1-C57</f>
        <v>8.4999999999999964E-2</v>
      </c>
    </row>
    <row r="57" spans="1:7">
      <c r="B57" s="418" t="s">
        <v>1829</v>
      </c>
      <c r="C57" s="419">
        <f ca="1">ROUND(C51/C52,3)</f>
        <v>0.91500000000000004</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272" customWidth="1"/>
    <col min="2" max="2" width="25.75" style="2116" customWidth="1"/>
    <col min="3" max="3" width="10.375" style="2117" customWidth="1"/>
    <col min="4" max="4" width="9.875" style="2116" customWidth="1"/>
    <col min="5" max="5" width="9.5" style="1272" customWidth="1"/>
    <col min="6" max="6" width="10.125" style="2116" customWidth="1"/>
    <col min="7" max="7" width="10.75" style="2116" customWidth="1"/>
    <col min="8" max="8" width="10" style="2116" customWidth="1"/>
    <col min="9" max="11" width="9.5" style="2116" customWidth="1"/>
    <col min="12" max="12" width="9" style="2116" customWidth="1"/>
    <col min="13" max="13" width="10.5" style="2116" customWidth="1"/>
    <col min="14" max="254" width="9" style="2116" customWidth="1"/>
    <col min="255" max="16384" width="6.625" style="2116"/>
  </cols>
  <sheetData>
    <row r="1" spans="1:33" ht="20.25">
      <c r="A1" s="339" t="s">
        <v>1830</v>
      </c>
      <c r="B1" s="1006"/>
      <c r="C1" s="2118"/>
      <c r="D1" s="2119"/>
      <c r="E1" s="2120"/>
      <c r="F1" s="2120"/>
      <c r="G1" s="2121"/>
      <c r="H1" s="2120"/>
      <c r="I1" s="2120"/>
      <c r="J1" s="2120"/>
      <c r="K1" s="2188">
        <f>MATCH(C1,'数据-取费表'!A6:A16,0)+5</f>
        <v>8</v>
      </c>
    </row>
    <row r="2" spans="1:33" ht="18" customHeight="1">
      <c r="A2" s="343" t="s">
        <v>1648</v>
      </c>
      <c r="B2" s="347">
        <f ca="1">C32</f>
        <v>0</v>
      </c>
      <c r="C2" s="2122" t="s">
        <v>1831</v>
      </c>
      <c r="D2" s="2122"/>
      <c r="E2" s="2120"/>
      <c r="F2" s="2120"/>
      <c r="G2" s="2120"/>
      <c r="H2" s="2120"/>
      <c r="I2" s="2120"/>
      <c r="J2" s="2120"/>
      <c r="K2" s="2120"/>
    </row>
    <row r="3" spans="1:33" ht="18" customHeight="1">
      <c r="A3" s="346" t="s">
        <v>1650</v>
      </c>
      <c r="B3" s="347">
        <f ca="1">ROUND(B2*10000/IF(C1="",'数据-汇总表'!E3,INDIRECT("'数据-取费表'!K"&amp;$K$1)),0)</f>
        <v>0</v>
      </c>
      <c r="C3" s="2122" t="s">
        <v>1832</v>
      </c>
      <c r="D3" s="2122"/>
      <c r="E3" s="2120"/>
      <c r="F3" s="2120"/>
      <c r="G3" s="2120"/>
      <c r="H3" s="2120"/>
      <c r="I3" s="2120"/>
      <c r="J3" s="2120"/>
      <c r="K3" s="2120"/>
    </row>
    <row r="4" spans="1:33" s="2108" customFormat="1" ht="16.5" customHeight="1">
      <c r="A4" s="2123" t="s">
        <v>1833</v>
      </c>
      <c r="B4" s="2124"/>
      <c r="C4" s="2125">
        <f>SUM(C8:K8)</f>
        <v>0</v>
      </c>
      <c r="D4" s="2124"/>
      <c r="E4" s="2124"/>
      <c r="F4" s="2124"/>
      <c r="G4" s="2124"/>
      <c r="H4" s="2124"/>
      <c r="I4" s="2124"/>
      <c r="J4" s="2124"/>
      <c r="K4" s="2189"/>
    </row>
    <row r="5" spans="1:33" s="2109" customFormat="1" ht="15">
      <c r="A5" s="2126" t="s">
        <v>1834</v>
      </c>
      <c r="B5" s="2127" t="s">
        <v>1835</v>
      </c>
      <c r="C5" s="2128"/>
      <c r="D5" s="2128"/>
      <c r="E5" s="2128"/>
      <c r="F5" s="2128"/>
      <c r="G5" s="2128"/>
      <c r="H5" s="2128"/>
      <c r="I5" s="2128"/>
      <c r="J5" s="2128"/>
      <c r="K5" s="2128"/>
      <c r="L5" s="2190"/>
      <c r="M5" s="2190"/>
      <c r="N5" s="2190"/>
      <c r="O5" s="2190"/>
      <c r="P5" s="2190"/>
      <c r="Q5" s="2190"/>
      <c r="R5" s="2190"/>
      <c r="S5" s="2190"/>
      <c r="T5" s="2190"/>
      <c r="U5" s="2190"/>
      <c r="V5" s="2190"/>
      <c r="W5" s="2190"/>
      <c r="X5" s="2190"/>
      <c r="Y5" s="2190"/>
      <c r="Z5" s="2190"/>
      <c r="AA5" s="2190"/>
      <c r="AB5" s="2190"/>
      <c r="AC5" s="2190"/>
      <c r="AD5" s="2190"/>
      <c r="AE5" s="2190"/>
      <c r="AF5" s="2190"/>
      <c r="AG5" s="2190"/>
    </row>
    <row r="6" spans="1:33" s="1191" customFormat="1" ht="13.5" customHeight="1">
      <c r="A6" s="2129" t="s">
        <v>942</v>
      </c>
      <c r="B6" s="968" t="s">
        <v>1836</v>
      </c>
      <c r="C6" s="2130"/>
      <c r="D6" s="2130"/>
      <c r="E6" s="2130"/>
      <c r="F6" s="2130"/>
      <c r="G6" s="2130"/>
      <c r="H6" s="2130"/>
      <c r="I6" s="2130"/>
      <c r="J6" s="2130"/>
      <c r="K6" s="2191"/>
      <c r="L6" s="1192"/>
      <c r="M6" s="1192"/>
      <c r="N6" s="1192"/>
      <c r="O6" s="1192"/>
      <c r="P6" s="1192"/>
      <c r="Q6" s="1192"/>
      <c r="R6" s="1192"/>
      <c r="S6" s="1192"/>
      <c r="T6" s="1192"/>
      <c r="U6" s="1192"/>
      <c r="V6" s="1192"/>
      <c r="W6" s="1192"/>
      <c r="X6" s="1192"/>
      <c r="Y6" s="1192"/>
      <c r="Z6" s="1192"/>
      <c r="AA6" s="1192"/>
      <c r="AB6" s="1192"/>
      <c r="AC6" s="1192"/>
      <c r="AD6" s="1192"/>
      <c r="AE6" s="1192"/>
      <c r="AF6" s="1192"/>
      <c r="AG6" s="1192"/>
    </row>
    <row r="7" spans="1:33" s="1191" customFormat="1" ht="13.5" customHeight="1">
      <c r="A7" s="2129" t="s">
        <v>946</v>
      </c>
      <c r="B7" s="968" t="s">
        <v>508</v>
      </c>
      <c r="C7" s="2131">
        <f>SUMIF('数据-汇总表'!$C19:$C33,假设开发法!C5,'数据-汇总表'!$E19:$E33)</f>
        <v>0</v>
      </c>
      <c r="D7" s="2131">
        <f>SUMIF('数据-汇总表'!$C19:$C33,假设开发法!D5,'数据-汇总表'!$E19:$E33)</f>
        <v>0</v>
      </c>
      <c r="E7" s="2131">
        <f>SUMIF('数据-汇总表'!$C19:$C33,假设开发法!E5,'数据-汇总表'!$E19:$E33)</f>
        <v>0</v>
      </c>
      <c r="F7" s="2131">
        <f>SUMIF('数据-汇总表'!$C19:$C33,假设开发法!F5,'数据-汇总表'!$E19:$E33)</f>
        <v>0</v>
      </c>
      <c r="G7" s="2131">
        <f>SUMIF('数据-汇总表'!$C19:$C33,假设开发法!G5,'数据-汇总表'!$E19:$E33)</f>
        <v>0</v>
      </c>
      <c r="H7" s="2131">
        <f>SUMIF('数据-汇总表'!$C19:$C33,假设开发法!H5,'数据-汇总表'!$E19:$E33)</f>
        <v>0</v>
      </c>
      <c r="I7" s="2131">
        <f>SUMIF('数据-汇总表'!$C19:$C33,假设开发法!I5,'数据-汇总表'!$E19:$E33)</f>
        <v>0</v>
      </c>
      <c r="J7" s="2131">
        <f>SUMIF('数据-汇总表'!$C19:$C33,假设开发法!J5,'数据-汇总表'!$E19:$E33)</f>
        <v>0</v>
      </c>
      <c r="K7" s="2192">
        <f>SUMIF('数据-汇总表'!$C19:$C33,假设开发法!K5,'数据-汇总表'!$E19:$E33)</f>
        <v>0</v>
      </c>
      <c r="L7" s="1192"/>
      <c r="M7" s="1192"/>
      <c r="N7" s="1192"/>
      <c r="O7" s="1192"/>
      <c r="P7" s="1192"/>
      <c r="Q7" s="1192"/>
      <c r="R7" s="1192"/>
      <c r="S7" s="1192"/>
      <c r="T7" s="1192"/>
      <c r="U7" s="1192"/>
      <c r="V7" s="1192"/>
      <c r="W7" s="1192"/>
      <c r="X7" s="1192"/>
      <c r="Y7" s="1192"/>
      <c r="Z7" s="1192"/>
      <c r="AA7" s="1192"/>
      <c r="AB7" s="1192"/>
      <c r="AC7" s="1192"/>
      <c r="AD7" s="1192"/>
      <c r="AE7" s="1192"/>
      <c r="AF7" s="1192"/>
      <c r="AG7" s="1192"/>
    </row>
    <row r="8" spans="1:33" s="1191" customFormat="1" ht="13.5" customHeight="1">
      <c r="A8" s="2132" t="s">
        <v>991</v>
      </c>
      <c r="B8" s="2133" t="s">
        <v>1837</v>
      </c>
      <c r="C8" s="2134"/>
      <c r="D8" s="2134"/>
      <c r="E8" s="2134"/>
      <c r="F8" s="2135"/>
      <c r="G8" s="2135"/>
      <c r="H8" s="2135"/>
      <c r="I8" s="2135"/>
      <c r="J8" s="2135"/>
      <c r="K8" s="2193"/>
      <c r="L8" s="1192"/>
      <c r="M8" s="1192"/>
      <c r="N8" s="1192"/>
      <c r="O8" s="1192"/>
      <c r="P8" s="1192"/>
      <c r="Q8" s="1192"/>
      <c r="R8" s="1192"/>
      <c r="S8" s="1192"/>
      <c r="T8" s="1192"/>
      <c r="U8" s="1192"/>
      <c r="V8" s="1192"/>
      <c r="W8" s="1192"/>
      <c r="X8" s="1192"/>
      <c r="Y8" s="1192"/>
      <c r="Z8" s="1192"/>
      <c r="AA8" s="1192"/>
      <c r="AB8" s="1192"/>
      <c r="AC8" s="1192"/>
      <c r="AD8" s="1192"/>
      <c r="AE8" s="1192"/>
      <c r="AF8" s="1192"/>
      <c r="AG8" s="1192"/>
    </row>
    <row r="9" spans="1:33" s="2108" customFormat="1" ht="16.5" customHeight="1">
      <c r="A9" s="2123" t="s">
        <v>1838</v>
      </c>
      <c r="B9" s="2124"/>
      <c r="C9" s="2124"/>
      <c r="D9" s="2124"/>
      <c r="E9" s="2124"/>
      <c r="F9" s="2124"/>
      <c r="G9" s="2124"/>
      <c r="H9" s="2124"/>
      <c r="I9" s="2124"/>
      <c r="J9" s="2124"/>
      <c r="K9" s="2189"/>
    </row>
    <row r="10" spans="1:33" s="2110" customFormat="1" ht="13.5" customHeight="1">
      <c r="A10" s="2126" t="s">
        <v>1834</v>
      </c>
      <c r="B10" s="2136" t="s">
        <v>1835</v>
      </c>
      <c r="C10" s="2137" t="s">
        <v>1839</v>
      </c>
      <c r="D10" s="2138" t="s">
        <v>1840</v>
      </c>
      <c r="E10" s="2138" t="s">
        <v>1841</v>
      </c>
      <c r="F10" s="2138" t="s">
        <v>1842</v>
      </c>
      <c r="G10" s="2136"/>
      <c r="H10" s="2139"/>
      <c r="I10" s="2139"/>
      <c r="J10" s="2139"/>
      <c r="K10" s="2194"/>
    </row>
    <row r="11" spans="1:33" s="2111" customFormat="1" ht="13.5" customHeight="1">
      <c r="A11" s="2140" t="s">
        <v>1753</v>
      </c>
      <c r="B11" s="2141" t="s">
        <v>1843</v>
      </c>
      <c r="C11" s="2142">
        <f ca="1">IF(C1="",'数据-取费表'!P16,INDIRECT("'数据-取费表'!p"&amp;$K$1)+INDIRECT("'数据-取费表'!ar"&amp;$K$1))</f>
        <v>0</v>
      </c>
      <c r="D11" s="2143"/>
      <c r="E11" s="972"/>
      <c r="F11" s="2144">
        <f ca="1">1-IF('数据-取费表'!B24=0,1,IF(C1="",'数据-取费表'!N16,INDIRECT("'数据-取费表'!n"&amp;$K$1)))</f>
        <v>0</v>
      </c>
      <c r="G11" s="2136"/>
      <c r="H11" s="2139"/>
      <c r="I11" s="2139"/>
      <c r="J11" s="2139"/>
      <c r="K11" s="2194"/>
    </row>
    <row r="12" spans="1:33" s="2111" customFormat="1" ht="13.5" customHeight="1">
      <c r="A12" s="2140" t="s">
        <v>1755</v>
      </c>
      <c r="B12" s="2141" t="s">
        <v>1844</v>
      </c>
      <c r="C12" s="961">
        <f ca="1">ROUND(C11*F12,0)</f>
        <v>0</v>
      </c>
      <c r="D12" s="2143"/>
      <c r="E12" s="972"/>
      <c r="F12" s="2144">
        <f>'数据-取费表'!B33</f>
        <v>0.05</v>
      </c>
      <c r="G12" s="2136" t="s">
        <v>1845</v>
      </c>
      <c r="H12" s="2139"/>
      <c r="I12" s="2139"/>
      <c r="J12" s="2139"/>
      <c r="K12" s="2194"/>
    </row>
    <row r="13" spans="1:33" s="2111" customFormat="1" ht="13.5" customHeight="1">
      <c r="A13" s="2140" t="s">
        <v>1846</v>
      </c>
      <c r="B13" s="2141" t="s">
        <v>1847</v>
      </c>
      <c r="C13" s="961">
        <f ca="1">ROUND(IF(C1="",SUMIF('数据-取费表'!C:C,"住宅",'数据-取费表'!P:P)*F13,IF(INDIRECT("'数据-取费表'!c"&amp;$K$1)="住宅",INDIRECT("'数据-取费表'!P"&amp;$K$1)*F13,0)),0)</f>
        <v>0</v>
      </c>
      <c r="D13" s="2145"/>
      <c r="E13" s="972"/>
      <c r="F13" s="2144">
        <f>'数据-取费表'!B34</f>
        <v>0</v>
      </c>
      <c r="G13" s="2136" t="s">
        <v>1848</v>
      </c>
      <c r="H13" s="2139"/>
      <c r="I13" s="2139"/>
      <c r="J13" s="2139"/>
      <c r="K13" s="2194"/>
    </row>
    <row r="14" spans="1:33" s="2112" customFormat="1" ht="13.5" customHeight="1">
      <c r="A14" s="2140" t="s">
        <v>1849</v>
      </c>
      <c r="B14" s="2141" t="s">
        <v>1850</v>
      </c>
      <c r="C14" s="961">
        <f ca="1">ROUND(D14*E14*F11/10000,0)</f>
        <v>0</v>
      </c>
      <c r="D14" s="2145">
        <f ca="1">IF(C1="",'数据-汇总表'!E3,INDIRECT("'数据-取费表'!K"&amp;$K$1)+INDIRECT("'数据-取费表'!S"&amp;$K$1))</f>
        <v>65221.919999999998</v>
      </c>
      <c r="E14" s="961">
        <f>'数据-取费表'!B35</f>
        <v>200</v>
      </c>
      <c r="F14" s="2146"/>
      <c r="G14" s="2136" t="s">
        <v>1851</v>
      </c>
      <c r="H14" s="2139"/>
      <c r="I14" s="2139"/>
      <c r="J14" s="2139"/>
      <c r="K14" s="2194"/>
      <c r="L14" s="2111"/>
      <c r="M14" s="2111"/>
      <c r="N14" s="2111"/>
      <c r="O14" s="2111"/>
      <c r="P14" s="2111"/>
      <c r="Q14" s="2111"/>
      <c r="R14" s="2111"/>
      <c r="S14" s="2111"/>
      <c r="T14" s="2111"/>
      <c r="U14" s="2111"/>
      <c r="V14" s="2111"/>
      <c r="W14" s="2111"/>
      <c r="X14" s="2111"/>
      <c r="Y14" s="2111"/>
      <c r="Z14" s="2111"/>
      <c r="AA14" s="2111"/>
      <c r="AB14" s="2111"/>
      <c r="AC14" s="2111"/>
      <c r="AD14" s="2111"/>
      <c r="AE14" s="2111"/>
      <c r="AF14" s="2111"/>
      <c r="AG14" s="2111"/>
    </row>
    <row r="15" spans="1:33" s="2112" customFormat="1" ht="13.5" customHeight="1">
      <c r="A15" s="2140" t="s">
        <v>1852</v>
      </c>
      <c r="B15" s="2141" t="s">
        <v>1853</v>
      </c>
      <c r="C15" s="2147">
        <f ca="1">ROUND(C11*F15,0)</f>
        <v>0</v>
      </c>
      <c r="D15" s="2148"/>
      <c r="E15" s="2147"/>
      <c r="F15" s="2144">
        <f>'数据-取费表'!B36</f>
        <v>0.02</v>
      </c>
      <c r="G15" s="968" t="s">
        <v>1854</v>
      </c>
      <c r="H15" s="1083"/>
      <c r="I15" s="1083"/>
      <c r="J15" s="1083"/>
      <c r="K15" s="1084"/>
      <c r="L15" s="2111"/>
      <c r="M15" s="2111"/>
      <c r="N15" s="2111"/>
      <c r="O15" s="2111"/>
      <c r="P15" s="2111"/>
      <c r="Q15" s="2111"/>
      <c r="R15" s="2111"/>
      <c r="S15" s="2111"/>
      <c r="T15" s="2111"/>
      <c r="U15" s="2111"/>
      <c r="V15" s="2111"/>
      <c r="W15" s="2111"/>
      <c r="X15" s="2111"/>
      <c r="Y15" s="2111"/>
      <c r="Z15" s="2111"/>
      <c r="AA15" s="2111"/>
      <c r="AB15" s="2111"/>
      <c r="AC15" s="2111"/>
      <c r="AD15" s="2111"/>
      <c r="AE15" s="2111"/>
      <c r="AF15" s="2111"/>
      <c r="AG15" s="2111"/>
    </row>
    <row r="16" spans="1:33" s="2112" customFormat="1" ht="13.5" customHeight="1">
      <c r="A16" s="2140" t="s">
        <v>965</v>
      </c>
      <c r="B16" s="2141" t="s">
        <v>1855</v>
      </c>
      <c r="C16" s="2147">
        <f ca="1">SUM(C11:C15)</f>
        <v>0</v>
      </c>
      <c r="D16" s="2148"/>
      <c r="E16" s="2147"/>
      <c r="F16" s="2144"/>
      <c r="G16" s="968"/>
      <c r="H16" s="2149"/>
      <c r="I16" s="1083"/>
      <c r="J16" s="1083"/>
      <c r="K16" s="108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row>
    <row r="17" spans="1:33" s="2112" customFormat="1" ht="13.5" customHeight="1">
      <c r="A17" s="2140" t="s">
        <v>969</v>
      </c>
      <c r="B17" s="2141" t="s">
        <v>1856</v>
      </c>
      <c r="C17" s="961">
        <f ca="1">ROUND(D17*E17/10000,0)</f>
        <v>0</v>
      </c>
      <c r="D17" s="2145">
        <f ca="1">D14</f>
        <v>65221.919999999998</v>
      </c>
      <c r="E17" s="961">
        <f>'数据-取费表'!B32</f>
        <v>0</v>
      </c>
      <c r="F17" s="2148"/>
      <c r="G17" s="968" t="s">
        <v>1857</v>
      </c>
      <c r="H17" s="2149"/>
      <c r="I17" s="1083"/>
      <c r="J17" s="1083"/>
      <c r="K17" s="1084"/>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row>
    <row r="18" spans="1:33" s="2111" customFormat="1" ht="13.5" customHeight="1">
      <c r="A18" s="2140" t="s">
        <v>1858</v>
      </c>
      <c r="B18" s="2141" t="s">
        <v>1859</v>
      </c>
      <c r="C18" s="961">
        <f ca="1">C19+C20-IF(C1="",'数据-取费表'!B29,IF(G18="已全部缴纳",C19+C20,H18))</f>
        <v>0</v>
      </c>
      <c r="D18" s="2145"/>
      <c r="E18" s="961"/>
      <c r="F18" s="2146"/>
      <c r="G18" s="2150"/>
      <c r="H18" s="2151"/>
      <c r="I18" s="2195" t="s">
        <v>1860</v>
      </c>
      <c r="J18" s="1083"/>
      <c r="K18" s="1084"/>
    </row>
    <row r="19" spans="1:33" s="2111" customFormat="1" ht="13.5" customHeight="1">
      <c r="A19" s="2140" t="s">
        <v>1753</v>
      </c>
      <c r="B19" s="2141" t="s">
        <v>495</v>
      </c>
      <c r="C19" s="961">
        <f ca="1">ROUND(D19*E19/10000,0)</f>
        <v>0</v>
      </c>
      <c r="D19" s="2145">
        <f ca="1">IF(C1="",'数据-汇总表'!E5,IF(INDIRECT("'数据-取费表'!c"&amp;$K$1)="住宅",INDIRECT("'数据-取费表'!k"&amp;$K$1),0))</f>
        <v>0</v>
      </c>
      <c r="E19" s="961">
        <f>'数据-取费表'!B27</f>
        <v>160</v>
      </c>
      <c r="F19" s="2146"/>
      <c r="G19" s="1082"/>
      <c r="H19" s="2152"/>
      <c r="I19" s="2153"/>
      <c r="J19" s="2153"/>
      <c r="K19" s="2196"/>
    </row>
    <row r="20" spans="1:33" s="2111" customFormat="1" ht="13.5" customHeight="1">
      <c r="A20" s="2140" t="s">
        <v>1755</v>
      </c>
      <c r="B20" s="2141" t="s">
        <v>1861</v>
      </c>
      <c r="C20" s="961">
        <f ca="1">ROUND(D20*E20/10000,0)</f>
        <v>1304</v>
      </c>
      <c r="D20" s="2145">
        <f ca="1">IF(C1="",'数据-汇总表'!E6,IF(INDIRECT("'数据-取费表'!c"&amp;$K$1)="住宅",INDIRECT("'数据-取费表'!s"&amp;$K$1),INDIRECT("'数据-取费表'!k"&amp;$K$1)+INDIRECT("'数据-取费表'!s"&amp;$K$1)))</f>
        <v>65221.919999999998</v>
      </c>
      <c r="E20" s="961">
        <f>'数据-取费表'!B28</f>
        <v>200</v>
      </c>
      <c r="F20" s="2146"/>
      <c r="G20" s="1082"/>
      <c r="H20" s="2153"/>
      <c r="I20" s="2153"/>
      <c r="J20" s="2153"/>
      <c r="K20" s="2196"/>
    </row>
    <row r="21" spans="1:33" s="2111" customFormat="1" ht="13.5" customHeight="1">
      <c r="A21" s="2129" t="s">
        <v>942</v>
      </c>
      <c r="B21" s="2154" t="s">
        <v>1862</v>
      </c>
      <c r="C21" s="2155">
        <f ca="1">C16+C17+C18</f>
        <v>0</v>
      </c>
      <c r="D21" s="2156"/>
      <c r="E21" s="2157"/>
      <c r="F21" s="2157"/>
      <c r="G21" s="968" t="s">
        <v>1863</v>
      </c>
      <c r="H21" s="1083"/>
      <c r="I21" s="1083"/>
      <c r="J21" s="1083"/>
      <c r="K21" s="1084"/>
    </row>
    <row r="22" spans="1:33" s="2111" customFormat="1" ht="13.5" customHeight="1">
      <c r="A22" s="2129" t="s">
        <v>946</v>
      </c>
      <c r="B22" s="2154" t="s">
        <v>1864</v>
      </c>
      <c r="C22" s="2155">
        <f ca="1">ROUND(C21*F22,0)</f>
        <v>0</v>
      </c>
      <c r="D22" s="2157"/>
      <c r="E22" s="2157"/>
      <c r="F22" s="2158">
        <f>'数据-取费表'!B37</f>
        <v>0.02</v>
      </c>
      <c r="G22" s="2136" t="s">
        <v>1865</v>
      </c>
      <c r="H22" s="2139"/>
      <c r="I22" s="2139"/>
      <c r="J22" s="2139"/>
      <c r="K22" s="2194"/>
    </row>
    <row r="23" spans="1:33" s="2111" customFormat="1" ht="13.5" customHeight="1">
      <c r="A23" s="2129" t="s">
        <v>991</v>
      </c>
      <c r="B23" s="2154" t="s">
        <v>1866</v>
      </c>
      <c r="C23" s="2155">
        <f ca="1">ROUND(C4*F23*F11,0)</f>
        <v>0</v>
      </c>
      <c r="D23" s="2157"/>
      <c r="E23" s="2157"/>
      <c r="F23" s="2158">
        <f>'数据-取费表'!B38</f>
        <v>0.02</v>
      </c>
      <c r="G23" s="2136" t="s">
        <v>1867</v>
      </c>
      <c r="H23" s="2139"/>
      <c r="I23" s="2139"/>
      <c r="J23" s="2139"/>
      <c r="K23" s="2194"/>
    </row>
    <row r="24" spans="1:33" s="2111" customFormat="1" ht="13.5" customHeight="1">
      <c r="A24" s="2129" t="s">
        <v>994</v>
      </c>
      <c r="B24" s="2154" t="s">
        <v>1868</v>
      </c>
      <c r="C24" s="2159">
        <f>ROUND(F24/(1+'数据-取费表'!C42),4)</f>
        <v>2.9000000000000001E-2</v>
      </c>
      <c r="D24" s="2157" t="s">
        <v>1869</v>
      </c>
      <c r="E24" s="2157"/>
      <c r="F24" s="2158">
        <f>IF(项目基本情况!B8="出让",0,'数据-取费表'!B48+'数据-取费表'!B49)</f>
        <v>3.0499999999999999E-2</v>
      </c>
      <c r="G24" s="2136" t="s">
        <v>1870</v>
      </c>
      <c r="H24" s="2160"/>
      <c r="I24" s="2160"/>
      <c r="J24" s="2160"/>
      <c r="K24" s="2197"/>
    </row>
    <row r="25" spans="1:33" s="2111" customFormat="1" ht="13.5" customHeight="1">
      <c r="A25" s="2129" t="s">
        <v>998</v>
      </c>
      <c r="B25" s="2156" t="s">
        <v>1871</v>
      </c>
      <c r="C25" s="2161">
        <f ca="1">C27</f>
        <v>0</v>
      </c>
      <c r="D25" s="2159">
        <f ca="1">C26</f>
        <v>0</v>
      </c>
      <c r="E25" s="2162" t="s">
        <v>1869</v>
      </c>
      <c r="F25" s="2163">
        <f ca="1">'数据-取费表'!B40</f>
        <v>0.03</v>
      </c>
      <c r="G25" s="968" t="str">
        <f>IF('数据-取费表'!B22&lt;=1,"单利计息。","复利计息。")&amp;"后续开发成本、管理费用及销售费用产生的利息。"</f>
        <v>复利计息。后续开发成本、管理费用及销售费用产生的利息。</v>
      </c>
      <c r="H25" s="2160"/>
      <c r="I25" s="2160"/>
      <c r="J25" s="2160"/>
      <c r="K25" s="2197"/>
    </row>
    <row r="26" spans="1:33" s="2113" customFormat="1" ht="13.5" customHeight="1">
      <c r="A26" s="2140" t="s">
        <v>965</v>
      </c>
      <c r="B26" s="2164" t="s">
        <v>1872</v>
      </c>
      <c r="C26" s="2165">
        <f ca="1">ROUND(IF('数据-取费表'!B22&lt;=1,(1+C24)*F25*'数据-取费表'!B24,(1+C24)*(POWER((1+F25),'数据-取费表'!B24)-1)),4)</f>
        <v>0</v>
      </c>
      <c r="D26" s="2166"/>
      <c r="E26" s="2167"/>
      <c r="F26" s="2168"/>
      <c r="G26" s="2169" t="str">
        <f>IF('数据-取费表'!B22&lt;=1,"（(1)+取得税费率/(1+5%)）×年利率×建设期","（(1)+取得税费率）/(1+5%)×((1+年利率)^建设期-1)")</f>
        <v>（(1)+取得税费率）/(1+5%)×((1+年利率)^建设期-1)</v>
      </c>
      <c r="H26" s="1083"/>
      <c r="I26" s="1083"/>
      <c r="J26" s="1083"/>
      <c r="K26" s="1084"/>
    </row>
    <row r="27" spans="1:33" s="2113" customFormat="1" ht="13.5" customHeight="1">
      <c r="A27" s="2140" t="s">
        <v>969</v>
      </c>
      <c r="B27" s="2164" t="s">
        <v>1873</v>
      </c>
      <c r="C27" s="2170">
        <f ca="1">ROUND(IF('数据-取费表'!B22&lt;=1,(C21+C22+C23)*F25*'数据-取费表'!B24/2,(C21+C22+C23)*(POWER((1+F25),'数据-取费表'!B24/2)-1)),0)</f>
        <v>0</v>
      </c>
      <c r="D27" s="2166"/>
      <c r="E27" s="2167"/>
      <c r="F27" s="2168"/>
      <c r="G27" s="2169" t="str">
        <f>IF('数据-取费表'!B22&lt;=1,"（1）-（3）项×年利率×建设期÷2","（1）-（3）项×((1+年利率)^(建设期÷2)-1)")</f>
        <v>（1）-（3）项×((1+年利率)^(建设期÷2)-1)</v>
      </c>
      <c r="H27" s="1083"/>
      <c r="I27" s="1083"/>
      <c r="J27" s="1083"/>
      <c r="K27" s="1084"/>
    </row>
    <row r="28" spans="1:33" s="2114" customFormat="1" ht="13.5" customHeight="1">
      <c r="A28" s="2129" t="s">
        <v>999</v>
      </c>
      <c r="B28" s="2171" t="s">
        <v>1874</v>
      </c>
      <c r="C28" s="2172">
        <f ca="1">C30</f>
        <v>0</v>
      </c>
      <c r="D28" s="2159">
        <f ca="1">C29</f>
        <v>0</v>
      </c>
      <c r="E28" s="2162" t="s">
        <v>1869</v>
      </c>
      <c r="F28" s="1525">
        <f ca="1">IF(C1="",'数据-取费表'!Q16,INDIRECT("'数据-取费表'!q"&amp;$K$1))</f>
        <v>0.18</v>
      </c>
      <c r="G28" s="2173"/>
      <c r="H28" s="2160"/>
      <c r="I28" s="2160"/>
      <c r="J28" s="2160"/>
      <c r="K28" s="2197"/>
    </row>
    <row r="29" spans="1:33" s="2115" customFormat="1" ht="13.5" customHeight="1">
      <c r="A29" s="2140" t="s">
        <v>965</v>
      </c>
      <c r="B29" s="2174" t="s">
        <v>1875</v>
      </c>
      <c r="C29" s="2166">
        <f ca="1">ROUND((1+C24)*F28*'数据-取费表'!B24/'数据-取费表'!B20,4)</f>
        <v>0</v>
      </c>
      <c r="D29" s="2166"/>
      <c r="E29" s="2167"/>
      <c r="F29" s="2175"/>
      <c r="G29" s="968" t="s">
        <v>1876</v>
      </c>
      <c r="H29" s="1083"/>
      <c r="I29" s="1083"/>
      <c r="J29" s="1083"/>
      <c r="K29" s="1084"/>
    </row>
    <row r="30" spans="1:33" s="2115" customFormat="1" ht="13.5" customHeight="1">
      <c r="A30" s="2140" t="s">
        <v>969</v>
      </c>
      <c r="B30" s="2174" t="s">
        <v>1877</v>
      </c>
      <c r="C30" s="2176">
        <f ca="1">ROUND((C21+C22+C23)*F28,0)</f>
        <v>0</v>
      </c>
      <c r="D30" s="2166"/>
      <c r="E30" s="2167"/>
      <c r="F30" s="2175"/>
      <c r="G30" s="968"/>
      <c r="H30" s="1083"/>
      <c r="I30" s="1083"/>
      <c r="J30" s="1083"/>
      <c r="K30" s="1084"/>
    </row>
    <row r="31" spans="1:33" s="2111" customFormat="1" ht="13.5" customHeight="1">
      <c r="A31" s="2177" t="s">
        <v>1878</v>
      </c>
      <c r="B31" s="2178" t="s">
        <v>1879</v>
      </c>
      <c r="C31" s="2179">
        <f>ROUND(C4*F31/(1+'数据-取费表'!C42),0)</f>
        <v>0</v>
      </c>
      <c r="D31" s="2180"/>
      <c r="E31" s="2181"/>
      <c r="F31" s="2182">
        <f>'数据-取费表'!B41</f>
        <v>5.6000000000000001E-2</v>
      </c>
      <c r="G31" s="2183" t="s">
        <v>1880</v>
      </c>
      <c r="H31" s="2184"/>
      <c r="I31" s="2184"/>
      <c r="J31" s="2184"/>
      <c r="K31" s="2198"/>
    </row>
    <row r="32" spans="1:33" s="2110" customFormat="1" ht="13.5" customHeight="1">
      <c r="A32" s="1527" t="s">
        <v>1881</v>
      </c>
      <c r="B32" s="2185"/>
      <c r="C32" s="2186">
        <f ca="1">ROUND((C4-C21-C22-C23-C25-C28-C31)/(1+C24+D25+D28),0)</f>
        <v>0</v>
      </c>
      <c r="D32" s="2185"/>
      <c r="E32" s="2185"/>
      <c r="F32" s="2185"/>
      <c r="G32" s="2187" t="s">
        <v>1882</v>
      </c>
      <c r="H32" s="2185"/>
      <c r="I32" s="2185"/>
      <c r="J32" s="2185"/>
      <c r="K32" s="2199"/>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1883</v>
      </c>
      <c r="B1" s="895"/>
      <c r="C1" s="896"/>
      <c r="D1" s="897" t="s">
        <v>124</v>
      </c>
      <c r="E1" s="898" t="s">
        <v>1884</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1885</v>
      </c>
      <c r="B2" s="2099" t="e">
        <f ca="1">ROUND(D2/10000,4)</f>
        <v>#DIV/0!</v>
      </c>
      <c r="C2" s="904" t="s">
        <v>1886</v>
      </c>
      <c r="D2" s="2100" t="e">
        <f ca="1">C40+J29+L46</f>
        <v>#DIV/0!</v>
      </c>
      <c r="E2" s="905" t="s">
        <v>1887</v>
      </c>
      <c r="F2" s="906"/>
      <c r="G2" s="907"/>
      <c r="H2" s="908"/>
      <c r="I2" s="908"/>
      <c r="J2" s="908"/>
      <c r="K2" s="1072"/>
      <c r="L2" s="908"/>
      <c r="M2" s="908"/>
    </row>
    <row r="3" spans="1:37" ht="18" customHeight="1">
      <c r="A3" s="909" t="s">
        <v>1888</v>
      </c>
      <c r="B3" s="910">
        <f ca="1">IF(ISERROR(D2/F43),0,ROUND(D2/F43,0))</f>
        <v>0</v>
      </c>
      <c r="C3" s="904" t="s">
        <v>1889</v>
      </c>
      <c r="D3" s="904"/>
      <c r="E3" s="905"/>
      <c r="F3" s="906"/>
      <c r="G3" s="907"/>
      <c r="H3" s="911" t="s">
        <v>1890</v>
      </c>
      <c r="I3" s="1073"/>
      <c r="J3" s="1073"/>
      <c r="K3" s="1074"/>
      <c r="L3" s="1073"/>
      <c r="M3" s="1073"/>
    </row>
    <row r="4" spans="1:37" ht="18" customHeight="1">
      <c r="A4" s="912" t="s">
        <v>1891</v>
      </c>
      <c r="B4" s="913" t="s">
        <v>1892</v>
      </c>
      <c r="C4" s="913" t="s">
        <v>1893</v>
      </c>
      <c r="D4" s="913" t="s">
        <v>1894</v>
      </c>
      <c r="E4" s="914" t="s">
        <v>1895</v>
      </c>
      <c r="F4" s="915"/>
      <c r="G4" s="718"/>
      <c r="H4" s="912" t="s">
        <v>1891</v>
      </c>
      <c r="I4" s="913" t="s">
        <v>1892</v>
      </c>
      <c r="J4" s="913" t="s">
        <v>1893</v>
      </c>
      <c r="K4" s="913" t="s">
        <v>1894</v>
      </c>
      <c r="L4" s="914" t="s">
        <v>1895</v>
      </c>
      <c r="M4" s="915"/>
    </row>
    <row r="5" spans="1:37" ht="18" customHeight="1">
      <c r="A5" s="916">
        <v>1</v>
      </c>
      <c r="B5" s="917" t="s">
        <v>1896</v>
      </c>
      <c r="C5" s="918">
        <f ca="1">C6+C10+C12</f>
        <v>0</v>
      </c>
      <c r="D5" s="919" t="s">
        <v>1897</v>
      </c>
      <c r="E5" s="920"/>
      <c r="F5" s="921"/>
      <c r="G5" s="718"/>
      <c r="H5" s="916">
        <v>1</v>
      </c>
      <c r="I5" s="917" t="s">
        <v>1896</v>
      </c>
      <c r="J5" s="918">
        <f ca="1">J6+J10+J12</f>
        <v>0</v>
      </c>
      <c r="K5" s="919" t="s">
        <v>1897</v>
      </c>
      <c r="L5" s="920"/>
      <c r="M5" s="921"/>
    </row>
    <row r="6" spans="1:37" ht="18" customHeight="1">
      <c r="A6" s="922" t="s">
        <v>942</v>
      </c>
      <c r="B6" s="3483" t="s">
        <v>1898</v>
      </c>
      <c r="C6" s="923">
        <f ca="1">ROUND(F6*F8*F7*(1-F9),0)</f>
        <v>0</v>
      </c>
      <c r="D6" s="924" t="s">
        <v>1899</v>
      </c>
      <c r="E6" s="925" t="s">
        <v>1900</v>
      </c>
      <c r="F6" s="926">
        <f ca="1">INDIRECT("'数据-取费表'!u"&amp;$G$1)</f>
        <v>0</v>
      </c>
      <c r="G6" s="718"/>
      <c r="H6" s="922" t="s">
        <v>942</v>
      </c>
      <c r="I6" s="3483" t="s">
        <v>1898</v>
      </c>
      <c r="J6" s="1001">
        <f ca="1">ROUND(M6*M8*M7*(1-M9),0)</f>
        <v>0</v>
      </c>
      <c r="K6" s="2106" t="s">
        <v>1901</v>
      </c>
      <c r="L6" s="925" t="s">
        <v>1900</v>
      </c>
      <c r="M6" s="926">
        <f ca="1">INDIRECT("'数据-取费表'!z"&amp;$G$1)</f>
        <v>0</v>
      </c>
    </row>
    <row r="7" spans="1:37" ht="18" customHeight="1">
      <c r="A7" s="927"/>
      <c r="B7" s="3484"/>
      <c r="C7" s="928"/>
      <c r="D7" s="929"/>
      <c r="E7" s="930" t="s">
        <v>1902</v>
      </c>
      <c r="F7" s="926">
        <f ca="1">IF(INDIRECT("'数据-取费表'!ah"&amp;$G$1)="",INDIRECT("'数据-取费表'!k"&amp;$G$1),INDIRECT("'数据-取费表'!ah"&amp;$G$1))</f>
        <v>0</v>
      </c>
      <c r="G7" s="718"/>
      <c r="H7" s="931"/>
      <c r="I7" s="3484"/>
      <c r="J7" s="932"/>
      <c r="K7" s="929"/>
      <c r="L7" s="925" t="s">
        <v>1902</v>
      </c>
      <c r="M7" s="926">
        <f ca="1">F7</f>
        <v>0</v>
      </c>
    </row>
    <row r="8" spans="1:37" ht="18" customHeight="1">
      <c r="A8" s="931"/>
      <c r="B8" s="3484"/>
      <c r="C8" s="932"/>
      <c r="D8" s="929"/>
      <c r="E8" s="925" t="s">
        <v>1903</v>
      </c>
      <c r="F8" s="926">
        <f ca="1">INDIRECT("'数据-取费表'!ai"&amp;$G$1)</f>
        <v>0</v>
      </c>
      <c r="G8" s="718"/>
      <c r="H8" s="931"/>
      <c r="I8" s="3484"/>
      <c r="J8" s="932"/>
      <c r="K8" s="929"/>
      <c r="L8" s="925" t="s">
        <v>1903</v>
      </c>
      <c r="M8" s="926">
        <f ca="1">INDIRECT("'数据-取费表'!ai"&amp;$G$1)</f>
        <v>0</v>
      </c>
    </row>
    <row r="9" spans="1:37" ht="18" customHeight="1">
      <c r="A9" s="931"/>
      <c r="B9" s="3485"/>
      <c r="C9" s="932"/>
      <c r="D9" s="929"/>
      <c r="E9" s="925" t="s">
        <v>1904</v>
      </c>
      <c r="F9" s="933">
        <f ca="1">INDIRECT("'数据-取费表'!w"&amp;$G$1)</f>
        <v>0</v>
      </c>
      <c r="G9" s="718"/>
      <c r="H9" s="931"/>
      <c r="I9" s="3485"/>
      <c r="J9" s="932"/>
      <c r="K9" s="929"/>
      <c r="L9" s="937" t="s">
        <v>1904</v>
      </c>
      <c r="M9" s="943">
        <f ca="1">INDIRECT("'数据-取费表'!ab"&amp;$G$1)</f>
        <v>0</v>
      </c>
    </row>
    <row r="10" spans="1:37" ht="18" customHeight="1">
      <c r="A10" s="922" t="s">
        <v>946</v>
      </c>
      <c r="B10" s="934" t="s">
        <v>1905</v>
      </c>
      <c r="C10" s="935">
        <f ca="1">ROUND(IF(F10="押一",C6/12*F11,IF(F10="押二",C6/12*2*F11,IF(F10="押三",C6/12*3*F11,C11*F11))),0)</f>
        <v>0</v>
      </c>
      <c r="D10" s="936" t="s">
        <v>1906</v>
      </c>
      <c r="E10" s="937" t="s">
        <v>1907</v>
      </c>
      <c r="F10" s="938"/>
      <c r="G10" s="718"/>
      <c r="H10" s="922" t="s">
        <v>946</v>
      </c>
      <c r="I10" s="934" t="s">
        <v>1905</v>
      </c>
      <c r="J10" s="1001">
        <f ca="1">ROUND(IF(M10="押一",J6/12*M11,IF(M10="押二",J6/12*2*M11,IF(M10="押三",J6/12*3*M11,J11*M11))),0)</f>
        <v>0</v>
      </c>
      <c r="K10" s="2107" t="s">
        <v>1908</v>
      </c>
      <c r="L10" s="937" t="s">
        <v>1907</v>
      </c>
      <c r="M10" s="938"/>
    </row>
    <row r="11" spans="1:37" ht="18" customHeight="1">
      <c r="A11" s="939"/>
      <c r="B11" s="940" t="s">
        <v>1909</v>
      </c>
      <c r="C11" s="941"/>
      <c r="D11" s="929"/>
      <c r="E11" s="937" t="s">
        <v>1910</v>
      </c>
      <c r="F11" s="943">
        <f ca="1">'数据-取费表'!B39</f>
        <v>1.4999999999999999E-2</v>
      </c>
      <c r="G11" s="718"/>
      <c r="H11" s="944"/>
      <c r="I11" s="940" t="s">
        <v>1911</v>
      </c>
      <c r="J11" s="941"/>
      <c r="K11" s="1075"/>
      <c r="L11" s="937" t="s">
        <v>1910</v>
      </c>
      <c r="M11" s="1076">
        <f ca="1">'数据-取费表'!B39</f>
        <v>1.4999999999999999E-2</v>
      </c>
    </row>
    <row r="12" spans="1:37" ht="18" customHeight="1">
      <c r="A12" s="945" t="s">
        <v>991</v>
      </c>
      <c r="B12" s="946" t="s">
        <v>1912</v>
      </c>
      <c r="C12" s="947"/>
      <c r="D12" s="948"/>
      <c r="E12" s="949"/>
      <c r="F12" s="950"/>
      <c r="G12" s="718"/>
      <c r="H12" s="945" t="s">
        <v>991</v>
      </c>
      <c r="I12" s="946" t="s">
        <v>1912</v>
      </c>
      <c r="J12" s="947"/>
      <c r="K12" s="1077"/>
      <c r="L12" s="949"/>
      <c r="M12" s="1078"/>
    </row>
    <row r="13" spans="1:37" ht="18" customHeight="1">
      <c r="A13" s="951">
        <v>2</v>
      </c>
      <c r="B13" s="952" t="s">
        <v>1913</v>
      </c>
      <c r="C13" s="953">
        <f ca="1">ROUND(C29*F13,0)</f>
        <v>0</v>
      </c>
      <c r="D13" s="954" t="s">
        <v>1914</v>
      </c>
      <c r="E13" s="954" t="s">
        <v>1915</v>
      </c>
      <c r="F13" s="955">
        <f ca="1">INDIRECT("'数据-取费表'!y"&amp;$G$1)</f>
        <v>0</v>
      </c>
      <c r="G13" s="718"/>
      <c r="H13" s="951">
        <v>2</v>
      </c>
      <c r="I13" s="952" t="s">
        <v>1913</v>
      </c>
      <c r="J13" s="1079">
        <f ca="1">ROUND(J14*J15,0)</f>
        <v>0</v>
      </c>
      <c r="K13" s="979" t="s">
        <v>1914</v>
      </c>
      <c r="L13" s="1080"/>
      <c r="M13" s="1081"/>
    </row>
    <row r="14" spans="1:37" ht="18" customHeight="1">
      <c r="A14" s="956" t="s">
        <v>965</v>
      </c>
      <c r="B14" s="925" t="s">
        <v>1916</v>
      </c>
      <c r="C14" s="957">
        <f ca="1">ROUND(INDIRECT("'数据-取费表'!l"&amp;$G$1)*F43+'数据-取费表'!L14*INDIRECT("'数据-取费表'!S"&amp;$G$1),0)</f>
        <v>0</v>
      </c>
      <c r="D14" s="958" t="s">
        <v>1917</v>
      </c>
      <c r="E14" s="959"/>
      <c r="F14" s="960"/>
      <c r="G14" s="718"/>
      <c r="H14" s="956" t="s">
        <v>942</v>
      </c>
      <c r="I14" s="925" t="s">
        <v>1918</v>
      </c>
      <c r="J14" s="961">
        <f ca="1">C29</f>
        <v>0</v>
      </c>
      <c r="K14" s="1082"/>
      <c r="L14" s="1083"/>
      <c r="M14" s="1084"/>
    </row>
    <row r="15" spans="1:37" s="891" customFormat="1" ht="18" customHeight="1">
      <c r="A15" s="956" t="s">
        <v>969</v>
      </c>
      <c r="B15" s="925" t="s">
        <v>1844</v>
      </c>
      <c r="C15" s="961">
        <f ca="1">ROUND(C14*F15,0)</f>
        <v>0</v>
      </c>
      <c r="D15" s="962" t="s">
        <v>1919</v>
      </c>
      <c r="E15" s="962" t="s">
        <v>1920</v>
      </c>
      <c r="F15" s="963">
        <f>'数据-取费表'!B33</f>
        <v>0.05</v>
      </c>
      <c r="G15" s="964"/>
      <c r="H15" s="965" t="s">
        <v>946</v>
      </c>
      <c r="I15" s="949" t="s">
        <v>1915</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1847</v>
      </c>
      <c r="C16" s="961">
        <f ca="1">ROUND(INDIRECT("'数据-取费表'!l"&amp;$G$1)*F43*F16,0)</f>
        <v>0</v>
      </c>
      <c r="D16" s="925" t="s">
        <v>1919</v>
      </c>
      <c r="E16" s="925" t="s">
        <v>1920</v>
      </c>
      <c r="F16" s="966">
        <f ca="1">IF(INDIRECT("'数据-取费表'!c"&amp;$G$1)="住宅",'数据-取费表'!B34,0)</f>
        <v>0</v>
      </c>
      <c r="G16" s="718"/>
      <c r="H16" s="951" t="s">
        <v>1921</v>
      </c>
      <c r="I16" s="952" t="s">
        <v>1922</v>
      </c>
      <c r="J16" s="953">
        <f ca="1">ROUND(J17+J22+J23+J24,0)</f>
        <v>0</v>
      </c>
      <c r="K16" s="979" t="s">
        <v>1923</v>
      </c>
      <c r="L16" s="980"/>
      <c r="M16" s="921"/>
    </row>
    <row r="17" spans="1:37" s="891" customFormat="1" ht="18" customHeight="1">
      <c r="A17" s="956" t="s">
        <v>1924</v>
      </c>
      <c r="B17" s="925" t="s">
        <v>1925</v>
      </c>
      <c r="C17" s="961">
        <f ca="1">ROUND(F17*(F43+INDIRECT("'数据-取费表'!S"&amp;$G$1)),0)</f>
        <v>0</v>
      </c>
      <c r="D17" s="925" t="s">
        <v>1926</v>
      </c>
      <c r="E17" s="925" t="s">
        <v>1927</v>
      </c>
      <c r="F17" s="967">
        <f>'数据-取费表'!B35</f>
        <v>200</v>
      </c>
      <c r="G17" s="964"/>
      <c r="H17" s="956" t="s">
        <v>942</v>
      </c>
      <c r="I17" s="925" t="s">
        <v>1928</v>
      </c>
      <c r="J17" s="982">
        <f ca="1">ROUND(IF(AND(项目基本情况!B11="自然人",项目基本情况!B10="北京市"),J6*M17/(1+'数据-取费表'!C42),J18+J19+J20),0)</f>
        <v>0</v>
      </c>
      <c r="K17" s="958" t="s">
        <v>1929</v>
      </c>
      <c r="L17" s="983" t="s">
        <v>1930</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1931</v>
      </c>
      <c r="B18" s="925" t="s">
        <v>1853</v>
      </c>
      <c r="C18" s="961">
        <f ca="1">ROUND(C14*F18,0)</f>
        <v>0</v>
      </c>
      <c r="D18" s="925" t="s">
        <v>1919</v>
      </c>
      <c r="E18" s="925" t="s">
        <v>1920</v>
      </c>
      <c r="F18" s="966">
        <f>'数据-取费表'!B36</f>
        <v>0.02</v>
      </c>
      <c r="G18" s="964"/>
      <c r="H18" s="956" t="s">
        <v>965</v>
      </c>
      <c r="I18" s="925" t="s">
        <v>1932</v>
      </c>
      <c r="J18" s="961">
        <f ca="1">ROUND(J6*M18/(1+'数据-取费表'!C42),0)</f>
        <v>0</v>
      </c>
      <c r="K18" s="983" t="s">
        <v>1933</v>
      </c>
      <c r="L18" s="925" t="s">
        <v>1920</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1934</v>
      </c>
      <c r="C19" s="961">
        <f ca="1">SUM(C14:C18)</f>
        <v>0</v>
      </c>
      <c r="D19" s="968" t="s">
        <v>1935</v>
      </c>
      <c r="E19" s="969"/>
      <c r="F19" s="967"/>
      <c r="G19" s="718"/>
      <c r="H19" s="956" t="s">
        <v>969</v>
      </c>
      <c r="I19" s="925" t="s">
        <v>1936</v>
      </c>
      <c r="J19" s="961">
        <f ca="1">IF(K19="按租金收入计税",ROUND(J6*M19/(1+'数据-取费表'!C42),0),ROUND(C29*M19*0.7,0))</f>
        <v>0</v>
      </c>
      <c r="K19" s="986" t="s">
        <v>1937</v>
      </c>
      <c r="L19" s="925" t="s">
        <v>1920</v>
      </c>
      <c r="M19" s="966">
        <f>IF(K19="按租金收入计税",'数据-取费表'!B51,'数据-取费表'!B50)</f>
        <v>0.12</v>
      </c>
    </row>
    <row r="20" spans="1:37" s="891" customFormat="1" ht="18" customHeight="1">
      <c r="A20" s="956" t="s">
        <v>946</v>
      </c>
      <c r="B20" s="925" t="s">
        <v>1938</v>
      </c>
      <c r="C20" s="961">
        <f ca="1">ROUND(C19*F20,0)</f>
        <v>0</v>
      </c>
      <c r="D20" s="970" t="s">
        <v>1939</v>
      </c>
      <c r="E20" s="925" t="s">
        <v>1920</v>
      </c>
      <c r="F20" s="966">
        <f>'数据-取费表'!B37</f>
        <v>0.02</v>
      </c>
      <c r="G20" s="964"/>
      <c r="H20" s="956" t="s">
        <v>972</v>
      </c>
      <c r="I20" s="924" t="s">
        <v>1940</v>
      </c>
      <c r="J20" s="988">
        <f ca="1">ROUND(M20*M21,0)</f>
        <v>0</v>
      </c>
      <c r="K20" s="989" t="s">
        <v>1941</v>
      </c>
      <c r="L20" s="925" t="s">
        <v>1942</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1943</v>
      </c>
      <c r="C21" s="961" t="s">
        <v>124</v>
      </c>
      <c r="D21" s="970" t="s">
        <v>1944</v>
      </c>
      <c r="E21" s="925" t="s">
        <v>1945</v>
      </c>
      <c r="F21" s="966">
        <f>'数据-取费表'!B38</f>
        <v>0.02</v>
      </c>
      <c r="G21" s="964"/>
      <c r="H21" s="971"/>
      <c r="I21" s="1088"/>
      <c r="J21" s="992"/>
      <c r="K21" s="993"/>
      <c r="L21" s="925" t="s">
        <v>1946</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1947</v>
      </c>
      <c r="C22" s="961"/>
      <c r="D22" s="968" t="str">
        <f>IF(F23&lt;=1,"单利计息。","复利计息。")&amp;"建造成本、管理费用、销售费用产生的利息。"</f>
        <v>复利计息。建造成本、管理费用、销售费用产生的利息。</v>
      </c>
      <c r="E22" s="969"/>
      <c r="F22" s="967"/>
      <c r="G22" s="718"/>
      <c r="H22" s="956" t="s">
        <v>946</v>
      </c>
      <c r="I22" s="925" t="s">
        <v>1948</v>
      </c>
      <c r="J22" s="961">
        <f ca="1">ROUND(J14*M22,0)</f>
        <v>0</v>
      </c>
      <c r="K22" s="983" t="s">
        <v>1949</v>
      </c>
      <c r="L22" s="925" t="s">
        <v>1920</v>
      </c>
      <c r="M22" s="995">
        <f ca="1">INDIRECT("'数据-取费表'!Ak"&amp;$G$1)</f>
        <v>0</v>
      </c>
    </row>
    <row r="23" spans="1:37" s="891" customFormat="1" ht="18" customHeight="1">
      <c r="A23" s="956" t="s">
        <v>965</v>
      </c>
      <c r="B23" s="925" t="s">
        <v>1950</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1951</v>
      </c>
      <c r="F23" s="973">
        <f>'数据-取费表'!B20</f>
        <v>2.5</v>
      </c>
      <c r="G23" s="964"/>
      <c r="H23" s="956" t="s">
        <v>991</v>
      </c>
      <c r="I23" s="925" t="s">
        <v>1952</v>
      </c>
      <c r="J23" s="961">
        <f ca="1">ROUND(J13*M23,0)</f>
        <v>0</v>
      </c>
      <c r="K23" s="983" t="s">
        <v>1953</v>
      </c>
      <c r="L23" s="925" t="s">
        <v>1920</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1954</v>
      </c>
      <c r="C24" s="961">
        <f ca="1">ROUND(IF('数据-取费表'!B22&lt;=1,F21*F24*F23/2,F21*(POWER((1+F24),F23/2)-1)),4)</f>
        <v>8.0000000000000004E-4</v>
      </c>
      <c r="D24" s="972" t="str">
        <f>IF(F23&lt;=1,"销售费用×利率×(建设周期÷2)","销售费用×((1+利率)^(建设周期÷2)-1)")</f>
        <v>销售费用×((1+利率)^(建设周期÷2)-1)</v>
      </c>
      <c r="E24" s="925" t="s">
        <v>1955</v>
      </c>
      <c r="F24" s="974">
        <f ca="1">'数据-取费表'!B40</f>
        <v>0.03</v>
      </c>
      <c r="G24" s="964"/>
      <c r="H24" s="965" t="s">
        <v>994</v>
      </c>
      <c r="I24" s="949" t="s">
        <v>1938</v>
      </c>
      <c r="J24" s="975">
        <f ca="1">ROUND(J5*M24,0)</f>
        <v>0</v>
      </c>
      <c r="K24" s="976" t="s">
        <v>1956</v>
      </c>
      <c r="L24" s="949" t="s">
        <v>1920</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18" customHeight="1">
      <c r="A25" s="956" t="s">
        <v>998</v>
      </c>
      <c r="B25" s="925" t="s">
        <v>1957</v>
      </c>
      <c r="C25" s="961"/>
      <c r="D25" s="968" t="s">
        <v>1958</v>
      </c>
      <c r="E25" s="969"/>
      <c r="F25" s="967"/>
      <c r="G25" s="718"/>
      <c r="H25" s="951" t="s">
        <v>1959</v>
      </c>
      <c r="I25" s="997" t="s">
        <v>1960</v>
      </c>
      <c r="J25" s="953">
        <f ca="1">J5-J16</f>
        <v>0</v>
      </c>
      <c r="K25" s="998" t="s">
        <v>1961</v>
      </c>
      <c r="L25" s="999"/>
      <c r="M25" s="1000"/>
    </row>
    <row r="26" spans="1:37" ht="18" customHeight="1">
      <c r="A26" s="956" t="s">
        <v>965</v>
      </c>
      <c r="B26" s="925" t="s">
        <v>1962</v>
      </c>
      <c r="C26" s="961">
        <f ca="1">ROUND((C19+C20)*F26,0)</f>
        <v>0</v>
      </c>
      <c r="D26" s="970" t="s">
        <v>1963</v>
      </c>
      <c r="E26" s="937" t="s">
        <v>1964</v>
      </c>
      <c r="F26" s="933">
        <f ca="1">INDIRECT("'数据-取费表'!q"&amp;$G$1)</f>
        <v>0</v>
      </c>
      <c r="G26" s="718"/>
      <c r="H26" s="916" t="s">
        <v>1965</v>
      </c>
      <c r="I26" s="917" t="s">
        <v>1966</v>
      </c>
      <c r="J26" s="1001">
        <f ca="1">IF(J5&lt;&gt;0,ROUND(J25*(1-((1+M28)/(1+M26))^M27)/(M26-M28),0),0)</f>
        <v>0</v>
      </c>
      <c r="K26" s="989" t="s">
        <v>1967</v>
      </c>
      <c r="L26" s="925" t="s">
        <v>1968</v>
      </c>
      <c r="M26" s="933">
        <f ca="1">INDIRECT("'数据-取费表'!I"&amp;$G$1)</f>
        <v>0</v>
      </c>
    </row>
    <row r="27" spans="1:37" ht="18" customHeight="1">
      <c r="A27" s="956" t="s">
        <v>969</v>
      </c>
      <c r="B27" s="925" t="s">
        <v>1969</v>
      </c>
      <c r="C27" s="961">
        <f ca="1">ROUND(F21*F26,4)</f>
        <v>0</v>
      </c>
      <c r="D27" s="970" t="s">
        <v>1970</v>
      </c>
      <c r="E27" s="962"/>
      <c r="F27" s="963"/>
      <c r="G27" s="718"/>
      <c r="H27" s="931"/>
      <c r="I27" s="1003"/>
      <c r="J27" s="932"/>
      <c r="K27" s="1004" t="s">
        <v>1971</v>
      </c>
      <c r="L27" s="925" t="s">
        <v>1972</v>
      </c>
      <c r="M27" s="1005">
        <f ca="1">INDIRECT("'数据-取费表'!ag"&amp;$G$1)</f>
        <v>0</v>
      </c>
    </row>
    <row r="28" spans="1:37" s="891" customFormat="1" ht="18" customHeight="1">
      <c r="A28" s="956" t="s">
        <v>999</v>
      </c>
      <c r="B28" s="925" t="s">
        <v>1973</v>
      </c>
      <c r="C28" s="961">
        <f>ROUND(F28/(1+'数据-取费表'!C42),4)</f>
        <v>5.33E-2</v>
      </c>
      <c r="D28" s="970" t="s">
        <v>1974</v>
      </c>
      <c r="E28" s="925" t="s">
        <v>1920</v>
      </c>
      <c r="F28" s="966">
        <f>'数据-取费表'!B41</f>
        <v>5.6000000000000001E-2</v>
      </c>
      <c r="G28" s="964"/>
      <c r="H28" s="939"/>
      <c r="I28" s="1007"/>
      <c r="J28" s="953"/>
      <c r="K28" s="993"/>
      <c r="L28" s="925" t="s">
        <v>1975</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1878</v>
      </c>
      <c r="B29" s="949" t="s">
        <v>1976</v>
      </c>
      <c r="C29" s="975">
        <f ca="1">ROUND((C19+C20+C23+C26)/(1-F21-C24-C27-C28),0)</f>
        <v>0</v>
      </c>
      <c r="D29" s="976"/>
      <c r="E29" s="949"/>
      <c r="F29" s="977"/>
      <c r="G29" s="964"/>
      <c r="H29" s="978" t="s">
        <v>1977</v>
      </c>
      <c r="I29" s="1008" t="s">
        <v>1978</v>
      </c>
      <c r="J29" s="1009">
        <f ca="1">ROUND(J26/(1+F40)^F41,0)</f>
        <v>0</v>
      </c>
      <c r="K29" s="1010" t="s">
        <v>1979</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1921</v>
      </c>
      <c r="B30" s="952" t="s">
        <v>1922</v>
      </c>
      <c r="C30" s="953">
        <f ca="1">ROUND(C31+C36+C37+C38,0)</f>
        <v>0</v>
      </c>
      <c r="D30" s="979" t="s">
        <v>1923</v>
      </c>
      <c r="E30" s="980"/>
      <c r="F30" s="921"/>
      <c r="G30" s="718"/>
      <c r="H30" s="981"/>
      <c r="I30" s="1089"/>
      <c r="J30" s="1090"/>
      <c r="K30" s="1006"/>
      <c r="L30" s="1091"/>
      <c r="M30" s="1092"/>
    </row>
    <row r="31" spans="1:37" ht="18" customHeight="1">
      <c r="A31" s="956" t="s">
        <v>942</v>
      </c>
      <c r="B31" s="925" t="s">
        <v>1928</v>
      </c>
      <c r="C31" s="982">
        <f ca="1">ROUND(IF(AND(项目基本情况!B11="自然人",项目基本情况!B10="北京市"),C6*F31/(1+'数据-取费表'!C42),C32+C33+C34),0)</f>
        <v>0</v>
      </c>
      <c r="D31" s="958" t="s">
        <v>1929</v>
      </c>
      <c r="E31" s="983" t="s">
        <v>1930</v>
      </c>
      <c r="F31" s="984" t="str">
        <f>IF(项目基本情况!B11="企业","——",IF(M47="住宅",IF(F6*F7*F8/12/(1+'数据-取费表'!F30)&gt;100000,4%,2.5%),IF(F6*F7*F8/12/(1+'数据-取费表'!F30)&gt;100000,12%,7%)))</f>
        <v>——</v>
      </c>
      <c r="G31" s="718"/>
      <c r="H31" s="985" t="s">
        <v>1980</v>
      </c>
      <c r="I31" s="1089"/>
      <c r="J31" s="1090"/>
      <c r="K31" s="1006"/>
      <c r="L31" s="1091"/>
      <c r="M31" s="1092"/>
    </row>
    <row r="32" spans="1:37" ht="18" customHeight="1">
      <c r="A32" s="956" t="s">
        <v>965</v>
      </c>
      <c r="B32" s="925" t="s">
        <v>1932</v>
      </c>
      <c r="C32" s="961">
        <f ca="1">IF(项目基本情况!B11="自然人","——",ROUND(C6*F32/(1+'数据-取费表'!C42),0))</f>
        <v>0</v>
      </c>
      <c r="D32" s="983" t="s">
        <v>1933</v>
      </c>
      <c r="E32" s="925" t="s">
        <v>1920</v>
      </c>
      <c r="F32" s="974">
        <f>'数据-取费表'!B41</f>
        <v>5.6000000000000001E-2</v>
      </c>
      <c r="G32" s="718"/>
      <c r="H32" s="981"/>
      <c r="I32" s="1089"/>
      <c r="J32" s="1090"/>
      <c r="K32" s="1006"/>
      <c r="L32" s="1091"/>
      <c r="M32" s="1092"/>
    </row>
    <row r="33" spans="1:18" ht="18" customHeight="1">
      <c r="A33" s="956" t="s">
        <v>969</v>
      </c>
      <c r="B33" s="925" t="s">
        <v>1936</v>
      </c>
      <c r="C33" s="961">
        <f ca="1">IF(项目基本情况!B11="自然人","——",IF(D33="按租金收入计税",ROUND(C6*F33/(1+'数据-取费表'!C42),0),IF(D33="按房产原值计税",ROUND(C29*F33*0.7,0),INDIRECT("'数据-取费表'!Aj"&amp;$G$1))))</f>
        <v>0</v>
      </c>
      <c r="D33" s="986" t="s">
        <v>1937</v>
      </c>
      <c r="E33" s="925" t="s">
        <v>1920</v>
      </c>
      <c r="F33" s="966">
        <f>IF(D33="按票据","——",IF(D33="按租金收入计税",'数据-取费表'!B51,'数据-取费表'!B50))</f>
        <v>0.12</v>
      </c>
      <c r="G33" s="718"/>
      <c r="H33" s="987"/>
      <c r="I33" s="1089"/>
      <c r="J33" s="1090"/>
      <c r="K33" s="1093"/>
      <c r="L33" s="987"/>
      <c r="M33" s="987"/>
    </row>
    <row r="34" spans="1:18" ht="18" customHeight="1">
      <c r="A34" s="922" t="s">
        <v>972</v>
      </c>
      <c r="B34" s="924" t="s">
        <v>1940</v>
      </c>
      <c r="C34" s="988">
        <f ca="1">IF(项目基本情况!B11="自然人","——",ROUND(F34*F35,0))</f>
        <v>0</v>
      </c>
      <c r="D34" s="989" t="s">
        <v>1941</v>
      </c>
      <c r="E34" s="925" t="s">
        <v>1942</v>
      </c>
      <c r="F34" s="973">
        <f>'数据-取费表'!B52</f>
        <v>30</v>
      </c>
      <c r="G34" s="718"/>
      <c r="H34" s="981"/>
      <c r="I34" s="1089"/>
      <c r="J34" s="1090"/>
      <c r="K34" s="1094"/>
      <c r="L34" s="1095"/>
      <c r="M34" s="1095"/>
    </row>
    <row r="35" spans="1:18" ht="18" customHeight="1">
      <c r="A35" s="990"/>
      <c r="B35" s="991"/>
      <c r="C35" s="992"/>
      <c r="D35" s="993"/>
      <c r="E35" s="925" t="s">
        <v>1946</v>
      </c>
      <c r="F35" s="926">
        <f ca="1">INDIRECT("'数据-取费表'!r"&amp;$G$1)</f>
        <v>0</v>
      </c>
      <c r="G35" s="718"/>
      <c r="H35" s="981"/>
      <c r="I35" s="1089"/>
      <c r="J35" s="1090"/>
      <c r="K35" s="1093"/>
      <c r="L35" s="987"/>
      <c r="M35" s="987"/>
    </row>
    <row r="36" spans="1:18" ht="18" customHeight="1">
      <c r="A36" s="994" t="s">
        <v>946</v>
      </c>
      <c r="B36" s="925" t="s">
        <v>1948</v>
      </c>
      <c r="C36" s="961">
        <f ca="1">ROUND(C29*F36,0)</f>
        <v>0</v>
      </c>
      <c r="D36" s="983" t="s">
        <v>1981</v>
      </c>
      <c r="E36" s="925" t="s">
        <v>1920</v>
      </c>
      <c r="F36" s="995">
        <f ca="1">INDIRECT("'数据-取费表'!Ak"&amp;$G$1)</f>
        <v>0</v>
      </c>
      <c r="G36" s="718"/>
      <c r="H36" s="987"/>
      <c r="I36" s="1089"/>
      <c r="J36" s="1090"/>
      <c r="K36" s="1096"/>
      <c r="L36" s="987"/>
      <c r="M36" s="987"/>
    </row>
    <row r="37" spans="1:18" ht="18" customHeight="1">
      <c r="A37" s="956" t="s">
        <v>991</v>
      </c>
      <c r="B37" s="925" t="s">
        <v>1952</v>
      </c>
      <c r="C37" s="961">
        <f ca="1">ROUND(C13*F37,0)</f>
        <v>0</v>
      </c>
      <c r="D37" s="983" t="s">
        <v>1953</v>
      </c>
      <c r="E37" s="925" t="s">
        <v>1920</v>
      </c>
      <c r="F37" s="996">
        <f ca="1">INDIRECT("'数据-取费表'!Al"&amp;$G$1)</f>
        <v>0</v>
      </c>
      <c r="G37" s="718"/>
      <c r="H37" s="987"/>
      <c r="I37" s="1089"/>
      <c r="J37" s="1090"/>
      <c r="K37" s="1096"/>
      <c r="L37" s="987"/>
      <c r="M37" s="987"/>
    </row>
    <row r="38" spans="1:18" ht="18" customHeight="1">
      <c r="A38" s="965" t="s">
        <v>994</v>
      </c>
      <c r="B38" s="949" t="s">
        <v>1938</v>
      </c>
      <c r="C38" s="975">
        <f ca="1">ROUND(C5*F38,0)</f>
        <v>0</v>
      </c>
      <c r="D38" s="976" t="s">
        <v>1956</v>
      </c>
      <c r="E38" s="949" t="s">
        <v>1920</v>
      </c>
      <c r="F38" s="950">
        <f ca="1">INDIRECT("'数据-取费表'!Am"&amp;$G$1)</f>
        <v>0</v>
      </c>
      <c r="G38" s="718"/>
      <c r="H38" s="987"/>
      <c r="I38" s="1089"/>
      <c r="J38" s="1090"/>
      <c r="K38" s="1091"/>
      <c r="L38" s="987"/>
      <c r="M38" s="987"/>
    </row>
    <row r="39" spans="1:18" ht="24.6" customHeight="1">
      <c r="A39" s="951" t="s">
        <v>1959</v>
      </c>
      <c r="B39" s="997" t="s">
        <v>1960</v>
      </c>
      <c r="C39" s="953">
        <f ca="1">C5-C30</f>
        <v>0</v>
      </c>
      <c r="D39" s="998" t="s">
        <v>1961</v>
      </c>
      <c r="E39" s="999"/>
      <c r="F39" s="1000"/>
      <c r="G39" s="718"/>
      <c r="H39" s="987"/>
      <c r="I39" s="1089"/>
      <c r="J39" s="1090"/>
      <c r="K39" s="1091"/>
      <c r="L39" s="987"/>
      <c r="M39" s="987"/>
    </row>
    <row r="40" spans="1:18" ht="18" customHeight="1">
      <c r="A40" s="916" t="s">
        <v>1965</v>
      </c>
      <c r="B40" s="917" t="s">
        <v>1982</v>
      </c>
      <c r="C40" s="1001" t="e">
        <f ca="1">ROUND(C39*(1-((1+F42)/(1+F40))^F41)/(F40-F42),0)</f>
        <v>#DIV/0!</v>
      </c>
      <c r="D40" s="989" t="s">
        <v>1967</v>
      </c>
      <c r="E40" s="925" t="s">
        <v>1968</v>
      </c>
      <c r="F40" s="933">
        <f ca="1">INDIRECT("'数据-取费表'!I"&amp;$G$1)</f>
        <v>0</v>
      </c>
      <c r="G40" s="718"/>
      <c r="H40" s="1002"/>
      <c r="I40" s="1089"/>
      <c r="J40" s="1090"/>
      <c r="K40" s="1091"/>
      <c r="L40" s="1002"/>
      <c r="M40" s="1002"/>
    </row>
    <row r="41" spans="1:18" ht="18" customHeight="1">
      <c r="A41" s="931"/>
      <c r="B41" s="1003"/>
      <c r="C41" s="932"/>
      <c r="D41" s="1004" t="s">
        <v>1971</v>
      </c>
      <c r="E41" s="925" t="s">
        <v>1972</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1975</v>
      </c>
      <c r="F42" s="933">
        <f ca="1">INDIRECT("'数据-取费表'!v"&amp;$G$1)</f>
        <v>0</v>
      </c>
      <c r="G42" s="718"/>
      <c r="H42" s="1006"/>
      <c r="I42" s="1089"/>
      <c r="J42" s="1090"/>
      <c r="K42" s="1096"/>
      <c r="L42" s="1006"/>
      <c r="M42" s="1006"/>
    </row>
    <row r="43" spans="1:18" ht="18" customHeight="1">
      <c r="A43" s="978" t="s">
        <v>1977</v>
      </c>
      <c r="B43" s="1008" t="s">
        <v>1983</v>
      </c>
      <c r="C43" s="1009" t="e">
        <f ca="1">ROUND(C40/F43,0)</f>
        <v>#DIV/0!</v>
      </c>
      <c r="D43" s="1010" t="s">
        <v>1984</v>
      </c>
      <c r="E43" s="1011" t="s">
        <v>1985</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2101" t="s">
        <v>1986</v>
      </c>
      <c r="B45" s="1013"/>
      <c r="C45" s="2102" t="e">
        <f ca="1">ROUND((C68-C40)/10000,4)</f>
        <v>#DIV/0!</v>
      </c>
      <c r="D45" s="2103" t="s">
        <v>1987</v>
      </c>
      <c r="E45" s="1013"/>
      <c r="F45" s="1013"/>
      <c r="O45" s="1132" t="s">
        <v>1988</v>
      </c>
      <c r="P45" s="1002"/>
      <c r="Q45" s="1002"/>
      <c r="R45" s="1002"/>
    </row>
    <row r="46" spans="1:18" s="718" customFormat="1">
      <c r="A46" s="1015" t="s">
        <v>1989</v>
      </c>
      <c r="C46" s="1016" t="e">
        <f ca="1">ROUND(C45,0)</f>
        <v>#DIV/0!</v>
      </c>
      <c r="D46" s="1017" t="str">
        <f>C2</f>
        <v>万元</v>
      </c>
      <c r="I46" s="1100" t="s">
        <v>1990</v>
      </c>
      <c r="J46" s="1101"/>
      <c r="K46" s="1102"/>
      <c r="L46" s="1103" t="e">
        <f ca="1">IF(M47="住宅",0,IF(L48&gt;J51,L60,J60))</f>
        <v>#DIV/0!</v>
      </c>
      <c r="O46" s="1104" t="s">
        <v>1991</v>
      </c>
      <c r="P46" s="1105" t="s">
        <v>1992</v>
      </c>
      <c r="Q46" s="1149" t="s">
        <v>1993</v>
      </c>
      <c r="R46" s="1149" t="s">
        <v>1994</v>
      </c>
    </row>
    <row r="47" spans="1:18" s="718" customFormat="1">
      <c r="A47" s="1018" t="s">
        <v>1891</v>
      </c>
      <c r="B47" s="1019" t="s">
        <v>1892</v>
      </c>
      <c r="C47" s="1019" t="s">
        <v>1893</v>
      </c>
      <c r="D47" s="1019" t="s">
        <v>1894</v>
      </c>
      <c r="E47" s="1021" t="s">
        <v>1895</v>
      </c>
      <c r="F47" s="1022"/>
      <c r="G47" s="1023"/>
      <c r="I47" s="1106" t="s">
        <v>1995</v>
      </c>
      <c r="J47" s="1107"/>
      <c r="K47" s="1108" t="s">
        <v>1996</v>
      </c>
      <c r="L47" s="1109">
        <f ca="1">INDIRECT("'数据-取费表'!d"&amp;$G$1)</f>
        <v>0</v>
      </c>
      <c r="M47" s="1110" t="str">
        <f>IF(ISNUMBER(FIND("住宅",C1)),"住宅","非住宅")</f>
        <v>非住宅</v>
      </c>
      <c r="O47" s="1111" t="s">
        <v>1753</v>
      </c>
      <c r="P47" s="1112" t="s">
        <v>1997</v>
      </c>
      <c r="Q47" s="1150" t="e">
        <f ca="1">C40+J29</f>
        <v>#DIV/0!</v>
      </c>
      <c r="R47" s="1150" t="s">
        <v>1998</v>
      </c>
    </row>
    <row r="48" spans="1:18" s="718" customFormat="1" ht="27.75">
      <c r="A48" s="1024" t="s">
        <v>1999</v>
      </c>
      <c r="B48" s="917" t="s">
        <v>1896</v>
      </c>
      <c r="C48" s="1025">
        <f ca="1">C49+C53+C55</f>
        <v>0</v>
      </c>
      <c r="D48" s="1026"/>
      <c r="E48" s="1027"/>
      <c r="F48" s="1028"/>
      <c r="G48" s="1023"/>
      <c r="H48" s="1029"/>
      <c r="I48" s="1113" t="s">
        <v>2000</v>
      </c>
      <c r="J48" s="1114"/>
      <c r="K48" s="1115" t="s">
        <v>2001</v>
      </c>
      <c r="L48" s="1116">
        <f ca="1">INDIRECT("'数据-取费表'!f"&amp;$G$1)</f>
        <v>0</v>
      </c>
      <c r="O48" s="1111" t="s">
        <v>1755</v>
      </c>
      <c r="P48" s="1112" t="s">
        <v>2002</v>
      </c>
      <c r="Q48" s="1150" t="e">
        <f ca="1">J60</f>
        <v>#DIV/0!</v>
      </c>
      <c r="R48" s="1150" t="s">
        <v>2003</v>
      </c>
    </row>
    <row r="49" spans="1:18" s="718" customFormat="1">
      <c r="A49" s="1030" t="s">
        <v>2004</v>
      </c>
      <c r="B49" s="1031" t="s">
        <v>2005</v>
      </c>
      <c r="C49" s="1032">
        <f ca="1">ROUND(F49*F51*F50*(1-F52),0)</f>
        <v>0</v>
      </c>
      <c r="D49" s="1033" t="s">
        <v>2006</v>
      </c>
      <c r="E49" s="1034" t="s">
        <v>2007</v>
      </c>
      <c r="F49" s="1035"/>
      <c r="H49" s="1029"/>
      <c r="I49" s="1113" t="s">
        <v>2008</v>
      </c>
      <c r="J49" s="1117"/>
      <c r="K49" s="1115" t="s">
        <v>2009</v>
      </c>
      <c r="L49" s="1118"/>
      <c r="O49" s="1119" t="s">
        <v>2010</v>
      </c>
      <c r="P49" s="1112" t="s">
        <v>2011</v>
      </c>
      <c r="Q49" s="1150">
        <f ca="1">C29</f>
        <v>0</v>
      </c>
      <c r="R49" s="1150" t="s">
        <v>1998</v>
      </c>
    </row>
    <row r="50" spans="1:18" s="718" customFormat="1">
      <c r="A50" s="1036"/>
      <c r="B50" s="1037"/>
      <c r="C50" s="1043"/>
      <c r="D50" s="1039"/>
      <c r="E50" s="1040" t="s">
        <v>1902</v>
      </c>
      <c r="F50" s="1041">
        <f ca="1">F7</f>
        <v>0</v>
      </c>
      <c r="H50" s="1029"/>
      <c r="I50" s="1113" t="s">
        <v>2012</v>
      </c>
      <c r="J50" s="1120">
        <f>SUMPRODUCT((I63:I65=J47)*(J62:L62=J48)*(J63:L65))</f>
        <v>0</v>
      </c>
      <c r="K50" s="1115" t="s">
        <v>2013</v>
      </c>
      <c r="L50" s="1118"/>
      <c r="M50" s="1121"/>
      <c r="O50" s="1119" t="s">
        <v>2014</v>
      </c>
      <c r="P50" s="1112" t="s">
        <v>2015</v>
      </c>
      <c r="Q50" s="1151" t="e">
        <f ca="1">J58</f>
        <v>#DIV/0!</v>
      </c>
      <c r="R50" s="1150"/>
    </row>
    <row r="51" spans="1:18" s="718" customFormat="1">
      <c r="A51" s="1042"/>
      <c r="B51" s="1037"/>
      <c r="C51" s="1043"/>
      <c r="D51" s="1039"/>
      <c r="E51" s="1044" t="s">
        <v>1903</v>
      </c>
      <c r="F51" s="926">
        <f ca="1">F8</f>
        <v>0</v>
      </c>
      <c r="I51" s="1122" t="s">
        <v>2016</v>
      </c>
      <c r="J51" s="1116">
        <f>IF(J49="",J50,J49+J50-YEAR('数据-取费表'!B2))</f>
        <v>0</v>
      </c>
      <c r="K51" s="1123" t="s">
        <v>2017</v>
      </c>
      <c r="L51" s="1124">
        <f ca="1">ROUND(-PV(INDIRECT("'数据-取费表'!h"&amp;$G$1),J51,(C39-C13*C76),0),0)</f>
        <v>0</v>
      </c>
      <c r="M51" s="1125"/>
      <c r="O51" s="1119" t="s">
        <v>2018</v>
      </c>
      <c r="P51" s="1112" t="s">
        <v>2019</v>
      </c>
      <c r="Q51" s="1151">
        <f>J52</f>
        <v>0</v>
      </c>
      <c r="R51" s="1150"/>
    </row>
    <row r="52" spans="1:18" s="718" customFormat="1">
      <c r="A52" s="1042"/>
      <c r="B52" s="1037"/>
      <c r="C52" s="1043"/>
      <c r="D52" s="1039"/>
      <c r="E52" s="1044" t="s">
        <v>1904</v>
      </c>
      <c r="F52" s="1045"/>
      <c r="I52" s="1126" t="s">
        <v>2020</v>
      </c>
      <c r="J52" s="1127"/>
      <c r="K52" s="1126" t="s">
        <v>2021</v>
      </c>
      <c r="L52" s="1127"/>
      <c r="O52" s="1119" t="s">
        <v>2022</v>
      </c>
      <c r="P52" s="1112" t="s">
        <v>2023</v>
      </c>
      <c r="Q52" s="1150">
        <f ca="1">J53</f>
        <v>0</v>
      </c>
      <c r="R52" s="1150" t="s">
        <v>2024</v>
      </c>
    </row>
    <row r="53" spans="1:18" s="718" customFormat="1" ht="30.75" customHeight="1">
      <c r="A53" s="2104" t="s">
        <v>2025</v>
      </c>
      <c r="B53" s="970" t="s">
        <v>1905</v>
      </c>
      <c r="C53" s="935">
        <f ca="1">ROUND(IF(F53="押一",C49/12*F11,IF(F53="押二",C49/12*2*F11,IF(F53="押三",C49/12*3*F11,C54*F11))),0)</f>
        <v>0</v>
      </c>
      <c r="D53" s="936" t="s">
        <v>2026</v>
      </c>
      <c r="E53" s="937" t="s">
        <v>1907</v>
      </c>
      <c r="F53" s="938"/>
      <c r="I53" s="1128" t="s">
        <v>2027</v>
      </c>
      <c r="J53" s="1129">
        <f ca="1">IF(M47="住宅",IF(D1="——",MAX(J51,L48),MAX(J51,L48-'数据-取费表'!B24)),IF(D1="——",MIN(J51,L48),MIN(J51,L48-'数据-取费表'!B24)))</f>
        <v>0</v>
      </c>
      <c r="K53" s="3481" t="s">
        <v>2028</v>
      </c>
      <c r="L53" s="3482"/>
      <c r="O53" s="1111" t="s">
        <v>1846</v>
      </c>
      <c r="P53" s="1112" t="s">
        <v>2029</v>
      </c>
      <c r="Q53" s="1150" t="e">
        <f ca="1">Q47+Q48</f>
        <v>#DIV/0!</v>
      </c>
      <c r="R53" s="1150" t="s">
        <v>2030</v>
      </c>
    </row>
    <row r="54" spans="1:18" s="718" customFormat="1">
      <c r="A54" s="1030"/>
      <c r="B54" s="2105" t="s">
        <v>1911</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1"/>
      <c r="K54" s="1131"/>
      <c r="L54" s="1131"/>
      <c r="O54" s="1132" t="s">
        <v>2031</v>
      </c>
      <c r="P54" s="904"/>
      <c r="Q54" s="904"/>
      <c r="R54" s="904"/>
    </row>
    <row r="55" spans="1:18" s="718" customFormat="1">
      <c r="A55" s="945" t="s">
        <v>991</v>
      </c>
      <c r="B55" s="946" t="s">
        <v>1912</v>
      </c>
      <c r="C55" s="947"/>
      <c r="D55" s="936"/>
      <c r="E55" s="1049"/>
      <c r="F55" s="1050"/>
      <c r="I55" s="1133" t="s">
        <v>2032</v>
      </c>
      <c r="J55" s="1134" t="e">
        <f ca="1">ROUND(IF(J47="钢混",J57/J50,1-(1-2%)*(J50-J57)/J50),3)</f>
        <v>#DIV/0!</v>
      </c>
      <c r="K55" s="1135" t="s">
        <v>2033</v>
      </c>
      <c r="L55" s="1136"/>
      <c r="O55" s="1104" t="s">
        <v>1991</v>
      </c>
      <c r="P55" s="1105" t="s">
        <v>1992</v>
      </c>
      <c r="Q55" s="1149" t="s">
        <v>1993</v>
      </c>
      <c r="R55" s="1149" t="s">
        <v>1994</v>
      </c>
    </row>
    <row r="56" spans="1:18" s="718" customFormat="1" ht="36" customHeight="1">
      <c r="A56" s="1051">
        <v>2</v>
      </c>
      <c r="B56" s="1052" t="s">
        <v>1913</v>
      </c>
      <c r="C56" s="376">
        <f ca="1">C13</f>
        <v>0</v>
      </c>
      <c r="D56" s="1053"/>
      <c r="E56" s="1054"/>
      <c r="F56" s="1050"/>
      <c r="I56" s="1137" t="s">
        <v>2034</v>
      </c>
      <c r="J56" s="1138"/>
      <c r="K56" s="1113" t="s">
        <v>2035</v>
      </c>
      <c r="L56" s="1116">
        <f ca="1">IF(L48&lt;J51,"——",L48-J51)</f>
        <v>0</v>
      </c>
      <c r="O56" s="1111" t="s">
        <v>1753</v>
      </c>
      <c r="P56" s="1112" t="s">
        <v>1997</v>
      </c>
      <c r="Q56" s="1150" t="e">
        <f ca="1">C40+J29</f>
        <v>#DIV/0!</v>
      </c>
      <c r="R56" s="1150" t="s">
        <v>1998</v>
      </c>
    </row>
    <row r="57" spans="1:18" s="718" customFormat="1" ht="24">
      <c r="A57" s="1055"/>
      <c r="B57" s="1056" t="s">
        <v>1976</v>
      </c>
      <c r="C57" s="386">
        <f ca="1">C29</f>
        <v>0</v>
      </c>
      <c r="D57" s="1057"/>
      <c r="E57" s="1058"/>
      <c r="F57" s="1059"/>
      <c r="I57" s="1139" t="s">
        <v>2036</v>
      </c>
      <c r="J57" s="1140">
        <f ca="1">IF(OR(M47="住宅",J51&lt;L48,J56="是"),"——",J51-L48)</f>
        <v>0</v>
      </c>
      <c r="K57" s="1113" t="s">
        <v>2037</v>
      </c>
      <c r="L57" s="1116">
        <f ca="1">IF(L48&lt;J51,"——",IF(L55="比较法",L49,IF(L55="基准地价",L50,L51)))</f>
        <v>0</v>
      </c>
      <c r="O57" s="1111" t="s">
        <v>1755</v>
      </c>
      <c r="P57" s="1112" t="s">
        <v>2038</v>
      </c>
      <c r="Q57" s="1150" t="e">
        <f ca="1">L60</f>
        <v>#DIV/0!</v>
      </c>
      <c r="R57" s="1150" t="s">
        <v>2039</v>
      </c>
    </row>
    <row r="58" spans="1:18" s="718" customFormat="1" ht="24">
      <c r="A58" s="1060" t="s">
        <v>1921</v>
      </c>
      <c r="B58" s="1052" t="s">
        <v>1922</v>
      </c>
      <c r="C58" s="935">
        <f ca="1">ROUND(C59+C64+C65+C66,0)</f>
        <v>0</v>
      </c>
      <c r="D58" s="1061" t="s">
        <v>1923</v>
      </c>
      <c r="E58" s="1062"/>
      <c r="F58" s="1028"/>
      <c r="I58" s="1139" t="s">
        <v>2040</v>
      </c>
      <c r="J58" s="1141" t="e">
        <f ca="1">IF(J55&lt;0.4,0.4,J55)</f>
        <v>#DIV/0!</v>
      </c>
      <c r="K58" s="1123" t="s">
        <v>2041</v>
      </c>
      <c r="L58" s="1116" t="e">
        <f ca="1">ROUND(POWER(1+L52,L47-L48)*(POWER(1+L52,L48)-1)/(POWER(1+L52,L47)-1),4)</f>
        <v>#DIV/0!</v>
      </c>
      <c r="O58" s="1119" t="s">
        <v>2010</v>
      </c>
      <c r="P58" s="1112" t="s">
        <v>2042</v>
      </c>
      <c r="Q58" s="1150">
        <f>IF(L55="比较法",L49,IF(L55="基准地价",L50,0))</f>
        <v>0</v>
      </c>
      <c r="R58" s="1150" t="s">
        <v>1998</v>
      </c>
    </row>
    <row r="59" spans="1:18" s="718" customFormat="1" ht="24">
      <c r="A59" s="956" t="s">
        <v>942</v>
      </c>
      <c r="B59" s="1056" t="s">
        <v>1928</v>
      </c>
      <c r="C59" s="982">
        <f ca="1">ROUND(IF(AND(项目基本情况!B11="自然人",项目基本情况!B10="北京市"),C49*F59/(1+'数据-取费表'!C42),C60+C61+C62),0)</f>
        <v>0</v>
      </c>
      <c r="D59" s="1063" t="s">
        <v>1929</v>
      </c>
      <c r="E59" s="1064" t="s">
        <v>1930</v>
      </c>
      <c r="F59" s="984" t="str">
        <f>IF(项目基本情况!B11="企业","——",IF('数据-取费表'!B10="住宅",IF(F49*F50*F51/12/(1+'数据-取费表'!F30)&gt;100000,4%,2.5%),IF(F49*F50*F51/12/(1+'数据-取费表'!F30)&gt;100000,12%,7%)))</f>
        <v>——</v>
      </c>
      <c r="I59" s="1139" t="s">
        <v>2043</v>
      </c>
      <c r="J59" s="1140" t="e">
        <f ca="1">IF(OR(M47="住宅",J51&lt;L48,J56="是"),"——",ROUND(C29*J58,0))</f>
        <v>#DIV/0!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904" t="e">
        <f ca="1">ROUND(POWER(1+L52,L47-(J51+'数据-取费表'!B24))*(POWER(1+L52,(J51+'数据-取费表'!B24))-1)/(POWER(1+L52,L47)-1),4)</f>
        <v>#DIV/0!</v>
      </c>
      <c r="N59" s="904" t="e">
        <f ca="1">ROUND(POWER(1+L52,L47-(J51+'数据-取费表'!B20))*(POWER(1+L52,(J51+'数据-取费表'!B20))-1)/(POWER(1+L52,L47)-1),4)</f>
        <v>#DIV/0!</v>
      </c>
      <c r="O59" s="1119" t="s">
        <v>2014</v>
      </c>
      <c r="P59" s="1112" t="s">
        <v>2044</v>
      </c>
      <c r="Q59" s="1151">
        <f>L52</f>
        <v>0</v>
      </c>
      <c r="R59" s="1150"/>
    </row>
    <row r="60" spans="1:18" s="718" customFormat="1" ht="15.75">
      <c r="A60" s="956" t="s">
        <v>965</v>
      </c>
      <c r="B60" s="1056" t="s">
        <v>1932</v>
      </c>
      <c r="C60" s="961">
        <f ca="1">IF(项目基本情况!B11="自然人","——",ROUND(C48*F60/(1+'数据-取费表'!C42),0))</f>
        <v>0</v>
      </c>
      <c r="D60" s="1064" t="s">
        <v>1933</v>
      </c>
      <c r="E60" s="1056" t="s">
        <v>1920</v>
      </c>
      <c r="F60" s="974">
        <f t="shared" ref="F60:F66" si="0">F32</f>
        <v>5.6000000000000001E-2</v>
      </c>
      <c r="I60" s="1142" t="s">
        <v>2045</v>
      </c>
      <c r="J60" s="1143" t="e">
        <f ca="1">IF(OR(M47="住宅",J51&lt;L48,J56="是"),"0",ROUND(J59/(1+J52)^J53,0))</f>
        <v>#DIV/0!</v>
      </c>
      <c r="K60" s="1144" t="s">
        <v>2046</v>
      </c>
      <c r="L60" s="1143" t="e">
        <f ca="1">IF(OR(M47="住宅",L48&lt;J51),0,ROUND(L57*(L58/L59-1),0))</f>
        <v>#DIV/0!</v>
      </c>
      <c r="O60" s="1119" t="s">
        <v>2018</v>
      </c>
      <c r="P60" s="1112" t="s">
        <v>2047</v>
      </c>
      <c r="Q60" s="1150" t="e">
        <f ca="1">L58</f>
        <v>#DIV/0!</v>
      </c>
      <c r="R60" s="1150" t="s">
        <v>2048</v>
      </c>
    </row>
    <row r="61" spans="1:18" s="718" customFormat="1">
      <c r="A61" s="956" t="s">
        <v>969</v>
      </c>
      <c r="B61" s="1056" t="s">
        <v>1936</v>
      </c>
      <c r="C61" s="961">
        <f ca="1">IF(项目基本情况!B11="自然人","——",IF(D61="按租金收入计税",ROUND(C49*F61/(1+'数据-取费表'!C42),0),IF(D61="按房产原值计税",ROUND(C57*F61*0.7,0),INDIRECT("'数据-取费表'!Aj"&amp;$G$1))))</f>
        <v>0</v>
      </c>
      <c r="D61" s="986" t="s">
        <v>1937</v>
      </c>
      <c r="E61" s="1056" t="s">
        <v>1920</v>
      </c>
      <c r="F61" s="966">
        <f t="shared" si="0"/>
        <v>0.12</v>
      </c>
      <c r="I61" s="1002"/>
      <c r="J61" s="1002"/>
      <c r="K61" s="1002"/>
      <c r="L61" s="1002"/>
      <c r="O61" s="1119" t="s">
        <v>2022</v>
      </c>
      <c r="P61" s="1112" t="str">
        <f>K59</f>
        <v>建筑物剩余耐用年限下的土地年期修正系数Kn</v>
      </c>
      <c r="Q61" s="1150" t="e">
        <f ca="1">L59</f>
        <v>#DIV/0!</v>
      </c>
      <c r="R61" s="1150" t="s">
        <v>2049</v>
      </c>
    </row>
    <row r="62" spans="1:18" s="718" customFormat="1">
      <c r="A62" s="956" t="s">
        <v>972</v>
      </c>
      <c r="B62" s="1065" t="s">
        <v>1940</v>
      </c>
      <c r="C62" s="988">
        <f ca="1">IF(项目基本情况!B11="自然人","——",ROUND(F62*F63,0))</f>
        <v>0</v>
      </c>
      <c r="D62" s="1066" t="s">
        <v>1941</v>
      </c>
      <c r="E62" s="1056" t="s">
        <v>1942</v>
      </c>
      <c r="F62" s="973">
        <f t="shared" si="0"/>
        <v>30</v>
      </c>
      <c r="I62" s="1145" t="s">
        <v>2050</v>
      </c>
      <c r="J62" s="1146" t="s">
        <v>2051</v>
      </c>
      <c r="K62" s="1146" t="s">
        <v>2052</v>
      </c>
      <c r="L62" s="1146" t="s">
        <v>2053</v>
      </c>
      <c r="M62" s="1147" t="s">
        <v>2054</v>
      </c>
      <c r="O62" s="1111" t="s">
        <v>1846</v>
      </c>
      <c r="P62" s="1112" t="s">
        <v>2029</v>
      </c>
      <c r="Q62" s="1150" t="e">
        <f ca="1">Q56+Q57</f>
        <v>#DIV/0!</v>
      </c>
      <c r="R62" s="1150" t="s">
        <v>2030</v>
      </c>
    </row>
    <row r="63" spans="1:18" s="718" customFormat="1">
      <c r="A63" s="971"/>
      <c r="B63" s="1067"/>
      <c r="C63" s="992"/>
      <c r="D63" s="1068"/>
      <c r="E63" s="1056" t="s">
        <v>1946</v>
      </c>
      <c r="F63" s="926">
        <f t="shared" ca="1" si="0"/>
        <v>0</v>
      </c>
      <c r="I63" s="1145" t="s">
        <v>2055</v>
      </c>
      <c r="J63" s="1146">
        <v>70</v>
      </c>
      <c r="K63" s="1146">
        <v>50</v>
      </c>
      <c r="L63" s="1146">
        <v>80</v>
      </c>
      <c r="M63" s="1148">
        <v>0.02</v>
      </c>
      <c r="O63" s="1132" t="s">
        <v>2056</v>
      </c>
      <c r="P63" s="904"/>
      <c r="Q63" s="904"/>
      <c r="R63" s="904"/>
    </row>
    <row r="64" spans="1:18" s="718" customFormat="1">
      <c r="A64" s="956" t="s">
        <v>946</v>
      </c>
      <c r="B64" s="1056" t="s">
        <v>1948</v>
      </c>
      <c r="C64" s="961">
        <f ca="1">ROUND(C57*F64,0)</f>
        <v>0</v>
      </c>
      <c r="D64" s="1064" t="s">
        <v>1981</v>
      </c>
      <c r="E64" s="1056" t="s">
        <v>1920</v>
      </c>
      <c r="F64" s="995">
        <f t="shared" ca="1" si="0"/>
        <v>0</v>
      </c>
      <c r="I64" s="1145" t="s">
        <v>2057</v>
      </c>
      <c r="J64" s="1146">
        <v>50</v>
      </c>
      <c r="K64" s="1146">
        <v>35</v>
      </c>
      <c r="L64" s="1146">
        <v>60</v>
      </c>
      <c r="M64" s="1147">
        <v>0</v>
      </c>
      <c r="O64" s="1104" t="s">
        <v>1991</v>
      </c>
      <c r="P64" s="1105" t="s">
        <v>1992</v>
      </c>
      <c r="Q64" s="1149" t="s">
        <v>1993</v>
      </c>
      <c r="R64" s="1149" t="s">
        <v>1994</v>
      </c>
    </row>
    <row r="65" spans="1:18" s="718" customFormat="1">
      <c r="A65" s="956" t="s">
        <v>991</v>
      </c>
      <c r="B65" s="1056" t="s">
        <v>1952</v>
      </c>
      <c r="C65" s="961">
        <f ca="1">ROUND(C56*F65,0)</f>
        <v>0</v>
      </c>
      <c r="D65" s="1064" t="s">
        <v>1953</v>
      </c>
      <c r="E65" s="1056" t="s">
        <v>1920</v>
      </c>
      <c r="F65" s="996">
        <f t="shared" ca="1" si="0"/>
        <v>0</v>
      </c>
      <c r="I65" s="1145" t="s">
        <v>2058</v>
      </c>
      <c r="J65" s="1146">
        <v>40</v>
      </c>
      <c r="K65" s="1146">
        <v>30</v>
      </c>
      <c r="L65" s="1146">
        <v>50</v>
      </c>
      <c r="M65" s="1148">
        <v>0.02</v>
      </c>
      <c r="O65" s="1111" t="s">
        <v>1753</v>
      </c>
      <c r="P65" s="1112" t="s">
        <v>1997</v>
      </c>
      <c r="Q65" s="1150" t="e">
        <f ca="1">C40+J29</f>
        <v>#DIV/0!</v>
      </c>
      <c r="R65" s="1150" t="s">
        <v>1998</v>
      </c>
    </row>
    <row r="66" spans="1:18" s="718" customFormat="1" ht="15.75">
      <c r="A66" s="956" t="s">
        <v>994</v>
      </c>
      <c r="B66" s="1056" t="s">
        <v>1938</v>
      </c>
      <c r="C66" s="961">
        <f ca="1">ROUND(C48*F66,0)</f>
        <v>0</v>
      </c>
      <c r="D66" s="1064" t="s">
        <v>1956</v>
      </c>
      <c r="E66" s="1056" t="s">
        <v>1920</v>
      </c>
      <c r="F66" s="933">
        <f t="shared" ca="1" si="0"/>
        <v>0</v>
      </c>
      <c r="O66" s="1111" t="s">
        <v>1755</v>
      </c>
      <c r="P66" s="1112" t="s">
        <v>2038</v>
      </c>
      <c r="Q66" s="1150" t="e">
        <f ca="1">L60</f>
        <v>#DIV/0!</v>
      </c>
      <c r="R66" s="1150" t="s">
        <v>2039</v>
      </c>
    </row>
    <row r="67" spans="1:18" s="718" customFormat="1" ht="15.75">
      <c r="A67" s="1051" t="s">
        <v>1959</v>
      </c>
      <c r="B67" s="1152" t="s">
        <v>1960</v>
      </c>
      <c r="C67" s="935">
        <f ca="1">C48-C58</f>
        <v>0</v>
      </c>
      <c r="D67" s="1063" t="s">
        <v>1961</v>
      </c>
      <c r="E67" s="1153"/>
      <c r="F67" s="1154"/>
      <c r="O67" s="1119" t="s">
        <v>2010</v>
      </c>
      <c r="P67" s="1112" t="s">
        <v>2042</v>
      </c>
      <c r="Q67" s="1174">
        <f ca="1">L51</f>
        <v>0</v>
      </c>
      <c r="R67" s="1150" t="s">
        <v>2059</v>
      </c>
    </row>
    <row r="68" spans="1:18" s="718" customFormat="1" ht="15.75">
      <c r="A68" s="1155" t="s">
        <v>1965</v>
      </c>
      <c r="B68" s="1156" t="s">
        <v>1982</v>
      </c>
      <c r="C68" s="1001" t="e">
        <f ca="1">ROUND(C67*(1-((1+F70)/(1+F68))^F69)/(F68-F70),0)</f>
        <v>#DIV/0!</v>
      </c>
      <c r="D68" s="1066" t="s">
        <v>1967</v>
      </c>
      <c r="E68" s="1056" t="s">
        <v>1968</v>
      </c>
      <c r="F68" s="933">
        <f ca="1">F40</f>
        <v>0</v>
      </c>
      <c r="O68" s="1119" t="s">
        <v>2014</v>
      </c>
      <c r="P68" s="1173" t="s">
        <v>2060</v>
      </c>
      <c r="Q68" s="1150">
        <f ca="1">ROUND(Q69-Q70*Q71,0)</f>
        <v>0</v>
      </c>
      <c r="R68" s="1150" t="s">
        <v>2061</v>
      </c>
    </row>
    <row r="69" spans="1:18" s="718" customFormat="1">
      <c r="A69" s="1157"/>
      <c r="B69" s="1158"/>
      <c r="C69" s="932"/>
      <c r="D69" s="1159" t="s">
        <v>1971</v>
      </c>
      <c r="E69" s="1056" t="s">
        <v>1972</v>
      </c>
      <c r="F69" s="1005">
        <f ca="1">F41</f>
        <v>0</v>
      </c>
      <c r="O69" s="1119" t="s">
        <v>2062</v>
      </c>
      <c r="P69" s="1173" t="s">
        <v>2063</v>
      </c>
      <c r="Q69" s="1150">
        <f ca="1">C39</f>
        <v>0</v>
      </c>
      <c r="R69" s="1150" t="s">
        <v>1998</v>
      </c>
    </row>
    <row r="70" spans="1:18" s="718" customFormat="1">
      <c r="A70" s="1160"/>
      <c r="B70" s="1161"/>
      <c r="C70" s="953"/>
      <c r="D70" s="1068"/>
      <c r="E70" s="1056" t="s">
        <v>1975</v>
      </c>
      <c r="F70" s="1045"/>
      <c r="O70" s="1119" t="s">
        <v>2064</v>
      </c>
      <c r="P70" s="1173" t="s">
        <v>2065</v>
      </c>
      <c r="Q70" s="1150">
        <f ca="1">C13</f>
        <v>0</v>
      </c>
      <c r="R70" s="1150" t="s">
        <v>1998</v>
      </c>
    </row>
    <row r="71" spans="1:18" s="718" customFormat="1">
      <c r="A71" s="1162" t="s">
        <v>1977</v>
      </c>
      <c r="B71" s="1163" t="s">
        <v>1983</v>
      </c>
      <c r="C71" s="1009" t="e">
        <f ca="1">ROUND(C68/F71,0)</f>
        <v>#DIV/0!</v>
      </c>
      <c r="D71" s="1164" t="s">
        <v>1984</v>
      </c>
      <c r="E71" s="1165" t="s">
        <v>1985</v>
      </c>
      <c r="F71" s="1012">
        <f ca="1">F43</f>
        <v>0</v>
      </c>
      <c r="O71" s="1119" t="s">
        <v>2066</v>
      </c>
      <c r="P71" s="1173" t="s">
        <v>2067</v>
      </c>
      <c r="Q71" s="1151">
        <f ca="1">C76</f>
        <v>0</v>
      </c>
      <c r="R71" s="1150"/>
    </row>
    <row r="72" spans="1:18" s="718" customFormat="1">
      <c r="B72" s="1098"/>
      <c r="C72" s="1098"/>
      <c r="O72" s="1119" t="s">
        <v>2018</v>
      </c>
      <c r="P72" s="1112" t="s">
        <v>2044</v>
      </c>
      <c r="Q72" s="1151">
        <f>L52</f>
        <v>0</v>
      </c>
      <c r="R72" s="1150"/>
    </row>
    <row r="73" spans="1:18" ht="15.75">
      <c r="A73" s="718"/>
      <c r="B73" s="1098"/>
      <c r="C73" s="1098"/>
      <c r="D73" s="718"/>
      <c r="E73" s="718"/>
      <c r="F73" s="718"/>
      <c r="O73" s="1119" t="s">
        <v>2022</v>
      </c>
      <c r="P73" s="1112" t="s">
        <v>2047</v>
      </c>
      <c r="Q73" s="1150" t="e">
        <f ca="1">L58</f>
        <v>#DIV/0!</v>
      </c>
      <c r="R73" s="1150" t="s">
        <v>2048</v>
      </c>
    </row>
    <row r="74" spans="1:18">
      <c r="A74" s="718"/>
      <c r="B74" s="418" t="s">
        <v>2068</v>
      </c>
      <c r="C74" s="1166"/>
      <c r="D74" s="718"/>
      <c r="E74" s="718"/>
      <c r="F74" s="718"/>
      <c r="O74" s="1119" t="s">
        <v>2069</v>
      </c>
      <c r="P74" s="1112" t="str">
        <f>K59</f>
        <v>建筑物剩余耐用年限下的土地年期修正系数Kn</v>
      </c>
      <c r="Q74" s="1150" t="e">
        <f ca="1">L59</f>
        <v>#DIV/0!</v>
      </c>
      <c r="R74" s="1150" t="s">
        <v>2049</v>
      </c>
    </row>
    <row r="75" spans="1:18">
      <c r="A75" s="718"/>
      <c r="B75" s="1167" t="s">
        <v>2070</v>
      </c>
      <c r="C75" s="1168">
        <f ca="1">ROUND(C13*C76,0)</f>
        <v>0</v>
      </c>
      <c r="D75" s="718"/>
      <c r="E75" s="718"/>
      <c r="F75" s="718"/>
      <c r="K75" s="1097"/>
      <c r="L75" s="718"/>
      <c r="O75" s="1111" t="s">
        <v>1846</v>
      </c>
      <c r="P75" s="1112" t="s">
        <v>2029</v>
      </c>
      <c r="Q75" s="1150" t="e">
        <f ca="1">Q65+Q66</f>
        <v>#DIV/0!</v>
      </c>
      <c r="R75" s="1150" t="s">
        <v>2030</v>
      </c>
    </row>
    <row r="76" spans="1:18">
      <c r="B76" s="510" t="s">
        <v>2071</v>
      </c>
      <c r="C76" s="1169">
        <f ca="1">INDIRECT("'数据-取费表'!j"&amp;$G$1)</f>
        <v>0</v>
      </c>
      <c r="I76" s="718"/>
      <c r="J76" s="718"/>
      <c r="K76" s="1097"/>
      <c r="L76" s="718"/>
    </row>
    <row r="77" spans="1:18">
      <c r="B77" s="1170" t="s">
        <v>2072</v>
      </c>
      <c r="C77" s="1171"/>
      <c r="I77" s="718"/>
      <c r="J77" s="718"/>
      <c r="K77" s="1097"/>
      <c r="L77" s="718"/>
    </row>
    <row r="78" spans="1:18">
      <c r="B78" s="416" t="s">
        <v>2073</v>
      </c>
      <c r="C78" s="1172"/>
    </row>
    <row r="79" spans="1:18">
      <c r="B79" s="1167" t="s">
        <v>2074</v>
      </c>
      <c r="C79" s="419" t="e">
        <f ca="1">1-C80</f>
        <v>#DIV/0!</v>
      </c>
    </row>
    <row r="80" spans="1:18">
      <c r="B80" s="1167" t="s">
        <v>2075</v>
      </c>
      <c r="C80" s="419" t="e">
        <f ca="1">ROUND(C75/C39,3)</f>
        <v>#DIV/0!</v>
      </c>
    </row>
    <row r="81" spans="2:3">
      <c r="B81" s="416" t="s">
        <v>2076</v>
      </c>
      <c r="C81" s="386"/>
    </row>
    <row r="82" spans="2:3">
      <c r="B82" s="418" t="s">
        <v>1828</v>
      </c>
      <c r="C82" s="420" t="e">
        <f ca="1">1-C83</f>
        <v>#DIV/0!</v>
      </c>
    </row>
    <row r="83" spans="2:3">
      <c r="B83" s="418" t="s">
        <v>1829</v>
      </c>
      <c r="C83" s="419"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sheetPr>
  <dimension ref="A1:W44"/>
  <sheetViews>
    <sheetView zoomScale="80" zoomScaleNormal="80" workbookViewId="0">
      <selection activeCell="E2" sqref="E2"/>
    </sheetView>
  </sheetViews>
  <sheetFormatPr defaultColWidth="9" defaultRowHeight="13.15" customHeight="1"/>
  <cols>
    <col min="1" max="1" width="9.5" style="1931" customWidth="1"/>
    <col min="2" max="2" width="8.875" style="1931"/>
    <col min="3" max="5" width="12.875" style="1931" customWidth="1"/>
    <col min="6" max="6" width="47.5" style="1931" customWidth="1"/>
    <col min="7" max="7" width="13" style="1932" customWidth="1"/>
    <col min="8" max="8" width="8.875" style="1932"/>
    <col min="9" max="9" width="8.875" style="1933"/>
    <col min="10" max="10" width="5.75" style="1934" customWidth="1"/>
    <col min="11" max="11" width="11.75" style="1934" customWidth="1"/>
    <col min="12" max="13" width="10.75" style="1934" customWidth="1"/>
    <col min="14" max="14" width="10" style="1934" customWidth="1"/>
    <col min="15" max="16" width="10.5" style="1934" customWidth="1"/>
    <col min="17" max="17" width="10" style="1934" customWidth="1"/>
    <col min="18" max="18" width="10.125" style="1934" customWidth="1"/>
    <col min="19" max="19" width="10" style="1934" customWidth="1"/>
    <col min="20" max="20" width="26.125" style="1934" customWidth="1"/>
    <col min="21" max="21" width="8.875" style="1934"/>
    <col min="22" max="22" width="8.875" style="1933"/>
    <col min="23" max="256" width="8.875" style="1931"/>
    <col min="257" max="257" width="9.5" style="1931" customWidth="1"/>
    <col min="258" max="258" width="8.875" style="1931"/>
    <col min="259" max="261" width="12.875" style="1931" customWidth="1"/>
    <col min="262" max="262" width="47.5" style="1931" customWidth="1"/>
    <col min="263" max="263" width="13" style="1931" customWidth="1"/>
    <col min="264" max="265" width="8.875" style="1931"/>
    <col min="266" max="266" width="5.75" style="1931" customWidth="1"/>
    <col min="267" max="267" width="11.75" style="1931" customWidth="1"/>
    <col min="268" max="269" width="10.75" style="1931" customWidth="1"/>
    <col min="270" max="270" width="10" style="1931" customWidth="1"/>
    <col min="271" max="272" width="10.5" style="1931" customWidth="1"/>
    <col min="273" max="273" width="10" style="1931" customWidth="1"/>
    <col min="274" max="274" width="10.125" style="1931" customWidth="1"/>
    <col min="275" max="275" width="10" style="1931" customWidth="1"/>
    <col min="276" max="276" width="26.125" style="1931" customWidth="1"/>
    <col min="277" max="512" width="8.875" style="1931"/>
    <col min="513" max="513" width="9.5" style="1931" customWidth="1"/>
    <col min="514" max="514" width="8.875" style="1931"/>
    <col min="515" max="517" width="12.875" style="1931" customWidth="1"/>
    <col min="518" max="518" width="47.5" style="1931" customWidth="1"/>
    <col min="519" max="519" width="13" style="1931" customWidth="1"/>
    <col min="520" max="521" width="8.875" style="1931"/>
    <col min="522" max="522" width="5.75" style="1931" customWidth="1"/>
    <col min="523" max="523" width="11.75" style="1931" customWidth="1"/>
    <col min="524" max="525" width="10.75" style="1931" customWidth="1"/>
    <col min="526" max="526" width="10" style="1931" customWidth="1"/>
    <col min="527" max="528" width="10.5" style="1931" customWidth="1"/>
    <col min="529" max="529" width="10" style="1931" customWidth="1"/>
    <col min="530" max="530" width="10.125" style="1931" customWidth="1"/>
    <col min="531" max="531" width="10" style="1931" customWidth="1"/>
    <col min="532" max="532" width="26.125" style="1931" customWidth="1"/>
    <col min="533" max="768" width="8.875" style="1931"/>
    <col min="769" max="769" width="9.5" style="1931" customWidth="1"/>
    <col min="770" max="770" width="8.875" style="1931"/>
    <col min="771" max="773" width="12.875" style="1931" customWidth="1"/>
    <col min="774" max="774" width="47.5" style="1931" customWidth="1"/>
    <col min="775" max="775" width="13" style="1931" customWidth="1"/>
    <col min="776" max="777" width="8.875" style="1931"/>
    <col min="778" max="778" width="5.75" style="1931" customWidth="1"/>
    <col min="779" max="779" width="11.75" style="1931" customWidth="1"/>
    <col min="780" max="781" width="10.75" style="1931" customWidth="1"/>
    <col min="782" max="782" width="10" style="1931" customWidth="1"/>
    <col min="783" max="784" width="10.5" style="1931" customWidth="1"/>
    <col min="785" max="785" width="10" style="1931" customWidth="1"/>
    <col min="786" max="786" width="10.125" style="1931" customWidth="1"/>
    <col min="787" max="787" width="10" style="1931" customWidth="1"/>
    <col min="788" max="788" width="26.125" style="1931" customWidth="1"/>
    <col min="789" max="1024" width="8.875" style="1931"/>
    <col min="1025" max="1025" width="9.5" style="1931" customWidth="1"/>
    <col min="1026" max="1026" width="8.875" style="1931"/>
    <col min="1027" max="1029" width="12.875" style="1931" customWidth="1"/>
    <col min="1030" max="1030" width="47.5" style="1931" customWidth="1"/>
    <col min="1031" max="1031" width="13" style="1931" customWidth="1"/>
    <col min="1032" max="1033" width="8.875" style="1931"/>
    <col min="1034" max="1034" width="5.75" style="1931" customWidth="1"/>
    <col min="1035" max="1035" width="11.75" style="1931" customWidth="1"/>
    <col min="1036" max="1037" width="10.75" style="1931" customWidth="1"/>
    <col min="1038" max="1038" width="10" style="1931" customWidth="1"/>
    <col min="1039" max="1040" width="10.5" style="1931" customWidth="1"/>
    <col min="1041" max="1041" width="10" style="1931" customWidth="1"/>
    <col min="1042" max="1042" width="10.125" style="1931" customWidth="1"/>
    <col min="1043" max="1043" width="10" style="1931" customWidth="1"/>
    <col min="1044" max="1044" width="26.125" style="1931" customWidth="1"/>
    <col min="1045" max="1280" width="8.875" style="1931"/>
    <col min="1281" max="1281" width="9.5" style="1931" customWidth="1"/>
    <col min="1282" max="1282" width="8.875" style="1931"/>
    <col min="1283" max="1285" width="12.875" style="1931" customWidth="1"/>
    <col min="1286" max="1286" width="47.5" style="1931" customWidth="1"/>
    <col min="1287" max="1287" width="13" style="1931" customWidth="1"/>
    <col min="1288" max="1289" width="8.875" style="1931"/>
    <col min="1290" max="1290" width="5.75" style="1931" customWidth="1"/>
    <col min="1291" max="1291" width="11.75" style="1931" customWidth="1"/>
    <col min="1292" max="1293" width="10.75" style="1931" customWidth="1"/>
    <col min="1294" max="1294" width="10" style="1931" customWidth="1"/>
    <col min="1295" max="1296" width="10.5" style="1931" customWidth="1"/>
    <col min="1297" max="1297" width="10" style="1931" customWidth="1"/>
    <col min="1298" max="1298" width="10.125" style="1931" customWidth="1"/>
    <col min="1299" max="1299" width="10" style="1931" customWidth="1"/>
    <col min="1300" max="1300" width="26.125" style="1931" customWidth="1"/>
    <col min="1301" max="1536" width="8.875" style="1931"/>
    <col min="1537" max="1537" width="9.5" style="1931" customWidth="1"/>
    <col min="1538" max="1538" width="8.875" style="1931"/>
    <col min="1539" max="1541" width="12.875" style="1931" customWidth="1"/>
    <col min="1542" max="1542" width="47.5" style="1931" customWidth="1"/>
    <col min="1543" max="1543" width="13" style="1931" customWidth="1"/>
    <col min="1544" max="1545" width="8.875" style="1931"/>
    <col min="1546" max="1546" width="5.75" style="1931" customWidth="1"/>
    <col min="1547" max="1547" width="11.75" style="1931" customWidth="1"/>
    <col min="1548" max="1549" width="10.75" style="1931" customWidth="1"/>
    <col min="1550" max="1550" width="10" style="1931" customWidth="1"/>
    <col min="1551" max="1552" width="10.5" style="1931" customWidth="1"/>
    <col min="1553" max="1553" width="10" style="1931" customWidth="1"/>
    <col min="1554" max="1554" width="10.125" style="1931" customWidth="1"/>
    <col min="1555" max="1555" width="10" style="1931" customWidth="1"/>
    <col min="1556" max="1556" width="26.125" style="1931" customWidth="1"/>
    <col min="1557" max="1792" width="8.875" style="1931"/>
    <col min="1793" max="1793" width="9.5" style="1931" customWidth="1"/>
    <col min="1794" max="1794" width="8.875" style="1931"/>
    <col min="1795" max="1797" width="12.875" style="1931" customWidth="1"/>
    <col min="1798" max="1798" width="47.5" style="1931" customWidth="1"/>
    <col min="1799" max="1799" width="13" style="1931" customWidth="1"/>
    <col min="1800" max="1801" width="8.875" style="1931"/>
    <col min="1802" max="1802" width="5.75" style="1931" customWidth="1"/>
    <col min="1803" max="1803" width="11.75" style="1931" customWidth="1"/>
    <col min="1804" max="1805" width="10.75" style="1931" customWidth="1"/>
    <col min="1806" max="1806" width="10" style="1931" customWidth="1"/>
    <col min="1807" max="1808" width="10.5" style="1931" customWidth="1"/>
    <col min="1809" max="1809" width="10" style="1931" customWidth="1"/>
    <col min="1810" max="1810" width="10.125" style="1931" customWidth="1"/>
    <col min="1811" max="1811" width="10" style="1931" customWidth="1"/>
    <col min="1812" max="1812" width="26.125" style="1931" customWidth="1"/>
    <col min="1813" max="2048" width="8.875" style="1931"/>
    <col min="2049" max="2049" width="9.5" style="1931" customWidth="1"/>
    <col min="2050" max="2050" width="8.875" style="1931"/>
    <col min="2051" max="2053" width="12.875" style="1931" customWidth="1"/>
    <col min="2054" max="2054" width="47.5" style="1931" customWidth="1"/>
    <col min="2055" max="2055" width="13" style="1931" customWidth="1"/>
    <col min="2056" max="2057" width="8.875" style="1931"/>
    <col min="2058" max="2058" width="5.75" style="1931" customWidth="1"/>
    <col min="2059" max="2059" width="11.75" style="1931" customWidth="1"/>
    <col min="2060" max="2061" width="10.75" style="1931" customWidth="1"/>
    <col min="2062" max="2062" width="10" style="1931" customWidth="1"/>
    <col min="2063" max="2064" width="10.5" style="1931" customWidth="1"/>
    <col min="2065" max="2065" width="10" style="1931" customWidth="1"/>
    <col min="2066" max="2066" width="10.125" style="1931" customWidth="1"/>
    <col min="2067" max="2067" width="10" style="1931" customWidth="1"/>
    <col min="2068" max="2068" width="26.125" style="1931" customWidth="1"/>
    <col min="2069" max="2304" width="8.875" style="1931"/>
    <col min="2305" max="2305" width="9.5" style="1931" customWidth="1"/>
    <col min="2306" max="2306" width="8.875" style="1931"/>
    <col min="2307" max="2309" width="12.875" style="1931" customWidth="1"/>
    <col min="2310" max="2310" width="47.5" style="1931" customWidth="1"/>
    <col min="2311" max="2311" width="13" style="1931" customWidth="1"/>
    <col min="2312" max="2313" width="8.875" style="1931"/>
    <col min="2314" max="2314" width="5.75" style="1931" customWidth="1"/>
    <col min="2315" max="2315" width="11.75" style="1931" customWidth="1"/>
    <col min="2316" max="2317" width="10.75" style="1931" customWidth="1"/>
    <col min="2318" max="2318" width="10" style="1931" customWidth="1"/>
    <col min="2319" max="2320" width="10.5" style="1931" customWidth="1"/>
    <col min="2321" max="2321" width="10" style="1931" customWidth="1"/>
    <col min="2322" max="2322" width="10.125" style="1931" customWidth="1"/>
    <col min="2323" max="2323" width="10" style="1931" customWidth="1"/>
    <col min="2324" max="2324" width="26.125" style="1931" customWidth="1"/>
    <col min="2325" max="2560" width="8.875" style="1931"/>
    <col min="2561" max="2561" width="9.5" style="1931" customWidth="1"/>
    <col min="2562" max="2562" width="8.875" style="1931"/>
    <col min="2563" max="2565" width="12.875" style="1931" customWidth="1"/>
    <col min="2566" max="2566" width="47.5" style="1931" customWidth="1"/>
    <col min="2567" max="2567" width="13" style="1931" customWidth="1"/>
    <col min="2568" max="2569" width="8.875" style="1931"/>
    <col min="2570" max="2570" width="5.75" style="1931" customWidth="1"/>
    <col min="2571" max="2571" width="11.75" style="1931" customWidth="1"/>
    <col min="2572" max="2573" width="10.75" style="1931" customWidth="1"/>
    <col min="2574" max="2574" width="10" style="1931" customWidth="1"/>
    <col min="2575" max="2576" width="10.5" style="1931" customWidth="1"/>
    <col min="2577" max="2577" width="10" style="1931" customWidth="1"/>
    <col min="2578" max="2578" width="10.125" style="1931" customWidth="1"/>
    <col min="2579" max="2579" width="10" style="1931" customWidth="1"/>
    <col min="2580" max="2580" width="26.125" style="1931" customWidth="1"/>
    <col min="2581" max="2816" width="8.875" style="1931"/>
    <col min="2817" max="2817" width="9.5" style="1931" customWidth="1"/>
    <col min="2818" max="2818" width="8.875" style="1931"/>
    <col min="2819" max="2821" width="12.875" style="1931" customWidth="1"/>
    <col min="2822" max="2822" width="47.5" style="1931" customWidth="1"/>
    <col min="2823" max="2823" width="13" style="1931" customWidth="1"/>
    <col min="2824" max="2825" width="8.875" style="1931"/>
    <col min="2826" max="2826" width="5.75" style="1931" customWidth="1"/>
    <col min="2827" max="2827" width="11.75" style="1931" customWidth="1"/>
    <col min="2828" max="2829" width="10.75" style="1931" customWidth="1"/>
    <col min="2830" max="2830" width="10" style="1931" customWidth="1"/>
    <col min="2831" max="2832" width="10.5" style="1931" customWidth="1"/>
    <col min="2833" max="2833" width="10" style="1931" customWidth="1"/>
    <col min="2834" max="2834" width="10.125" style="1931" customWidth="1"/>
    <col min="2835" max="2835" width="10" style="1931" customWidth="1"/>
    <col min="2836" max="2836" width="26.125" style="1931" customWidth="1"/>
    <col min="2837" max="3072" width="8.875" style="1931"/>
    <col min="3073" max="3073" width="9.5" style="1931" customWidth="1"/>
    <col min="3074" max="3074" width="8.875" style="1931"/>
    <col min="3075" max="3077" width="12.875" style="1931" customWidth="1"/>
    <col min="3078" max="3078" width="47.5" style="1931" customWidth="1"/>
    <col min="3079" max="3079" width="13" style="1931" customWidth="1"/>
    <col min="3080" max="3081" width="8.875" style="1931"/>
    <col min="3082" max="3082" width="5.75" style="1931" customWidth="1"/>
    <col min="3083" max="3083" width="11.75" style="1931" customWidth="1"/>
    <col min="3084" max="3085" width="10.75" style="1931" customWidth="1"/>
    <col min="3086" max="3086" width="10" style="1931" customWidth="1"/>
    <col min="3087" max="3088" width="10.5" style="1931" customWidth="1"/>
    <col min="3089" max="3089" width="10" style="1931" customWidth="1"/>
    <col min="3090" max="3090" width="10.125" style="1931" customWidth="1"/>
    <col min="3091" max="3091" width="10" style="1931" customWidth="1"/>
    <col min="3092" max="3092" width="26.125" style="1931" customWidth="1"/>
    <col min="3093" max="3328" width="8.875" style="1931"/>
    <col min="3329" max="3329" width="9.5" style="1931" customWidth="1"/>
    <col min="3330" max="3330" width="8.875" style="1931"/>
    <col min="3331" max="3333" width="12.875" style="1931" customWidth="1"/>
    <col min="3334" max="3334" width="47.5" style="1931" customWidth="1"/>
    <col min="3335" max="3335" width="13" style="1931" customWidth="1"/>
    <col min="3336" max="3337" width="8.875" style="1931"/>
    <col min="3338" max="3338" width="5.75" style="1931" customWidth="1"/>
    <col min="3339" max="3339" width="11.75" style="1931" customWidth="1"/>
    <col min="3340" max="3341" width="10.75" style="1931" customWidth="1"/>
    <col min="3342" max="3342" width="10" style="1931" customWidth="1"/>
    <col min="3343" max="3344" width="10.5" style="1931" customWidth="1"/>
    <col min="3345" max="3345" width="10" style="1931" customWidth="1"/>
    <col min="3346" max="3346" width="10.125" style="1931" customWidth="1"/>
    <col min="3347" max="3347" width="10" style="1931" customWidth="1"/>
    <col min="3348" max="3348" width="26.125" style="1931" customWidth="1"/>
    <col min="3349" max="3584" width="8.875" style="1931"/>
    <col min="3585" max="3585" width="9.5" style="1931" customWidth="1"/>
    <col min="3586" max="3586" width="8.875" style="1931"/>
    <col min="3587" max="3589" width="12.875" style="1931" customWidth="1"/>
    <col min="3590" max="3590" width="47.5" style="1931" customWidth="1"/>
    <col min="3591" max="3591" width="13" style="1931" customWidth="1"/>
    <col min="3592" max="3593" width="8.875" style="1931"/>
    <col min="3594" max="3594" width="5.75" style="1931" customWidth="1"/>
    <col min="3595" max="3595" width="11.75" style="1931" customWidth="1"/>
    <col min="3596" max="3597" width="10.75" style="1931" customWidth="1"/>
    <col min="3598" max="3598" width="10" style="1931" customWidth="1"/>
    <col min="3599" max="3600" width="10.5" style="1931" customWidth="1"/>
    <col min="3601" max="3601" width="10" style="1931" customWidth="1"/>
    <col min="3602" max="3602" width="10.125" style="1931" customWidth="1"/>
    <col min="3603" max="3603" width="10" style="1931" customWidth="1"/>
    <col min="3604" max="3604" width="26.125" style="1931" customWidth="1"/>
    <col min="3605" max="3840" width="8.875" style="1931"/>
    <col min="3841" max="3841" width="9.5" style="1931" customWidth="1"/>
    <col min="3842" max="3842" width="8.875" style="1931"/>
    <col min="3843" max="3845" width="12.875" style="1931" customWidth="1"/>
    <col min="3846" max="3846" width="47.5" style="1931" customWidth="1"/>
    <col min="3847" max="3847" width="13" style="1931" customWidth="1"/>
    <col min="3848" max="3849" width="8.875" style="1931"/>
    <col min="3850" max="3850" width="5.75" style="1931" customWidth="1"/>
    <col min="3851" max="3851" width="11.75" style="1931" customWidth="1"/>
    <col min="3852" max="3853" width="10.75" style="1931" customWidth="1"/>
    <col min="3854" max="3854" width="10" style="1931" customWidth="1"/>
    <col min="3855" max="3856" width="10.5" style="1931" customWidth="1"/>
    <col min="3857" max="3857" width="10" style="1931" customWidth="1"/>
    <col min="3858" max="3858" width="10.125" style="1931" customWidth="1"/>
    <col min="3859" max="3859" width="10" style="1931" customWidth="1"/>
    <col min="3860" max="3860" width="26.125" style="1931" customWidth="1"/>
    <col min="3861" max="4096" width="8.875" style="1931"/>
    <col min="4097" max="4097" width="9.5" style="1931" customWidth="1"/>
    <col min="4098" max="4098" width="8.875" style="1931"/>
    <col min="4099" max="4101" width="12.875" style="1931" customWidth="1"/>
    <col min="4102" max="4102" width="47.5" style="1931" customWidth="1"/>
    <col min="4103" max="4103" width="13" style="1931" customWidth="1"/>
    <col min="4104" max="4105" width="8.875" style="1931"/>
    <col min="4106" max="4106" width="5.75" style="1931" customWidth="1"/>
    <col min="4107" max="4107" width="11.75" style="1931" customWidth="1"/>
    <col min="4108" max="4109" width="10.75" style="1931" customWidth="1"/>
    <col min="4110" max="4110" width="10" style="1931" customWidth="1"/>
    <col min="4111" max="4112" width="10.5" style="1931" customWidth="1"/>
    <col min="4113" max="4113" width="10" style="1931" customWidth="1"/>
    <col min="4114" max="4114" width="10.125" style="1931" customWidth="1"/>
    <col min="4115" max="4115" width="10" style="1931" customWidth="1"/>
    <col min="4116" max="4116" width="26.125" style="1931" customWidth="1"/>
    <col min="4117" max="4352" width="8.875" style="1931"/>
    <col min="4353" max="4353" width="9.5" style="1931" customWidth="1"/>
    <col min="4354" max="4354" width="8.875" style="1931"/>
    <col min="4355" max="4357" width="12.875" style="1931" customWidth="1"/>
    <col min="4358" max="4358" width="47.5" style="1931" customWidth="1"/>
    <col min="4359" max="4359" width="13" style="1931" customWidth="1"/>
    <col min="4360" max="4361" width="8.875" style="1931"/>
    <col min="4362" max="4362" width="5.75" style="1931" customWidth="1"/>
    <col min="4363" max="4363" width="11.75" style="1931" customWidth="1"/>
    <col min="4364" max="4365" width="10.75" style="1931" customWidth="1"/>
    <col min="4366" max="4366" width="10" style="1931" customWidth="1"/>
    <col min="4367" max="4368" width="10.5" style="1931" customWidth="1"/>
    <col min="4369" max="4369" width="10" style="1931" customWidth="1"/>
    <col min="4370" max="4370" width="10.125" style="1931" customWidth="1"/>
    <col min="4371" max="4371" width="10" style="1931" customWidth="1"/>
    <col min="4372" max="4372" width="26.125" style="1931" customWidth="1"/>
    <col min="4373" max="4608" width="8.875" style="1931"/>
    <col min="4609" max="4609" width="9.5" style="1931" customWidth="1"/>
    <col min="4610" max="4610" width="8.875" style="1931"/>
    <col min="4611" max="4613" width="12.875" style="1931" customWidth="1"/>
    <col min="4614" max="4614" width="47.5" style="1931" customWidth="1"/>
    <col min="4615" max="4615" width="13" style="1931" customWidth="1"/>
    <col min="4616" max="4617" width="8.875" style="1931"/>
    <col min="4618" max="4618" width="5.75" style="1931" customWidth="1"/>
    <col min="4619" max="4619" width="11.75" style="1931" customWidth="1"/>
    <col min="4620" max="4621" width="10.75" style="1931" customWidth="1"/>
    <col min="4622" max="4622" width="10" style="1931" customWidth="1"/>
    <col min="4623" max="4624" width="10.5" style="1931" customWidth="1"/>
    <col min="4625" max="4625" width="10" style="1931" customWidth="1"/>
    <col min="4626" max="4626" width="10.125" style="1931" customWidth="1"/>
    <col min="4627" max="4627" width="10" style="1931" customWidth="1"/>
    <col min="4628" max="4628" width="26.125" style="1931" customWidth="1"/>
    <col min="4629" max="4864" width="8.875" style="1931"/>
    <col min="4865" max="4865" width="9.5" style="1931" customWidth="1"/>
    <col min="4866" max="4866" width="8.875" style="1931"/>
    <col min="4867" max="4869" width="12.875" style="1931" customWidth="1"/>
    <col min="4870" max="4870" width="47.5" style="1931" customWidth="1"/>
    <col min="4871" max="4871" width="13" style="1931" customWidth="1"/>
    <col min="4872" max="4873" width="8.875" style="1931"/>
    <col min="4874" max="4874" width="5.75" style="1931" customWidth="1"/>
    <col min="4875" max="4875" width="11.75" style="1931" customWidth="1"/>
    <col min="4876" max="4877" width="10.75" style="1931" customWidth="1"/>
    <col min="4878" max="4878" width="10" style="1931" customWidth="1"/>
    <col min="4879" max="4880" width="10.5" style="1931" customWidth="1"/>
    <col min="4881" max="4881" width="10" style="1931" customWidth="1"/>
    <col min="4882" max="4882" width="10.125" style="1931" customWidth="1"/>
    <col min="4883" max="4883" width="10" style="1931" customWidth="1"/>
    <col min="4884" max="4884" width="26.125" style="1931" customWidth="1"/>
    <col min="4885" max="5120" width="8.875" style="1931"/>
    <col min="5121" max="5121" width="9.5" style="1931" customWidth="1"/>
    <col min="5122" max="5122" width="8.875" style="1931"/>
    <col min="5123" max="5125" width="12.875" style="1931" customWidth="1"/>
    <col min="5126" max="5126" width="47.5" style="1931" customWidth="1"/>
    <col min="5127" max="5127" width="13" style="1931" customWidth="1"/>
    <col min="5128" max="5129" width="8.875" style="1931"/>
    <col min="5130" max="5130" width="5.75" style="1931" customWidth="1"/>
    <col min="5131" max="5131" width="11.75" style="1931" customWidth="1"/>
    <col min="5132" max="5133" width="10.75" style="1931" customWidth="1"/>
    <col min="5134" max="5134" width="10" style="1931" customWidth="1"/>
    <col min="5135" max="5136" width="10.5" style="1931" customWidth="1"/>
    <col min="5137" max="5137" width="10" style="1931" customWidth="1"/>
    <col min="5138" max="5138" width="10.125" style="1931" customWidth="1"/>
    <col min="5139" max="5139" width="10" style="1931" customWidth="1"/>
    <col min="5140" max="5140" width="26.125" style="1931" customWidth="1"/>
    <col min="5141" max="5376" width="8.875" style="1931"/>
    <col min="5377" max="5377" width="9.5" style="1931" customWidth="1"/>
    <col min="5378" max="5378" width="8.875" style="1931"/>
    <col min="5379" max="5381" width="12.875" style="1931" customWidth="1"/>
    <col min="5382" max="5382" width="47.5" style="1931" customWidth="1"/>
    <col min="5383" max="5383" width="13" style="1931" customWidth="1"/>
    <col min="5384" max="5385" width="8.875" style="1931"/>
    <col min="5386" max="5386" width="5.75" style="1931" customWidth="1"/>
    <col min="5387" max="5387" width="11.75" style="1931" customWidth="1"/>
    <col min="5388" max="5389" width="10.75" style="1931" customWidth="1"/>
    <col min="5390" max="5390" width="10" style="1931" customWidth="1"/>
    <col min="5391" max="5392" width="10.5" style="1931" customWidth="1"/>
    <col min="5393" max="5393" width="10" style="1931" customWidth="1"/>
    <col min="5394" max="5394" width="10.125" style="1931" customWidth="1"/>
    <col min="5395" max="5395" width="10" style="1931" customWidth="1"/>
    <col min="5396" max="5396" width="26.125" style="1931" customWidth="1"/>
    <col min="5397" max="5632" width="8.875" style="1931"/>
    <col min="5633" max="5633" width="9.5" style="1931" customWidth="1"/>
    <col min="5634" max="5634" width="8.875" style="1931"/>
    <col min="5635" max="5637" width="12.875" style="1931" customWidth="1"/>
    <col min="5638" max="5638" width="47.5" style="1931" customWidth="1"/>
    <col min="5639" max="5639" width="13" style="1931" customWidth="1"/>
    <col min="5640" max="5641" width="8.875" style="1931"/>
    <col min="5642" max="5642" width="5.75" style="1931" customWidth="1"/>
    <col min="5643" max="5643" width="11.75" style="1931" customWidth="1"/>
    <col min="5644" max="5645" width="10.75" style="1931" customWidth="1"/>
    <col min="5646" max="5646" width="10" style="1931" customWidth="1"/>
    <col min="5647" max="5648" width="10.5" style="1931" customWidth="1"/>
    <col min="5649" max="5649" width="10" style="1931" customWidth="1"/>
    <col min="5650" max="5650" width="10.125" style="1931" customWidth="1"/>
    <col min="5651" max="5651" width="10" style="1931" customWidth="1"/>
    <col min="5652" max="5652" width="26.125" style="1931" customWidth="1"/>
    <col min="5653" max="5888" width="8.875" style="1931"/>
    <col min="5889" max="5889" width="9.5" style="1931" customWidth="1"/>
    <col min="5890" max="5890" width="8.875" style="1931"/>
    <col min="5891" max="5893" width="12.875" style="1931" customWidth="1"/>
    <col min="5894" max="5894" width="47.5" style="1931" customWidth="1"/>
    <col min="5895" max="5895" width="13" style="1931" customWidth="1"/>
    <col min="5896" max="5897" width="8.875" style="1931"/>
    <col min="5898" max="5898" width="5.75" style="1931" customWidth="1"/>
    <col min="5899" max="5899" width="11.75" style="1931" customWidth="1"/>
    <col min="5900" max="5901" width="10.75" style="1931" customWidth="1"/>
    <col min="5902" max="5902" width="10" style="1931" customWidth="1"/>
    <col min="5903" max="5904" width="10.5" style="1931" customWidth="1"/>
    <col min="5905" max="5905" width="10" style="1931" customWidth="1"/>
    <col min="5906" max="5906" width="10.125" style="1931" customWidth="1"/>
    <col min="5907" max="5907" width="10" style="1931" customWidth="1"/>
    <col min="5908" max="5908" width="26.125" style="1931" customWidth="1"/>
    <col min="5909" max="6144" width="8.875" style="1931"/>
    <col min="6145" max="6145" width="9.5" style="1931" customWidth="1"/>
    <col min="6146" max="6146" width="8.875" style="1931"/>
    <col min="6147" max="6149" width="12.875" style="1931" customWidth="1"/>
    <col min="6150" max="6150" width="47.5" style="1931" customWidth="1"/>
    <col min="6151" max="6151" width="13" style="1931" customWidth="1"/>
    <col min="6152" max="6153" width="8.875" style="1931"/>
    <col min="6154" max="6154" width="5.75" style="1931" customWidth="1"/>
    <col min="6155" max="6155" width="11.75" style="1931" customWidth="1"/>
    <col min="6156" max="6157" width="10.75" style="1931" customWidth="1"/>
    <col min="6158" max="6158" width="10" style="1931" customWidth="1"/>
    <col min="6159" max="6160" width="10.5" style="1931" customWidth="1"/>
    <col min="6161" max="6161" width="10" style="1931" customWidth="1"/>
    <col min="6162" max="6162" width="10.125" style="1931" customWidth="1"/>
    <col min="6163" max="6163" width="10" style="1931" customWidth="1"/>
    <col min="6164" max="6164" width="26.125" style="1931" customWidth="1"/>
    <col min="6165" max="6400" width="8.875" style="1931"/>
    <col min="6401" max="6401" width="9.5" style="1931" customWidth="1"/>
    <col min="6402" max="6402" width="8.875" style="1931"/>
    <col min="6403" max="6405" width="12.875" style="1931" customWidth="1"/>
    <col min="6406" max="6406" width="47.5" style="1931" customWidth="1"/>
    <col min="6407" max="6407" width="13" style="1931" customWidth="1"/>
    <col min="6408" max="6409" width="8.875" style="1931"/>
    <col min="6410" max="6410" width="5.75" style="1931" customWidth="1"/>
    <col min="6411" max="6411" width="11.75" style="1931" customWidth="1"/>
    <col min="6412" max="6413" width="10.75" style="1931" customWidth="1"/>
    <col min="6414" max="6414" width="10" style="1931" customWidth="1"/>
    <col min="6415" max="6416" width="10.5" style="1931" customWidth="1"/>
    <col min="6417" max="6417" width="10" style="1931" customWidth="1"/>
    <col min="6418" max="6418" width="10.125" style="1931" customWidth="1"/>
    <col min="6419" max="6419" width="10" style="1931" customWidth="1"/>
    <col min="6420" max="6420" width="26.125" style="1931" customWidth="1"/>
    <col min="6421" max="6656" width="8.875" style="1931"/>
    <col min="6657" max="6657" width="9.5" style="1931" customWidth="1"/>
    <col min="6658" max="6658" width="8.875" style="1931"/>
    <col min="6659" max="6661" width="12.875" style="1931" customWidth="1"/>
    <col min="6662" max="6662" width="47.5" style="1931" customWidth="1"/>
    <col min="6663" max="6663" width="13" style="1931" customWidth="1"/>
    <col min="6664" max="6665" width="8.875" style="1931"/>
    <col min="6666" max="6666" width="5.75" style="1931" customWidth="1"/>
    <col min="6667" max="6667" width="11.75" style="1931" customWidth="1"/>
    <col min="6668" max="6669" width="10.75" style="1931" customWidth="1"/>
    <col min="6670" max="6670" width="10" style="1931" customWidth="1"/>
    <col min="6671" max="6672" width="10.5" style="1931" customWidth="1"/>
    <col min="6673" max="6673" width="10" style="1931" customWidth="1"/>
    <col min="6674" max="6674" width="10.125" style="1931" customWidth="1"/>
    <col min="6675" max="6675" width="10" style="1931" customWidth="1"/>
    <col min="6676" max="6676" width="26.125" style="1931" customWidth="1"/>
    <col min="6677" max="6912" width="8.875" style="1931"/>
    <col min="6913" max="6913" width="9.5" style="1931" customWidth="1"/>
    <col min="6914" max="6914" width="8.875" style="1931"/>
    <col min="6915" max="6917" width="12.875" style="1931" customWidth="1"/>
    <col min="6918" max="6918" width="47.5" style="1931" customWidth="1"/>
    <col min="6919" max="6919" width="13" style="1931" customWidth="1"/>
    <col min="6920" max="6921" width="8.875" style="1931"/>
    <col min="6922" max="6922" width="5.75" style="1931" customWidth="1"/>
    <col min="6923" max="6923" width="11.75" style="1931" customWidth="1"/>
    <col min="6924" max="6925" width="10.75" style="1931" customWidth="1"/>
    <col min="6926" max="6926" width="10" style="1931" customWidth="1"/>
    <col min="6927" max="6928" width="10.5" style="1931" customWidth="1"/>
    <col min="6929" max="6929" width="10" style="1931" customWidth="1"/>
    <col min="6930" max="6930" width="10.125" style="1931" customWidth="1"/>
    <col min="6931" max="6931" width="10" style="1931" customWidth="1"/>
    <col min="6932" max="6932" width="26.125" style="1931" customWidth="1"/>
    <col min="6933" max="7168" width="8.875" style="1931"/>
    <col min="7169" max="7169" width="9.5" style="1931" customWidth="1"/>
    <col min="7170" max="7170" width="8.875" style="1931"/>
    <col min="7171" max="7173" width="12.875" style="1931" customWidth="1"/>
    <col min="7174" max="7174" width="47.5" style="1931" customWidth="1"/>
    <col min="7175" max="7175" width="13" style="1931" customWidth="1"/>
    <col min="7176" max="7177" width="8.875" style="1931"/>
    <col min="7178" max="7178" width="5.75" style="1931" customWidth="1"/>
    <col min="7179" max="7179" width="11.75" style="1931" customWidth="1"/>
    <col min="7180" max="7181" width="10.75" style="1931" customWidth="1"/>
    <col min="7182" max="7182" width="10" style="1931" customWidth="1"/>
    <col min="7183" max="7184" width="10.5" style="1931" customWidth="1"/>
    <col min="7185" max="7185" width="10" style="1931" customWidth="1"/>
    <col min="7186" max="7186" width="10.125" style="1931" customWidth="1"/>
    <col min="7187" max="7187" width="10" style="1931" customWidth="1"/>
    <col min="7188" max="7188" width="26.125" style="1931" customWidth="1"/>
    <col min="7189" max="7424" width="8.875" style="1931"/>
    <col min="7425" max="7425" width="9.5" style="1931" customWidth="1"/>
    <col min="7426" max="7426" width="8.875" style="1931"/>
    <col min="7427" max="7429" width="12.875" style="1931" customWidth="1"/>
    <col min="7430" max="7430" width="47.5" style="1931" customWidth="1"/>
    <col min="7431" max="7431" width="13" style="1931" customWidth="1"/>
    <col min="7432" max="7433" width="8.875" style="1931"/>
    <col min="7434" max="7434" width="5.75" style="1931" customWidth="1"/>
    <col min="7435" max="7435" width="11.75" style="1931" customWidth="1"/>
    <col min="7436" max="7437" width="10.75" style="1931" customWidth="1"/>
    <col min="7438" max="7438" width="10" style="1931" customWidth="1"/>
    <col min="7439" max="7440" width="10.5" style="1931" customWidth="1"/>
    <col min="7441" max="7441" width="10" style="1931" customWidth="1"/>
    <col min="7442" max="7442" width="10.125" style="1931" customWidth="1"/>
    <col min="7443" max="7443" width="10" style="1931" customWidth="1"/>
    <col min="7444" max="7444" width="26.125" style="1931" customWidth="1"/>
    <col min="7445" max="7680" width="8.875" style="1931"/>
    <col min="7681" max="7681" width="9.5" style="1931" customWidth="1"/>
    <col min="7682" max="7682" width="8.875" style="1931"/>
    <col min="7683" max="7685" width="12.875" style="1931" customWidth="1"/>
    <col min="7686" max="7686" width="47.5" style="1931" customWidth="1"/>
    <col min="7687" max="7687" width="13" style="1931" customWidth="1"/>
    <col min="7688" max="7689" width="8.875" style="1931"/>
    <col min="7690" max="7690" width="5.75" style="1931" customWidth="1"/>
    <col min="7691" max="7691" width="11.75" style="1931" customWidth="1"/>
    <col min="7692" max="7693" width="10.75" style="1931" customWidth="1"/>
    <col min="7694" max="7694" width="10" style="1931" customWidth="1"/>
    <col min="7695" max="7696" width="10.5" style="1931" customWidth="1"/>
    <col min="7697" max="7697" width="10" style="1931" customWidth="1"/>
    <col min="7698" max="7698" width="10.125" style="1931" customWidth="1"/>
    <col min="7699" max="7699" width="10" style="1931" customWidth="1"/>
    <col min="7700" max="7700" width="26.125" style="1931" customWidth="1"/>
    <col min="7701" max="7936" width="8.875" style="1931"/>
    <col min="7937" max="7937" width="9.5" style="1931" customWidth="1"/>
    <col min="7938" max="7938" width="8.875" style="1931"/>
    <col min="7939" max="7941" width="12.875" style="1931" customWidth="1"/>
    <col min="7942" max="7942" width="47.5" style="1931" customWidth="1"/>
    <col min="7943" max="7943" width="13" style="1931" customWidth="1"/>
    <col min="7944" max="7945" width="8.875" style="1931"/>
    <col min="7946" max="7946" width="5.75" style="1931" customWidth="1"/>
    <col min="7947" max="7947" width="11.75" style="1931" customWidth="1"/>
    <col min="7948" max="7949" width="10.75" style="1931" customWidth="1"/>
    <col min="7950" max="7950" width="10" style="1931" customWidth="1"/>
    <col min="7951" max="7952" width="10.5" style="1931" customWidth="1"/>
    <col min="7953" max="7953" width="10" style="1931" customWidth="1"/>
    <col min="7954" max="7954" width="10.125" style="1931" customWidth="1"/>
    <col min="7955" max="7955" width="10" style="1931" customWidth="1"/>
    <col min="7956" max="7956" width="26.125" style="1931" customWidth="1"/>
    <col min="7957" max="8192" width="8.875" style="1931"/>
    <col min="8193" max="8193" width="9.5" style="1931" customWidth="1"/>
    <col min="8194" max="8194" width="8.875" style="1931"/>
    <col min="8195" max="8197" width="12.875" style="1931" customWidth="1"/>
    <col min="8198" max="8198" width="47.5" style="1931" customWidth="1"/>
    <col min="8199" max="8199" width="13" style="1931" customWidth="1"/>
    <col min="8200" max="8201" width="8.875" style="1931"/>
    <col min="8202" max="8202" width="5.75" style="1931" customWidth="1"/>
    <col min="8203" max="8203" width="11.75" style="1931" customWidth="1"/>
    <col min="8204" max="8205" width="10.75" style="1931" customWidth="1"/>
    <col min="8206" max="8206" width="10" style="1931" customWidth="1"/>
    <col min="8207" max="8208" width="10.5" style="1931" customWidth="1"/>
    <col min="8209" max="8209" width="10" style="1931" customWidth="1"/>
    <col min="8210" max="8210" width="10.125" style="1931" customWidth="1"/>
    <col min="8211" max="8211" width="10" style="1931" customWidth="1"/>
    <col min="8212" max="8212" width="26.125" style="1931" customWidth="1"/>
    <col min="8213" max="8448" width="8.875" style="1931"/>
    <col min="8449" max="8449" width="9.5" style="1931" customWidth="1"/>
    <col min="8450" max="8450" width="8.875" style="1931"/>
    <col min="8451" max="8453" width="12.875" style="1931" customWidth="1"/>
    <col min="8454" max="8454" width="47.5" style="1931" customWidth="1"/>
    <col min="8455" max="8455" width="13" style="1931" customWidth="1"/>
    <col min="8456" max="8457" width="8.875" style="1931"/>
    <col min="8458" max="8458" width="5.75" style="1931" customWidth="1"/>
    <col min="8459" max="8459" width="11.75" style="1931" customWidth="1"/>
    <col min="8460" max="8461" width="10.75" style="1931" customWidth="1"/>
    <col min="8462" max="8462" width="10" style="1931" customWidth="1"/>
    <col min="8463" max="8464" width="10.5" style="1931" customWidth="1"/>
    <col min="8465" max="8465" width="10" style="1931" customWidth="1"/>
    <col min="8466" max="8466" width="10.125" style="1931" customWidth="1"/>
    <col min="8467" max="8467" width="10" style="1931" customWidth="1"/>
    <col min="8468" max="8468" width="26.125" style="1931" customWidth="1"/>
    <col min="8469" max="8704" width="8.875" style="1931"/>
    <col min="8705" max="8705" width="9.5" style="1931" customWidth="1"/>
    <col min="8706" max="8706" width="8.875" style="1931"/>
    <col min="8707" max="8709" width="12.875" style="1931" customWidth="1"/>
    <col min="8710" max="8710" width="47.5" style="1931" customWidth="1"/>
    <col min="8711" max="8711" width="13" style="1931" customWidth="1"/>
    <col min="8712" max="8713" width="8.875" style="1931"/>
    <col min="8714" max="8714" width="5.75" style="1931" customWidth="1"/>
    <col min="8715" max="8715" width="11.75" style="1931" customWidth="1"/>
    <col min="8716" max="8717" width="10.75" style="1931" customWidth="1"/>
    <col min="8718" max="8718" width="10" style="1931" customWidth="1"/>
    <col min="8719" max="8720" width="10.5" style="1931" customWidth="1"/>
    <col min="8721" max="8721" width="10" style="1931" customWidth="1"/>
    <col min="8722" max="8722" width="10.125" style="1931" customWidth="1"/>
    <col min="8723" max="8723" width="10" style="1931" customWidth="1"/>
    <col min="8724" max="8724" width="26.125" style="1931" customWidth="1"/>
    <col min="8725" max="8960" width="8.875" style="1931"/>
    <col min="8961" max="8961" width="9.5" style="1931" customWidth="1"/>
    <col min="8962" max="8962" width="8.875" style="1931"/>
    <col min="8963" max="8965" width="12.875" style="1931" customWidth="1"/>
    <col min="8966" max="8966" width="47.5" style="1931" customWidth="1"/>
    <col min="8967" max="8967" width="13" style="1931" customWidth="1"/>
    <col min="8968" max="8969" width="8.875" style="1931"/>
    <col min="8970" max="8970" width="5.75" style="1931" customWidth="1"/>
    <col min="8971" max="8971" width="11.75" style="1931" customWidth="1"/>
    <col min="8972" max="8973" width="10.75" style="1931" customWidth="1"/>
    <col min="8974" max="8974" width="10" style="1931" customWidth="1"/>
    <col min="8975" max="8976" width="10.5" style="1931" customWidth="1"/>
    <col min="8977" max="8977" width="10" style="1931" customWidth="1"/>
    <col min="8978" max="8978" width="10.125" style="1931" customWidth="1"/>
    <col min="8979" max="8979" width="10" style="1931" customWidth="1"/>
    <col min="8980" max="8980" width="26.125" style="1931" customWidth="1"/>
    <col min="8981" max="9216" width="8.875" style="1931"/>
    <col min="9217" max="9217" width="9.5" style="1931" customWidth="1"/>
    <col min="9218" max="9218" width="8.875" style="1931"/>
    <col min="9219" max="9221" width="12.875" style="1931" customWidth="1"/>
    <col min="9222" max="9222" width="47.5" style="1931" customWidth="1"/>
    <col min="9223" max="9223" width="13" style="1931" customWidth="1"/>
    <col min="9224" max="9225" width="8.875" style="1931"/>
    <col min="9226" max="9226" width="5.75" style="1931" customWidth="1"/>
    <col min="9227" max="9227" width="11.75" style="1931" customWidth="1"/>
    <col min="9228" max="9229" width="10.75" style="1931" customWidth="1"/>
    <col min="9230" max="9230" width="10" style="1931" customWidth="1"/>
    <col min="9231" max="9232" width="10.5" style="1931" customWidth="1"/>
    <col min="9233" max="9233" width="10" style="1931" customWidth="1"/>
    <col min="9234" max="9234" width="10.125" style="1931" customWidth="1"/>
    <col min="9235" max="9235" width="10" style="1931" customWidth="1"/>
    <col min="9236" max="9236" width="26.125" style="1931" customWidth="1"/>
    <col min="9237" max="9472" width="8.875" style="1931"/>
    <col min="9473" max="9473" width="9.5" style="1931" customWidth="1"/>
    <col min="9474" max="9474" width="8.875" style="1931"/>
    <col min="9475" max="9477" width="12.875" style="1931" customWidth="1"/>
    <col min="9478" max="9478" width="47.5" style="1931" customWidth="1"/>
    <col min="9479" max="9479" width="13" style="1931" customWidth="1"/>
    <col min="9480" max="9481" width="8.875" style="1931"/>
    <col min="9482" max="9482" width="5.75" style="1931" customWidth="1"/>
    <col min="9483" max="9483" width="11.75" style="1931" customWidth="1"/>
    <col min="9484" max="9485" width="10.75" style="1931" customWidth="1"/>
    <col min="9486" max="9486" width="10" style="1931" customWidth="1"/>
    <col min="9487" max="9488" width="10.5" style="1931" customWidth="1"/>
    <col min="9489" max="9489" width="10" style="1931" customWidth="1"/>
    <col min="9490" max="9490" width="10.125" style="1931" customWidth="1"/>
    <col min="9491" max="9491" width="10" style="1931" customWidth="1"/>
    <col min="9492" max="9492" width="26.125" style="1931" customWidth="1"/>
    <col min="9493" max="9728" width="8.875" style="1931"/>
    <col min="9729" max="9729" width="9.5" style="1931" customWidth="1"/>
    <col min="9730" max="9730" width="8.875" style="1931"/>
    <col min="9731" max="9733" width="12.875" style="1931" customWidth="1"/>
    <col min="9734" max="9734" width="47.5" style="1931" customWidth="1"/>
    <col min="9735" max="9735" width="13" style="1931" customWidth="1"/>
    <col min="9736" max="9737" width="8.875" style="1931"/>
    <col min="9738" max="9738" width="5.75" style="1931" customWidth="1"/>
    <col min="9739" max="9739" width="11.75" style="1931" customWidth="1"/>
    <col min="9740" max="9741" width="10.75" style="1931" customWidth="1"/>
    <col min="9742" max="9742" width="10" style="1931" customWidth="1"/>
    <col min="9743" max="9744" width="10.5" style="1931" customWidth="1"/>
    <col min="9745" max="9745" width="10" style="1931" customWidth="1"/>
    <col min="9746" max="9746" width="10.125" style="1931" customWidth="1"/>
    <col min="9747" max="9747" width="10" style="1931" customWidth="1"/>
    <col min="9748" max="9748" width="26.125" style="1931" customWidth="1"/>
    <col min="9749" max="9984" width="8.875" style="1931"/>
    <col min="9985" max="9985" width="9.5" style="1931" customWidth="1"/>
    <col min="9986" max="9986" width="8.875" style="1931"/>
    <col min="9987" max="9989" width="12.875" style="1931" customWidth="1"/>
    <col min="9990" max="9990" width="47.5" style="1931" customWidth="1"/>
    <col min="9991" max="9991" width="13" style="1931" customWidth="1"/>
    <col min="9992" max="9993" width="8.875" style="1931"/>
    <col min="9994" max="9994" width="5.75" style="1931" customWidth="1"/>
    <col min="9995" max="9995" width="11.75" style="1931" customWidth="1"/>
    <col min="9996" max="9997" width="10.75" style="1931" customWidth="1"/>
    <col min="9998" max="9998" width="10" style="1931" customWidth="1"/>
    <col min="9999" max="10000" width="10.5" style="1931" customWidth="1"/>
    <col min="10001" max="10001" width="10" style="1931" customWidth="1"/>
    <col min="10002" max="10002" width="10.125" style="1931" customWidth="1"/>
    <col min="10003" max="10003" width="10" style="1931" customWidth="1"/>
    <col min="10004" max="10004" width="26.125" style="1931" customWidth="1"/>
    <col min="10005" max="10240" width="8.875" style="1931"/>
    <col min="10241" max="10241" width="9.5" style="1931" customWidth="1"/>
    <col min="10242" max="10242" width="8.875" style="1931"/>
    <col min="10243" max="10245" width="12.875" style="1931" customWidth="1"/>
    <col min="10246" max="10246" width="47.5" style="1931" customWidth="1"/>
    <col min="10247" max="10247" width="13" style="1931" customWidth="1"/>
    <col min="10248" max="10249" width="8.875" style="1931"/>
    <col min="10250" max="10250" width="5.75" style="1931" customWidth="1"/>
    <col min="10251" max="10251" width="11.75" style="1931" customWidth="1"/>
    <col min="10252" max="10253" width="10.75" style="1931" customWidth="1"/>
    <col min="10254" max="10254" width="10" style="1931" customWidth="1"/>
    <col min="10255" max="10256" width="10.5" style="1931" customWidth="1"/>
    <col min="10257" max="10257" width="10" style="1931" customWidth="1"/>
    <col min="10258" max="10258" width="10.125" style="1931" customWidth="1"/>
    <col min="10259" max="10259" width="10" style="1931" customWidth="1"/>
    <col min="10260" max="10260" width="26.125" style="1931" customWidth="1"/>
    <col min="10261" max="10496" width="8.875" style="1931"/>
    <col min="10497" max="10497" width="9.5" style="1931" customWidth="1"/>
    <col min="10498" max="10498" width="8.875" style="1931"/>
    <col min="10499" max="10501" width="12.875" style="1931" customWidth="1"/>
    <col min="10502" max="10502" width="47.5" style="1931" customWidth="1"/>
    <col min="10503" max="10503" width="13" style="1931" customWidth="1"/>
    <col min="10504" max="10505" width="8.875" style="1931"/>
    <col min="10506" max="10506" width="5.75" style="1931" customWidth="1"/>
    <col min="10507" max="10507" width="11.75" style="1931" customWidth="1"/>
    <col min="10508" max="10509" width="10.75" style="1931" customWidth="1"/>
    <col min="10510" max="10510" width="10" style="1931" customWidth="1"/>
    <col min="10511" max="10512" width="10.5" style="1931" customWidth="1"/>
    <col min="10513" max="10513" width="10" style="1931" customWidth="1"/>
    <col min="10514" max="10514" width="10.125" style="1931" customWidth="1"/>
    <col min="10515" max="10515" width="10" style="1931" customWidth="1"/>
    <col min="10516" max="10516" width="26.125" style="1931" customWidth="1"/>
    <col min="10517" max="10752" width="8.875" style="1931"/>
    <col min="10753" max="10753" width="9.5" style="1931" customWidth="1"/>
    <col min="10754" max="10754" width="8.875" style="1931"/>
    <col min="10755" max="10757" width="12.875" style="1931" customWidth="1"/>
    <col min="10758" max="10758" width="47.5" style="1931" customWidth="1"/>
    <col min="10759" max="10759" width="13" style="1931" customWidth="1"/>
    <col min="10760" max="10761" width="8.875" style="1931"/>
    <col min="10762" max="10762" width="5.75" style="1931" customWidth="1"/>
    <col min="10763" max="10763" width="11.75" style="1931" customWidth="1"/>
    <col min="10764" max="10765" width="10.75" style="1931" customWidth="1"/>
    <col min="10766" max="10766" width="10" style="1931" customWidth="1"/>
    <col min="10767" max="10768" width="10.5" style="1931" customWidth="1"/>
    <col min="10769" max="10769" width="10" style="1931" customWidth="1"/>
    <col min="10770" max="10770" width="10.125" style="1931" customWidth="1"/>
    <col min="10771" max="10771" width="10" style="1931" customWidth="1"/>
    <col min="10772" max="10772" width="26.125" style="1931" customWidth="1"/>
    <col min="10773" max="11008" width="8.875" style="1931"/>
    <col min="11009" max="11009" width="9.5" style="1931" customWidth="1"/>
    <col min="11010" max="11010" width="8.875" style="1931"/>
    <col min="11011" max="11013" width="12.875" style="1931" customWidth="1"/>
    <col min="11014" max="11014" width="47.5" style="1931" customWidth="1"/>
    <col min="11015" max="11015" width="13" style="1931" customWidth="1"/>
    <col min="11016" max="11017" width="8.875" style="1931"/>
    <col min="11018" max="11018" width="5.75" style="1931" customWidth="1"/>
    <col min="11019" max="11019" width="11.75" style="1931" customWidth="1"/>
    <col min="11020" max="11021" width="10.75" style="1931" customWidth="1"/>
    <col min="11022" max="11022" width="10" style="1931" customWidth="1"/>
    <col min="11023" max="11024" width="10.5" style="1931" customWidth="1"/>
    <col min="11025" max="11025" width="10" style="1931" customWidth="1"/>
    <col min="11026" max="11026" width="10.125" style="1931" customWidth="1"/>
    <col min="11027" max="11027" width="10" style="1931" customWidth="1"/>
    <col min="11028" max="11028" width="26.125" style="1931" customWidth="1"/>
    <col min="11029" max="11264" width="8.875" style="1931"/>
    <col min="11265" max="11265" width="9.5" style="1931" customWidth="1"/>
    <col min="11266" max="11266" width="8.875" style="1931"/>
    <col min="11267" max="11269" width="12.875" style="1931" customWidth="1"/>
    <col min="11270" max="11270" width="47.5" style="1931" customWidth="1"/>
    <col min="11271" max="11271" width="13" style="1931" customWidth="1"/>
    <col min="11272" max="11273" width="8.875" style="1931"/>
    <col min="11274" max="11274" width="5.75" style="1931" customWidth="1"/>
    <col min="11275" max="11275" width="11.75" style="1931" customWidth="1"/>
    <col min="11276" max="11277" width="10.75" style="1931" customWidth="1"/>
    <col min="11278" max="11278" width="10" style="1931" customWidth="1"/>
    <col min="11279" max="11280" width="10.5" style="1931" customWidth="1"/>
    <col min="11281" max="11281" width="10" style="1931" customWidth="1"/>
    <col min="11282" max="11282" width="10.125" style="1931" customWidth="1"/>
    <col min="11283" max="11283" width="10" style="1931" customWidth="1"/>
    <col min="11284" max="11284" width="26.125" style="1931" customWidth="1"/>
    <col min="11285" max="11520" width="8.875" style="1931"/>
    <col min="11521" max="11521" width="9.5" style="1931" customWidth="1"/>
    <col min="11522" max="11522" width="8.875" style="1931"/>
    <col min="11523" max="11525" width="12.875" style="1931" customWidth="1"/>
    <col min="11526" max="11526" width="47.5" style="1931" customWidth="1"/>
    <col min="11527" max="11527" width="13" style="1931" customWidth="1"/>
    <col min="11528" max="11529" width="8.875" style="1931"/>
    <col min="11530" max="11530" width="5.75" style="1931" customWidth="1"/>
    <col min="11531" max="11531" width="11.75" style="1931" customWidth="1"/>
    <col min="11532" max="11533" width="10.75" style="1931" customWidth="1"/>
    <col min="11534" max="11534" width="10" style="1931" customWidth="1"/>
    <col min="11535" max="11536" width="10.5" style="1931" customWidth="1"/>
    <col min="11537" max="11537" width="10" style="1931" customWidth="1"/>
    <col min="11538" max="11538" width="10.125" style="1931" customWidth="1"/>
    <col min="11539" max="11539" width="10" style="1931" customWidth="1"/>
    <col min="11540" max="11540" width="26.125" style="1931" customWidth="1"/>
    <col min="11541" max="11776" width="8.875" style="1931"/>
    <col min="11777" max="11777" width="9.5" style="1931" customWidth="1"/>
    <col min="11778" max="11778" width="8.875" style="1931"/>
    <col min="11779" max="11781" width="12.875" style="1931" customWidth="1"/>
    <col min="11782" max="11782" width="47.5" style="1931" customWidth="1"/>
    <col min="11783" max="11783" width="13" style="1931" customWidth="1"/>
    <col min="11784" max="11785" width="8.875" style="1931"/>
    <col min="11786" max="11786" width="5.75" style="1931" customWidth="1"/>
    <col min="11787" max="11787" width="11.75" style="1931" customWidth="1"/>
    <col min="11788" max="11789" width="10.75" style="1931" customWidth="1"/>
    <col min="11790" max="11790" width="10" style="1931" customWidth="1"/>
    <col min="11791" max="11792" width="10.5" style="1931" customWidth="1"/>
    <col min="11793" max="11793" width="10" style="1931" customWidth="1"/>
    <col min="11794" max="11794" width="10.125" style="1931" customWidth="1"/>
    <col min="11795" max="11795" width="10" style="1931" customWidth="1"/>
    <col min="11796" max="11796" width="26.125" style="1931" customWidth="1"/>
    <col min="11797" max="12032" width="8.875" style="1931"/>
    <col min="12033" max="12033" width="9.5" style="1931" customWidth="1"/>
    <col min="12034" max="12034" width="8.875" style="1931"/>
    <col min="12035" max="12037" width="12.875" style="1931" customWidth="1"/>
    <col min="12038" max="12038" width="47.5" style="1931" customWidth="1"/>
    <col min="12039" max="12039" width="13" style="1931" customWidth="1"/>
    <col min="12040" max="12041" width="8.875" style="1931"/>
    <col min="12042" max="12042" width="5.75" style="1931" customWidth="1"/>
    <col min="12043" max="12043" width="11.75" style="1931" customWidth="1"/>
    <col min="12044" max="12045" width="10.75" style="1931" customWidth="1"/>
    <col min="12046" max="12046" width="10" style="1931" customWidth="1"/>
    <col min="12047" max="12048" width="10.5" style="1931" customWidth="1"/>
    <col min="12049" max="12049" width="10" style="1931" customWidth="1"/>
    <col min="12050" max="12050" width="10.125" style="1931" customWidth="1"/>
    <col min="12051" max="12051" width="10" style="1931" customWidth="1"/>
    <col min="12052" max="12052" width="26.125" style="1931" customWidth="1"/>
    <col min="12053" max="12288" width="8.875" style="1931"/>
    <col min="12289" max="12289" width="9.5" style="1931" customWidth="1"/>
    <col min="12290" max="12290" width="8.875" style="1931"/>
    <col min="12291" max="12293" width="12.875" style="1931" customWidth="1"/>
    <col min="12294" max="12294" width="47.5" style="1931" customWidth="1"/>
    <col min="12295" max="12295" width="13" style="1931" customWidth="1"/>
    <col min="12296" max="12297" width="8.875" style="1931"/>
    <col min="12298" max="12298" width="5.75" style="1931" customWidth="1"/>
    <col min="12299" max="12299" width="11.75" style="1931" customWidth="1"/>
    <col min="12300" max="12301" width="10.75" style="1931" customWidth="1"/>
    <col min="12302" max="12302" width="10" style="1931" customWidth="1"/>
    <col min="12303" max="12304" width="10.5" style="1931" customWidth="1"/>
    <col min="12305" max="12305" width="10" style="1931" customWidth="1"/>
    <col min="12306" max="12306" width="10.125" style="1931" customWidth="1"/>
    <col min="12307" max="12307" width="10" style="1931" customWidth="1"/>
    <col min="12308" max="12308" width="26.125" style="1931" customWidth="1"/>
    <col min="12309" max="12544" width="8.875" style="1931"/>
    <col min="12545" max="12545" width="9.5" style="1931" customWidth="1"/>
    <col min="12546" max="12546" width="8.875" style="1931"/>
    <col min="12547" max="12549" width="12.875" style="1931" customWidth="1"/>
    <col min="12550" max="12550" width="47.5" style="1931" customWidth="1"/>
    <col min="12551" max="12551" width="13" style="1931" customWidth="1"/>
    <col min="12552" max="12553" width="8.875" style="1931"/>
    <col min="12554" max="12554" width="5.75" style="1931" customWidth="1"/>
    <col min="12555" max="12555" width="11.75" style="1931" customWidth="1"/>
    <col min="12556" max="12557" width="10.75" style="1931" customWidth="1"/>
    <col min="12558" max="12558" width="10" style="1931" customWidth="1"/>
    <col min="12559" max="12560" width="10.5" style="1931" customWidth="1"/>
    <col min="12561" max="12561" width="10" style="1931" customWidth="1"/>
    <col min="12562" max="12562" width="10.125" style="1931" customWidth="1"/>
    <col min="12563" max="12563" width="10" style="1931" customWidth="1"/>
    <col min="12564" max="12564" width="26.125" style="1931" customWidth="1"/>
    <col min="12565" max="12800" width="8.875" style="1931"/>
    <col min="12801" max="12801" width="9.5" style="1931" customWidth="1"/>
    <col min="12802" max="12802" width="8.875" style="1931"/>
    <col min="12803" max="12805" width="12.875" style="1931" customWidth="1"/>
    <col min="12806" max="12806" width="47.5" style="1931" customWidth="1"/>
    <col min="12807" max="12807" width="13" style="1931" customWidth="1"/>
    <col min="12808" max="12809" width="8.875" style="1931"/>
    <col min="12810" max="12810" width="5.75" style="1931" customWidth="1"/>
    <col min="12811" max="12811" width="11.75" style="1931" customWidth="1"/>
    <col min="12812" max="12813" width="10.75" style="1931" customWidth="1"/>
    <col min="12814" max="12814" width="10" style="1931" customWidth="1"/>
    <col min="12815" max="12816" width="10.5" style="1931" customWidth="1"/>
    <col min="12817" max="12817" width="10" style="1931" customWidth="1"/>
    <col min="12818" max="12818" width="10.125" style="1931" customWidth="1"/>
    <col min="12819" max="12819" width="10" style="1931" customWidth="1"/>
    <col min="12820" max="12820" width="26.125" style="1931" customWidth="1"/>
    <col min="12821" max="13056" width="8.875" style="1931"/>
    <col min="13057" max="13057" width="9.5" style="1931" customWidth="1"/>
    <col min="13058" max="13058" width="8.875" style="1931"/>
    <col min="13059" max="13061" width="12.875" style="1931" customWidth="1"/>
    <col min="13062" max="13062" width="47.5" style="1931" customWidth="1"/>
    <col min="13063" max="13063" width="13" style="1931" customWidth="1"/>
    <col min="13064" max="13065" width="8.875" style="1931"/>
    <col min="13066" max="13066" width="5.75" style="1931" customWidth="1"/>
    <col min="13067" max="13067" width="11.75" style="1931" customWidth="1"/>
    <col min="13068" max="13069" width="10.75" style="1931" customWidth="1"/>
    <col min="13070" max="13070" width="10" style="1931" customWidth="1"/>
    <col min="13071" max="13072" width="10.5" style="1931" customWidth="1"/>
    <col min="13073" max="13073" width="10" style="1931" customWidth="1"/>
    <col min="13074" max="13074" width="10.125" style="1931" customWidth="1"/>
    <col min="13075" max="13075" width="10" style="1931" customWidth="1"/>
    <col min="13076" max="13076" width="26.125" style="1931" customWidth="1"/>
    <col min="13077" max="13312" width="8.875" style="1931"/>
    <col min="13313" max="13313" width="9.5" style="1931" customWidth="1"/>
    <col min="13314" max="13314" width="8.875" style="1931"/>
    <col min="13315" max="13317" width="12.875" style="1931" customWidth="1"/>
    <col min="13318" max="13318" width="47.5" style="1931" customWidth="1"/>
    <col min="13319" max="13319" width="13" style="1931" customWidth="1"/>
    <col min="13320" max="13321" width="8.875" style="1931"/>
    <col min="13322" max="13322" width="5.75" style="1931" customWidth="1"/>
    <col min="13323" max="13323" width="11.75" style="1931" customWidth="1"/>
    <col min="13324" max="13325" width="10.75" style="1931" customWidth="1"/>
    <col min="13326" max="13326" width="10" style="1931" customWidth="1"/>
    <col min="13327" max="13328" width="10.5" style="1931" customWidth="1"/>
    <col min="13329" max="13329" width="10" style="1931" customWidth="1"/>
    <col min="13330" max="13330" width="10.125" style="1931" customWidth="1"/>
    <col min="13331" max="13331" width="10" style="1931" customWidth="1"/>
    <col min="13332" max="13332" width="26.125" style="1931" customWidth="1"/>
    <col min="13333" max="13568" width="8.875" style="1931"/>
    <col min="13569" max="13569" width="9.5" style="1931" customWidth="1"/>
    <col min="13570" max="13570" width="8.875" style="1931"/>
    <col min="13571" max="13573" width="12.875" style="1931" customWidth="1"/>
    <col min="13574" max="13574" width="47.5" style="1931" customWidth="1"/>
    <col min="13575" max="13575" width="13" style="1931" customWidth="1"/>
    <col min="13576" max="13577" width="8.875" style="1931"/>
    <col min="13578" max="13578" width="5.75" style="1931" customWidth="1"/>
    <col min="13579" max="13579" width="11.75" style="1931" customWidth="1"/>
    <col min="13580" max="13581" width="10.75" style="1931" customWidth="1"/>
    <col min="13582" max="13582" width="10" style="1931" customWidth="1"/>
    <col min="13583" max="13584" width="10.5" style="1931" customWidth="1"/>
    <col min="13585" max="13585" width="10" style="1931" customWidth="1"/>
    <col min="13586" max="13586" width="10.125" style="1931" customWidth="1"/>
    <col min="13587" max="13587" width="10" style="1931" customWidth="1"/>
    <col min="13588" max="13588" width="26.125" style="1931" customWidth="1"/>
    <col min="13589" max="13824" width="8.875" style="1931"/>
    <col min="13825" max="13825" width="9.5" style="1931" customWidth="1"/>
    <col min="13826" max="13826" width="8.875" style="1931"/>
    <col min="13827" max="13829" width="12.875" style="1931" customWidth="1"/>
    <col min="13830" max="13830" width="47.5" style="1931" customWidth="1"/>
    <col min="13831" max="13831" width="13" style="1931" customWidth="1"/>
    <col min="13832" max="13833" width="8.875" style="1931"/>
    <col min="13834" max="13834" width="5.75" style="1931" customWidth="1"/>
    <col min="13835" max="13835" width="11.75" style="1931" customWidth="1"/>
    <col min="13836" max="13837" width="10.75" style="1931" customWidth="1"/>
    <col min="13838" max="13838" width="10" style="1931" customWidth="1"/>
    <col min="13839" max="13840" width="10.5" style="1931" customWidth="1"/>
    <col min="13841" max="13841" width="10" style="1931" customWidth="1"/>
    <col min="13842" max="13842" width="10.125" style="1931" customWidth="1"/>
    <col min="13843" max="13843" width="10" style="1931" customWidth="1"/>
    <col min="13844" max="13844" width="26.125" style="1931" customWidth="1"/>
    <col min="13845" max="14080" width="8.875" style="1931"/>
    <col min="14081" max="14081" width="9.5" style="1931" customWidth="1"/>
    <col min="14082" max="14082" width="8.875" style="1931"/>
    <col min="14083" max="14085" width="12.875" style="1931" customWidth="1"/>
    <col min="14086" max="14086" width="47.5" style="1931" customWidth="1"/>
    <col min="14087" max="14087" width="13" style="1931" customWidth="1"/>
    <col min="14088" max="14089" width="8.875" style="1931"/>
    <col min="14090" max="14090" width="5.75" style="1931" customWidth="1"/>
    <col min="14091" max="14091" width="11.75" style="1931" customWidth="1"/>
    <col min="14092" max="14093" width="10.75" style="1931" customWidth="1"/>
    <col min="14094" max="14094" width="10" style="1931" customWidth="1"/>
    <col min="14095" max="14096" width="10.5" style="1931" customWidth="1"/>
    <col min="14097" max="14097" width="10" style="1931" customWidth="1"/>
    <col min="14098" max="14098" width="10.125" style="1931" customWidth="1"/>
    <col min="14099" max="14099" width="10" style="1931" customWidth="1"/>
    <col min="14100" max="14100" width="26.125" style="1931" customWidth="1"/>
    <col min="14101" max="14336" width="8.875" style="1931"/>
    <col min="14337" max="14337" width="9.5" style="1931" customWidth="1"/>
    <col min="14338" max="14338" width="8.875" style="1931"/>
    <col min="14339" max="14341" width="12.875" style="1931" customWidth="1"/>
    <col min="14342" max="14342" width="47.5" style="1931" customWidth="1"/>
    <col min="14343" max="14343" width="13" style="1931" customWidth="1"/>
    <col min="14344" max="14345" width="8.875" style="1931"/>
    <col min="14346" max="14346" width="5.75" style="1931" customWidth="1"/>
    <col min="14347" max="14347" width="11.75" style="1931" customWidth="1"/>
    <col min="14348" max="14349" width="10.75" style="1931" customWidth="1"/>
    <col min="14350" max="14350" width="10" style="1931" customWidth="1"/>
    <col min="14351" max="14352" width="10.5" style="1931" customWidth="1"/>
    <col min="14353" max="14353" width="10" style="1931" customWidth="1"/>
    <col min="14354" max="14354" width="10.125" style="1931" customWidth="1"/>
    <col min="14355" max="14355" width="10" style="1931" customWidth="1"/>
    <col min="14356" max="14356" width="26.125" style="1931" customWidth="1"/>
    <col min="14357" max="14592" width="8.875" style="1931"/>
    <col min="14593" max="14593" width="9.5" style="1931" customWidth="1"/>
    <col min="14594" max="14594" width="8.875" style="1931"/>
    <col min="14595" max="14597" width="12.875" style="1931" customWidth="1"/>
    <col min="14598" max="14598" width="47.5" style="1931" customWidth="1"/>
    <col min="14599" max="14599" width="13" style="1931" customWidth="1"/>
    <col min="14600" max="14601" width="8.875" style="1931"/>
    <col min="14602" max="14602" width="5.75" style="1931" customWidth="1"/>
    <col min="14603" max="14603" width="11.75" style="1931" customWidth="1"/>
    <col min="14604" max="14605" width="10.75" style="1931" customWidth="1"/>
    <col min="14606" max="14606" width="10" style="1931" customWidth="1"/>
    <col min="14607" max="14608" width="10.5" style="1931" customWidth="1"/>
    <col min="14609" max="14609" width="10" style="1931" customWidth="1"/>
    <col min="14610" max="14610" width="10.125" style="1931" customWidth="1"/>
    <col min="14611" max="14611" width="10" style="1931" customWidth="1"/>
    <col min="14612" max="14612" width="26.125" style="1931" customWidth="1"/>
    <col min="14613" max="14848" width="8.875" style="1931"/>
    <col min="14849" max="14849" width="9.5" style="1931" customWidth="1"/>
    <col min="14850" max="14850" width="8.875" style="1931"/>
    <col min="14851" max="14853" width="12.875" style="1931" customWidth="1"/>
    <col min="14854" max="14854" width="47.5" style="1931" customWidth="1"/>
    <col min="14855" max="14855" width="13" style="1931" customWidth="1"/>
    <col min="14856" max="14857" width="8.875" style="1931"/>
    <col min="14858" max="14858" width="5.75" style="1931" customWidth="1"/>
    <col min="14859" max="14859" width="11.75" style="1931" customWidth="1"/>
    <col min="14860" max="14861" width="10.75" style="1931" customWidth="1"/>
    <col min="14862" max="14862" width="10" style="1931" customWidth="1"/>
    <col min="14863" max="14864" width="10.5" style="1931" customWidth="1"/>
    <col min="14865" max="14865" width="10" style="1931" customWidth="1"/>
    <col min="14866" max="14866" width="10.125" style="1931" customWidth="1"/>
    <col min="14867" max="14867" width="10" style="1931" customWidth="1"/>
    <col min="14868" max="14868" width="26.125" style="1931" customWidth="1"/>
    <col min="14869" max="15104" width="8.875" style="1931"/>
    <col min="15105" max="15105" width="9.5" style="1931" customWidth="1"/>
    <col min="15106" max="15106" width="8.875" style="1931"/>
    <col min="15107" max="15109" width="12.875" style="1931" customWidth="1"/>
    <col min="15110" max="15110" width="47.5" style="1931" customWidth="1"/>
    <col min="15111" max="15111" width="13" style="1931" customWidth="1"/>
    <col min="15112" max="15113" width="8.875" style="1931"/>
    <col min="15114" max="15114" width="5.75" style="1931" customWidth="1"/>
    <col min="15115" max="15115" width="11.75" style="1931" customWidth="1"/>
    <col min="15116" max="15117" width="10.75" style="1931" customWidth="1"/>
    <col min="15118" max="15118" width="10" style="1931" customWidth="1"/>
    <col min="15119" max="15120" width="10.5" style="1931" customWidth="1"/>
    <col min="15121" max="15121" width="10" style="1931" customWidth="1"/>
    <col min="15122" max="15122" width="10.125" style="1931" customWidth="1"/>
    <col min="15123" max="15123" width="10" style="1931" customWidth="1"/>
    <col min="15124" max="15124" width="26.125" style="1931" customWidth="1"/>
    <col min="15125" max="15360" width="8.875" style="1931"/>
    <col min="15361" max="15361" width="9.5" style="1931" customWidth="1"/>
    <col min="15362" max="15362" width="8.875" style="1931"/>
    <col min="15363" max="15365" width="12.875" style="1931" customWidth="1"/>
    <col min="15366" max="15366" width="47.5" style="1931" customWidth="1"/>
    <col min="15367" max="15367" width="13" style="1931" customWidth="1"/>
    <col min="15368" max="15369" width="8.875" style="1931"/>
    <col min="15370" max="15370" width="5.75" style="1931" customWidth="1"/>
    <col min="15371" max="15371" width="11.75" style="1931" customWidth="1"/>
    <col min="15372" max="15373" width="10.75" style="1931" customWidth="1"/>
    <col min="15374" max="15374" width="10" style="1931" customWidth="1"/>
    <col min="15375" max="15376" width="10.5" style="1931" customWidth="1"/>
    <col min="15377" max="15377" width="10" style="1931" customWidth="1"/>
    <col min="15378" max="15378" width="10.125" style="1931" customWidth="1"/>
    <col min="15379" max="15379" width="10" style="1931" customWidth="1"/>
    <col min="15380" max="15380" width="26.125" style="1931" customWidth="1"/>
    <col min="15381" max="15616" width="8.875" style="1931"/>
    <col min="15617" max="15617" width="9.5" style="1931" customWidth="1"/>
    <col min="15618" max="15618" width="8.875" style="1931"/>
    <col min="15619" max="15621" width="12.875" style="1931" customWidth="1"/>
    <col min="15622" max="15622" width="47.5" style="1931" customWidth="1"/>
    <col min="15623" max="15623" width="13" style="1931" customWidth="1"/>
    <col min="15624" max="15625" width="8.875" style="1931"/>
    <col min="15626" max="15626" width="5.75" style="1931" customWidth="1"/>
    <col min="15627" max="15627" width="11.75" style="1931" customWidth="1"/>
    <col min="15628" max="15629" width="10.75" style="1931" customWidth="1"/>
    <col min="15630" max="15630" width="10" style="1931" customWidth="1"/>
    <col min="15631" max="15632" width="10.5" style="1931" customWidth="1"/>
    <col min="15633" max="15633" width="10" style="1931" customWidth="1"/>
    <col min="15634" max="15634" width="10.125" style="1931" customWidth="1"/>
    <col min="15635" max="15635" width="10" style="1931" customWidth="1"/>
    <col min="15636" max="15636" width="26.125" style="1931" customWidth="1"/>
    <col min="15637" max="15872" width="8.875" style="1931"/>
    <col min="15873" max="15873" width="9.5" style="1931" customWidth="1"/>
    <col min="15874" max="15874" width="8.875" style="1931"/>
    <col min="15875" max="15877" width="12.875" style="1931" customWidth="1"/>
    <col min="15878" max="15878" width="47.5" style="1931" customWidth="1"/>
    <col min="15879" max="15879" width="13" style="1931" customWidth="1"/>
    <col min="15880" max="15881" width="8.875" style="1931"/>
    <col min="15882" max="15882" width="5.75" style="1931" customWidth="1"/>
    <col min="15883" max="15883" width="11.75" style="1931" customWidth="1"/>
    <col min="15884" max="15885" width="10.75" style="1931" customWidth="1"/>
    <col min="15886" max="15886" width="10" style="1931" customWidth="1"/>
    <col min="15887" max="15888" width="10.5" style="1931" customWidth="1"/>
    <col min="15889" max="15889" width="10" style="1931" customWidth="1"/>
    <col min="15890" max="15890" width="10.125" style="1931" customWidth="1"/>
    <col min="15891" max="15891" width="10" style="1931" customWidth="1"/>
    <col min="15892" max="15892" width="26.125" style="1931" customWidth="1"/>
    <col min="15893" max="16128" width="8.875" style="1931"/>
    <col min="16129" max="16129" width="9.5" style="1931" customWidth="1"/>
    <col min="16130" max="16130" width="8.875" style="1931"/>
    <col min="16131" max="16133" width="12.875" style="1931" customWidth="1"/>
    <col min="16134" max="16134" width="47.5" style="1931" customWidth="1"/>
    <col min="16135" max="16135" width="13" style="1931" customWidth="1"/>
    <col min="16136" max="16137" width="8.875" style="1931"/>
    <col min="16138" max="16138" width="5.75" style="1931" customWidth="1"/>
    <col min="16139" max="16139" width="11.75" style="1931" customWidth="1"/>
    <col min="16140" max="16141" width="10.75" style="1931" customWidth="1"/>
    <col min="16142" max="16142" width="10" style="1931" customWidth="1"/>
    <col min="16143" max="16144" width="10.5" style="1931" customWidth="1"/>
    <col min="16145" max="16145" width="10" style="1931" customWidth="1"/>
    <col min="16146" max="16146" width="10.125" style="1931" customWidth="1"/>
    <col min="16147" max="16147" width="10" style="1931" customWidth="1"/>
    <col min="16148" max="16148" width="26.125" style="1931" customWidth="1"/>
    <col min="16149" max="16384" width="8.875" style="1931"/>
  </cols>
  <sheetData>
    <row r="1" spans="1:22" ht="21" customHeight="1">
      <c r="A1" s="1935" t="s">
        <v>2077</v>
      </c>
      <c r="B1" s="1936"/>
      <c r="C1" s="1937"/>
      <c r="D1" s="1937"/>
      <c r="E1" s="1938"/>
      <c r="F1" s="1939"/>
      <c r="G1" s="1940"/>
      <c r="J1" s="2040" t="s">
        <v>2078</v>
      </c>
      <c r="K1" s="2041"/>
      <c r="L1" s="2041"/>
      <c r="M1" s="2041"/>
      <c r="N1" s="2041"/>
      <c r="O1" s="2041"/>
      <c r="P1" s="2041"/>
      <c r="Q1" s="2041"/>
      <c r="R1" s="2078"/>
      <c r="S1" s="2000"/>
      <c r="T1" s="2000"/>
      <c r="U1" s="2000"/>
    </row>
    <row r="2" spans="1:22" s="1929" customFormat="1" ht="13.15" customHeight="1">
      <c r="A2" s="902" t="s">
        <v>1885</v>
      </c>
      <c r="B2" s="1941" t="e">
        <f>IF(D2="——",C40,C40+E2)</f>
        <v>#DIV/0!</v>
      </c>
      <c r="C2" s="1937" t="s">
        <v>1886</v>
      </c>
      <c r="D2" s="1942" t="s">
        <v>2079</v>
      </c>
      <c r="E2" s="1943"/>
      <c r="F2" s="1944"/>
      <c r="G2" s="1945"/>
      <c r="H2" s="1946"/>
      <c r="I2" s="2031"/>
      <c r="J2" s="3498" t="s">
        <v>2080</v>
      </c>
      <c r="K2" s="3499"/>
      <c r="L2" s="2042" t="s">
        <v>2081</v>
      </c>
      <c r="M2" s="2042" t="s">
        <v>2082</v>
      </c>
      <c r="N2" s="2042" t="s">
        <v>2083</v>
      </c>
      <c r="O2" s="2042" t="s">
        <v>2084</v>
      </c>
      <c r="P2" s="2042" t="s">
        <v>2085</v>
      </c>
      <c r="Q2" s="2079" t="s">
        <v>2086</v>
      </c>
      <c r="R2" s="2080" t="s">
        <v>2087</v>
      </c>
      <c r="S2" s="2000"/>
      <c r="T2" s="2000"/>
      <c r="U2" s="2000"/>
      <c r="V2" s="2031"/>
    </row>
    <row r="3" spans="1:22" s="1929" customFormat="1" ht="13.15" customHeight="1">
      <c r="A3" s="1947" t="s">
        <v>1888</v>
      </c>
      <c r="B3" s="1948" t="e">
        <f>ROUND(B2*10000/B4,0)</f>
        <v>#DIV/0!</v>
      </c>
      <c r="C3" s="1937" t="s">
        <v>1889</v>
      </c>
      <c r="D3" s="1937"/>
      <c r="E3" s="1949"/>
      <c r="F3" s="1944"/>
      <c r="G3" s="1945"/>
      <c r="H3" s="1946"/>
      <c r="I3" s="2031"/>
      <c r="J3" s="3492" t="s">
        <v>2088</v>
      </c>
      <c r="K3" s="3493"/>
      <c r="L3" s="2043"/>
      <c r="M3" s="2043"/>
      <c r="N3" s="2043"/>
      <c r="O3" s="2043"/>
      <c r="P3" s="2043"/>
      <c r="Q3" s="2081"/>
      <c r="R3" s="2082">
        <f>SUM(L3:Q3)</f>
        <v>0</v>
      </c>
      <c r="S3" s="2000"/>
      <c r="T3" s="2000"/>
      <c r="U3" s="2000"/>
      <c r="V3" s="2031"/>
    </row>
    <row r="4" spans="1:22" s="1929" customFormat="1" ht="13.15" customHeight="1">
      <c r="A4" s="1950" t="s">
        <v>2089</v>
      </c>
      <c r="B4" s="1951"/>
      <c r="C4" s="1937"/>
      <c r="D4" s="1937"/>
      <c r="E4" s="1949"/>
      <c r="F4" s="1944"/>
      <c r="G4" s="1945"/>
      <c r="H4" s="1946"/>
      <c r="I4" s="2031"/>
      <c r="J4" s="3492" t="s">
        <v>2090</v>
      </c>
      <c r="K4" s="3493"/>
      <c r="L4" s="2044"/>
      <c r="M4" s="2044"/>
      <c r="N4" s="2044"/>
      <c r="O4" s="2044"/>
      <c r="P4" s="2044"/>
      <c r="Q4" s="2083"/>
      <c r="R4" s="2084">
        <f>SUM(L4:Q4)</f>
        <v>0</v>
      </c>
      <c r="S4" s="2000"/>
      <c r="T4" s="2000"/>
      <c r="U4" s="2000"/>
      <c r="V4" s="2031"/>
    </row>
    <row r="5" spans="1:22" s="1929" customFormat="1" ht="13.15" customHeight="1">
      <c r="A5" s="1952" t="s">
        <v>2091</v>
      </c>
      <c r="B5" s="1953"/>
      <c r="C5" s="1937"/>
      <c r="D5" s="1954"/>
      <c r="E5" s="1944"/>
      <c r="F5" s="1944"/>
      <c r="G5" s="1945"/>
      <c r="H5" s="1946"/>
      <c r="I5" s="2031"/>
      <c r="J5" s="2045" t="s">
        <v>2092</v>
      </c>
      <c r="K5" s="2046"/>
      <c r="L5" s="2046"/>
      <c r="M5" s="2047"/>
      <c r="N5" s="2047"/>
      <c r="O5" s="2047"/>
      <c r="P5" s="2047"/>
      <c r="Q5" s="2047"/>
      <c r="R5" s="2080">
        <f>SUM(R14,R19,R24,R25,R27,R28)</f>
        <v>0</v>
      </c>
      <c r="S5" s="2000"/>
      <c r="T5" s="2000" t="s">
        <v>2093</v>
      </c>
      <c r="U5" s="2000" t="e">
        <f>ROUND(R5*10000/365/R3,1)</f>
        <v>#DIV/0!</v>
      </c>
      <c r="V5" s="2031"/>
    </row>
    <row r="6" spans="1:22" s="1929" customFormat="1" ht="13.15" customHeight="1">
      <c r="A6" s="3502" t="s">
        <v>2094</v>
      </c>
      <c r="B6" s="3503"/>
      <c r="C6" s="3504"/>
      <c r="D6" s="1955"/>
      <c r="E6" s="1956"/>
      <c r="F6" s="1957"/>
      <c r="G6" s="1958"/>
      <c r="H6" s="1946"/>
      <c r="I6" s="2031"/>
      <c r="J6" s="3486">
        <v>1</v>
      </c>
      <c r="K6" s="3489" t="s">
        <v>2095</v>
      </c>
      <c r="L6" s="2049" t="s">
        <v>2096</v>
      </c>
      <c r="M6" s="2050" t="s">
        <v>2097</v>
      </c>
      <c r="N6" s="2050" t="s">
        <v>2098</v>
      </c>
      <c r="O6" s="2050" t="s">
        <v>2099</v>
      </c>
      <c r="P6" s="2050" t="s">
        <v>2100</v>
      </c>
      <c r="Q6" s="2050" t="s">
        <v>2101</v>
      </c>
      <c r="R6" s="2082" t="s">
        <v>2102</v>
      </c>
      <c r="S6" s="2000"/>
      <c r="T6" s="2000" t="s">
        <v>2103</v>
      </c>
      <c r="U6" s="2000"/>
      <c r="V6" s="2031"/>
    </row>
    <row r="7" spans="1:22" s="1929" customFormat="1" ht="13.15" customHeight="1">
      <c r="A7" s="1959" t="s">
        <v>2104</v>
      </c>
      <c r="B7" s="1960"/>
      <c r="C7" s="1961"/>
      <c r="D7" s="1962">
        <f>SUM(D9,D10,D11,D17,0)</f>
        <v>0</v>
      </c>
      <c r="E7" s="1963" t="e">
        <f>E9+E10+E11+E17</f>
        <v>#DIV/0!</v>
      </c>
      <c r="F7" s="1964"/>
      <c r="G7" s="1965"/>
      <c r="H7" s="1946"/>
      <c r="I7" s="2031"/>
      <c r="J7" s="3486"/>
      <c r="K7" s="3490"/>
      <c r="L7" s="2051" t="s">
        <v>2105</v>
      </c>
      <c r="M7" s="2052"/>
      <c r="N7" s="1951"/>
      <c r="O7" s="2053"/>
      <c r="P7" s="2053"/>
      <c r="Q7" s="1984">
        <v>365</v>
      </c>
      <c r="R7" s="2085">
        <f>ROUND(M7*N7*O7*P7*Q7/10000,0)</f>
        <v>0</v>
      </c>
      <c r="S7" s="2000"/>
      <c r="T7" s="2000" t="s">
        <v>2106</v>
      </c>
      <c r="U7" s="2000"/>
      <c r="V7" s="2031"/>
    </row>
    <row r="8" spans="1:22" s="1929" customFormat="1" ht="13.15" customHeight="1">
      <c r="A8" s="1966" t="s">
        <v>2107</v>
      </c>
      <c r="B8" s="3500" t="s">
        <v>2108</v>
      </c>
      <c r="C8" s="3501"/>
      <c r="D8" s="1969" t="s">
        <v>2109</v>
      </c>
      <c r="E8" s="1970" t="s">
        <v>2110</v>
      </c>
      <c r="F8" s="1971" t="s">
        <v>2111</v>
      </c>
      <c r="G8" s="1972"/>
      <c r="H8" s="1946"/>
      <c r="I8" s="2031"/>
      <c r="J8" s="3486"/>
      <c r="K8" s="3490"/>
      <c r="L8" s="2051" t="s">
        <v>2112</v>
      </c>
      <c r="M8" s="2052"/>
      <c r="N8" s="1951"/>
      <c r="O8" s="2053"/>
      <c r="P8" s="2053"/>
      <c r="Q8" s="1984">
        <v>365</v>
      </c>
      <c r="R8" s="2085">
        <f t="shared" ref="R8:R13" si="0">ROUND(M8*N8*O8*P8*Q8/10000,0)</f>
        <v>0</v>
      </c>
      <c r="S8" s="2000"/>
      <c r="T8" s="2000" t="s">
        <v>2113</v>
      </c>
      <c r="U8" s="2000"/>
      <c r="V8" s="2031"/>
    </row>
    <row r="9" spans="1:22" s="1929" customFormat="1" ht="13.15" customHeight="1">
      <c r="A9" s="1966">
        <v>1</v>
      </c>
      <c r="B9" s="3500" t="s">
        <v>2114</v>
      </c>
      <c r="C9" s="3501"/>
      <c r="D9" s="1969">
        <f>ROUND(D6*E9,0)</f>
        <v>0</v>
      </c>
      <c r="E9" s="1973"/>
      <c r="F9" s="1974" t="s">
        <v>2115</v>
      </c>
      <c r="G9" s="1958"/>
      <c r="H9" s="1946"/>
      <c r="I9" s="2031"/>
      <c r="J9" s="3486"/>
      <c r="K9" s="3490"/>
      <c r="L9" s="2051" t="s">
        <v>2116</v>
      </c>
      <c r="M9" s="2052"/>
      <c r="N9" s="1951"/>
      <c r="O9" s="2053"/>
      <c r="P9" s="2053"/>
      <c r="Q9" s="1984">
        <v>365</v>
      </c>
      <c r="R9" s="2085">
        <f t="shared" si="0"/>
        <v>0</v>
      </c>
      <c r="S9" s="2000"/>
      <c r="T9" s="2000"/>
      <c r="U9" s="2000"/>
      <c r="V9" s="2031"/>
    </row>
    <row r="10" spans="1:22" s="1929" customFormat="1" ht="13.15" customHeight="1">
      <c r="A10" s="1966">
        <v>2</v>
      </c>
      <c r="B10" s="3500" t="s">
        <v>2117</v>
      </c>
      <c r="C10" s="3501"/>
      <c r="D10" s="1969">
        <f>ROUND(D6*E10,0)</f>
        <v>0</v>
      </c>
      <c r="E10" s="1973"/>
      <c r="F10" s="1974" t="s">
        <v>2118</v>
      </c>
      <c r="G10" s="1958"/>
      <c r="H10" s="1946"/>
      <c r="I10" s="2031"/>
      <c r="J10" s="3486"/>
      <c r="K10" s="3490"/>
      <c r="L10" s="2051" t="s">
        <v>2119</v>
      </c>
      <c r="M10" s="2052"/>
      <c r="N10" s="1951"/>
      <c r="O10" s="2053"/>
      <c r="P10" s="2053"/>
      <c r="Q10" s="1984">
        <v>365</v>
      </c>
      <c r="R10" s="2085">
        <f t="shared" si="0"/>
        <v>0</v>
      </c>
      <c r="S10" s="2000"/>
      <c r="T10" s="2000"/>
      <c r="U10" s="2000"/>
      <c r="V10" s="2031"/>
    </row>
    <row r="11" spans="1:22" s="1929" customFormat="1" ht="13.15" customHeight="1">
      <c r="A11" s="1966">
        <v>3</v>
      </c>
      <c r="B11" s="3500" t="s">
        <v>2120</v>
      </c>
      <c r="C11" s="3501"/>
      <c r="D11" s="1969">
        <f>D12+D14+D15+D16</f>
        <v>0</v>
      </c>
      <c r="E11" s="1975" t="e">
        <f>D11/D6</f>
        <v>#DIV/0!</v>
      </c>
      <c r="F11" s="1971"/>
      <c r="G11" s="1972"/>
      <c r="H11" s="1946"/>
      <c r="I11" s="2031"/>
      <c r="J11" s="3486"/>
      <c r="K11" s="3490"/>
      <c r="L11" s="2051" t="s">
        <v>2121</v>
      </c>
      <c r="M11" s="2052"/>
      <c r="N11" s="1951"/>
      <c r="O11" s="2053"/>
      <c r="P11" s="2053"/>
      <c r="Q11" s="1984">
        <v>365</v>
      </c>
      <c r="R11" s="2085">
        <f t="shared" si="0"/>
        <v>0</v>
      </c>
      <c r="S11" s="2000"/>
      <c r="T11" s="2000"/>
      <c r="U11" s="2000"/>
      <c r="V11" s="2031"/>
    </row>
    <row r="12" spans="1:22" s="1929" customFormat="1" ht="13.15" customHeight="1">
      <c r="A12" s="1976" t="s">
        <v>2122</v>
      </c>
      <c r="B12" s="3494" t="s">
        <v>2123</v>
      </c>
      <c r="C12" s="3495"/>
      <c r="D12" s="1979">
        <f>ROUND(D13*1.2%*(1-30%),0)</f>
        <v>0</v>
      </c>
      <c r="E12" s="1980">
        <v>1.2E-2</v>
      </c>
      <c r="F12" s="1971" t="s">
        <v>2124</v>
      </c>
      <c r="G12" s="1972"/>
      <c r="H12" s="1946"/>
      <c r="I12" s="2031"/>
      <c r="J12" s="3486"/>
      <c r="K12" s="3490"/>
      <c r="L12" s="2051" t="s">
        <v>2125</v>
      </c>
      <c r="M12" s="2052"/>
      <c r="N12" s="1951"/>
      <c r="O12" s="2053"/>
      <c r="P12" s="2053"/>
      <c r="Q12" s="1984">
        <v>365</v>
      </c>
      <c r="R12" s="2085">
        <f t="shared" si="0"/>
        <v>0</v>
      </c>
      <c r="S12" s="2000"/>
      <c r="T12" s="2000"/>
      <c r="U12" s="2000"/>
      <c r="V12" s="2031"/>
    </row>
    <row r="13" spans="1:22" s="1929" customFormat="1" ht="13.15" customHeight="1">
      <c r="A13" s="1976"/>
      <c r="B13" s="1977"/>
      <c r="C13" s="1981" t="s">
        <v>2126</v>
      </c>
      <c r="D13" s="1982"/>
      <c r="E13" s="1983"/>
      <c r="F13" s="1971"/>
      <c r="G13" s="1972"/>
      <c r="H13" s="1946"/>
      <c r="I13" s="2031"/>
      <c r="J13" s="3486"/>
      <c r="K13" s="3490"/>
      <c r="L13" s="2051" t="s">
        <v>2127</v>
      </c>
      <c r="M13" s="2052"/>
      <c r="N13" s="1951"/>
      <c r="O13" s="2053"/>
      <c r="P13" s="2053"/>
      <c r="Q13" s="1984">
        <v>365</v>
      </c>
      <c r="R13" s="2085">
        <f t="shared" si="0"/>
        <v>0</v>
      </c>
      <c r="S13" s="2000"/>
      <c r="T13" s="2000"/>
      <c r="U13" s="2000"/>
      <c r="V13" s="2031"/>
    </row>
    <row r="14" spans="1:22" s="1929" customFormat="1" ht="13.15" customHeight="1">
      <c r="A14" s="1976" t="s">
        <v>2128</v>
      </c>
      <c r="B14" s="3494" t="s">
        <v>2129</v>
      </c>
      <c r="C14" s="3495"/>
      <c r="D14" s="1979">
        <f>ROUND(E14*B5/10000,0)</f>
        <v>0</v>
      </c>
      <c r="E14" s="1984"/>
      <c r="F14" s="1971" t="s">
        <v>2130</v>
      </c>
      <c r="G14" s="1972"/>
      <c r="H14" s="1946"/>
      <c r="I14" s="2031"/>
      <c r="J14" s="3486"/>
      <c r="K14" s="3491"/>
      <c r="L14" s="2054" t="s">
        <v>2131</v>
      </c>
      <c r="M14" s="2055">
        <f>SUM(M7:M13)</f>
        <v>0</v>
      </c>
      <c r="N14" s="2055" t="e">
        <f>ROUND((N7*M7+N8*M8+N9*M9+N10*M10+N11*M11+N12*M12+N13*M13)/M14,0)</f>
        <v>#DIV/0!</v>
      </c>
      <c r="O14" s="2056"/>
      <c r="P14" s="2056"/>
      <c r="Q14" s="2086"/>
      <c r="R14" s="2080">
        <f>SUM(R7:R13)</f>
        <v>0</v>
      </c>
      <c r="S14" s="2000"/>
      <c r="T14" s="2000"/>
      <c r="U14" s="2000"/>
      <c r="V14" s="2031"/>
    </row>
    <row r="15" spans="1:22" s="1929" customFormat="1" ht="13.15" customHeight="1">
      <c r="A15" s="1976" t="s">
        <v>2132</v>
      </c>
      <c r="B15" s="3494" t="s">
        <v>2133</v>
      </c>
      <c r="C15" s="3495"/>
      <c r="D15" s="1979">
        <f>ROUND(D6*E15,0)</f>
        <v>0</v>
      </c>
      <c r="E15" s="1980">
        <v>5.5E-2</v>
      </c>
      <c r="F15" s="1971" t="s">
        <v>2134</v>
      </c>
      <c r="G15" s="1958"/>
      <c r="H15" s="1946"/>
      <c r="I15" s="2031"/>
      <c r="J15" s="3486">
        <v>2</v>
      </c>
      <c r="K15" s="3489" t="s">
        <v>2135</v>
      </c>
      <c r="L15" s="2051" t="s">
        <v>2136</v>
      </c>
      <c r="M15" s="2052" t="s">
        <v>2137</v>
      </c>
      <c r="N15" s="2052" t="s">
        <v>2138</v>
      </c>
      <c r="O15" s="2053" t="s">
        <v>2139</v>
      </c>
      <c r="P15" s="2053" t="s">
        <v>2101</v>
      </c>
      <c r="Q15" s="1951" t="s">
        <v>124</v>
      </c>
      <c r="R15" s="2087" t="s">
        <v>2102</v>
      </c>
      <c r="S15" s="2000"/>
      <c r="T15" s="2000"/>
      <c r="U15" s="2000"/>
      <c r="V15" s="2031"/>
    </row>
    <row r="16" spans="1:22" s="1929" customFormat="1" ht="13.15" customHeight="1">
      <c r="A16" s="1976" t="s">
        <v>2140</v>
      </c>
      <c r="B16" s="3494" t="s">
        <v>2141</v>
      </c>
      <c r="C16" s="3495"/>
      <c r="D16" s="1985">
        <f>D6*E16</f>
        <v>0</v>
      </c>
      <c r="E16" s="1986"/>
      <c r="F16" s="1974" t="s">
        <v>2142</v>
      </c>
      <c r="G16" s="1958"/>
      <c r="H16" s="1946"/>
      <c r="I16" s="2031"/>
      <c r="J16" s="3486"/>
      <c r="K16" s="3490"/>
      <c r="L16" s="2051" t="s">
        <v>2143</v>
      </c>
      <c r="M16" s="2052"/>
      <c r="N16" s="2052"/>
      <c r="O16" s="2053"/>
      <c r="P16" s="1984">
        <v>365</v>
      </c>
      <c r="Q16" s="1951"/>
      <c r="R16" s="2087">
        <f>ROUND(M16*N16*O16*P16/10000,0)</f>
        <v>0</v>
      </c>
      <c r="S16" s="2000"/>
      <c r="T16" s="2000"/>
      <c r="U16" s="2000"/>
      <c r="V16" s="2031"/>
    </row>
    <row r="17" spans="1:22" s="1929" customFormat="1" ht="13.15" customHeight="1">
      <c r="A17" s="1987">
        <v>4</v>
      </c>
      <c r="B17" s="3496" t="s">
        <v>2144</v>
      </c>
      <c r="C17" s="3497"/>
      <c r="D17" s="1988">
        <f>ROUND(D6*E17,0)</f>
        <v>0</v>
      </c>
      <c r="E17" s="1989"/>
      <c r="F17" s="1990" t="s">
        <v>2145</v>
      </c>
      <c r="G17" s="1958"/>
      <c r="H17" s="1946"/>
      <c r="I17" s="2031"/>
      <c r="J17" s="3486"/>
      <c r="K17" s="3490"/>
      <c r="L17" s="2051" t="s">
        <v>2146</v>
      </c>
      <c r="M17" s="2052"/>
      <c r="N17" s="2052"/>
      <c r="O17" s="2053"/>
      <c r="P17" s="1984">
        <v>365</v>
      </c>
      <c r="Q17" s="1951"/>
      <c r="R17" s="2087">
        <f>ROUND(M17*N17*O17*P17/10000,0)</f>
        <v>0</v>
      </c>
      <c r="S17" s="2000"/>
      <c r="T17" s="2000"/>
      <c r="U17" s="2000"/>
      <c r="V17" s="2031"/>
    </row>
    <row r="18" spans="1:22" s="1929" customFormat="1" ht="13.15" customHeight="1">
      <c r="A18" s="1959" t="s">
        <v>2147</v>
      </c>
      <c r="B18" s="1960"/>
      <c r="C18" s="1960"/>
      <c r="D18" s="1991">
        <f>ROUND(D6*E18,0)</f>
        <v>0</v>
      </c>
      <c r="E18" s="1992"/>
      <c r="F18" s="1993" t="s">
        <v>2148</v>
      </c>
      <c r="G18" s="1958"/>
      <c r="H18" s="1946"/>
      <c r="I18" s="2031"/>
      <c r="J18" s="3486"/>
      <c r="K18" s="3490"/>
      <c r="L18" s="2051" t="s">
        <v>2149</v>
      </c>
      <c r="M18" s="2052"/>
      <c r="N18" s="2052"/>
      <c r="O18" s="2053"/>
      <c r="P18" s="1984">
        <v>365</v>
      </c>
      <c r="Q18" s="1951"/>
      <c r="R18" s="2087">
        <f>ROUND(M18*N18*O18*P18/10000,0)</f>
        <v>0</v>
      </c>
      <c r="S18" s="2000"/>
      <c r="T18" s="2000"/>
      <c r="U18" s="2000"/>
      <c r="V18" s="2031"/>
    </row>
    <row r="19" spans="1:22" s="1929" customFormat="1" ht="13.15" customHeight="1">
      <c r="A19" s="1994" t="s">
        <v>2150</v>
      </c>
      <c r="B19" s="1956"/>
      <c r="C19" s="1956"/>
      <c r="D19" s="1956"/>
      <c r="E19" s="1956"/>
      <c r="F19" s="1957"/>
      <c r="G19" s="1972"/>
      <c r="H19" s="1946"/>
      <c r="I19" s="2031"/>
      <c r="J19" s="3486"/>
      <c r="K19" s="3491"/>
      <c r="L19" s="2054" t="s">
        <v>2131</v>
      </c>
      <c r="M19" s="2055"/>
      <c r="N19" s="2055">
        <f>SUM(N16:N18)</f>
        <v>0</v>
      </c>
      <c r="O19" s="2056"/>
      <c r="P19" s="2057" t="s">
        <v>2151</v>
      </c>
      <c r="Q19" s="2053">
        <v>0</v>
      </c>
      <c r="R19" s="2088">
        <f>ROUND(IF(P19="按比例",R14*Q19,SUM(R16:R18)),0)</f>
        <v>0</v>
      </c>
      <c r="S19" s="2000"/>
      <c r="T19" s="2000"/>
      <c r="U19" s="2000"/>
      <c r="V19" s="2031"/>
    </row>
    <row r="20" spans="1:22" s="1929" customFormat="1" ht="13.15" customHeight="1">
      <c r="A20" s="1959"/>
      <c r="B20" s="1960"/>
      <c r="C20" s="1960"/>
      <c r="D20" s="1960"/>
      <c r="E20" s="1960"/>
      <c r="F20" s="1995"/>
      <c r="G20" s="1972"/>
      <c r="H20" s="1946"/>
      <c r="I20" s="2031"/>
      <c r="J20" s="3486">
        <v>3</v>
      </c>
      <c r="K20" s="3489" t="s">
        <v>2152</v>
      </c>
      <c r="L20" s="2051" t="s">
        <v>2153</v>
      </c>
      <c r="M20" s="2052" t="s">
        <v>2154</v>
      </c>
      <c r="N20" s="2058" t="s">
        <v>2155</v>
      </c>
      <c r="O20" s="2053" t="s">
        <v>2156</v>
      </c>
      <c r="P20" s="1984" t="s">
        <v>2101</v>
      </c>
      <c r="Q20" s="1951" t="s">
        <v>124</v>
      </c>
      <c r="R20" s="2087" t="s">
        <v>2102</v>
      </c>
      <c r="S20" s="2000"/>
      <c r="T20" s="2000"/>
      <c r="U20" s="2000"/>
      <c r="V20" s="2031"/>
    </row>
    <row r="21" spans="1:22" s="1929" customFormat="1" ht="13.15" customHeight="1">
      <c r="A21" s="1959"/>
      <c r="B21" s="1960"/>
      <c r="C21" s="1967" t="s">
        <v>2157</v>
      </c>
      <c r="D21" s="1996" t="s">
        <v>2158</v>
      </c>
      <c r="E21" s="1968" t="s">
        <v>2159</v>
      </c>
      <c r="F21" s="1995"/>
      <c r="G21" s="1972"/>
      <c r="H21" s="1946"/>
      <c r="I21" s="2031"/>
      <c r="J21" s="3486"/>
      <c r="K21" s="3490"/>
      <c r="L21" s="2051" t="s">
        <v>2160</v>
      </c>
      <c r="M21" s="2052"/>
      <c r="N21" s="2052"/>
      <c r="O21" s="2053"/>
      <c r="P21" s="1984">
        <v>365</v>
      </c>
      <c r="Q21" s="1951"/>
      <c r="R21" s="2089">
        <f>ROUND(M21*N21*O21*P21/10000,0)</f>
        <v>0</v>
      </c>
      <c r="S21" s="2000"/>
      <c r="T21" s="2000"/>
      <c r="U21" s="2000"/>
      <c r="V21" s="2031"/>
    </row>
    <row r="22" spans="1:22" s="1929" customFormat="1" ht="13.15" customHeight="1">
      <c r="A22" s="1959"/>
      <c r="B22" s="1960"/>
      <c r="C22" s="1997" t="s">
        <v>2161</v>
      </c>
      <c r="D22" s="1998" t="s">
        <v>2162</v>
      </c>
      <c r="E22" s="1999" t="s">
        <v>2163</v>
      </c>
      <c r="F22" s="1995"/>
      <c r="G22" s="2000"/>
      <c r="H22" s="1946"/>
      <c r="I22" s="2031"/>
      <c r="J22" s="3486"/>
      <c r="K22" s="3490"/>
      <c r="L22" s="2051" t="s">
        <v>2164</v>
      </c>
      <c r="M22" s="2052"/>
      <c r="N22" s="2052"/>
      <c r="O22" s="2053"/>
      <c r="P22" s="1984">
        <v>365</v>
      </c>
      <c r="Q22" s="1951"/>
      <c r="R22" s="2089">
        <f>ROUND(M22*N22*O22*P22/10000,0)</f>
        <v>0</v>
      </c>
      <c r="S22" s="2000"/>
      <c r="T22" s="2000"/>
      <c r="U22" s="2000"/>
      <c r="V22" s="2031"/>
    </row>
    <row r="23" spans="1:22" s="1929" customFormat="1" ht="13.15" customHeight="1">
      <c r="A23" s="2001">
        <v>1</v>
      </c>
      <c r="B23" s="2002" t="s">
        <v>2165</v>
      </c>
      <c r="C23" s="2003">
        <f>D6</f>
        <v>0</v>
      </c>
      <c r="D23" s="2004">
        <f>C23*(1+D24)</f>
        <v>0</v>
      </c>
      <c r="E23" s="2005">
        <f>D23*(1+E24)</f>
        <v>0</v>
      </c>
      <c r="F23" s="2006"/>
      <c r="G23" s="2007"/>
      <c r="H23" s="1946"/>
      <c r="I23" s="2031"/>
      <c r="J23" s="3486"/>
      <c r="K23" s="3490"/>
      <c r="L23" s="2051" t="s">
        <v>2166</v>
      </c>
      <c r="M23" s="2052"/>
      <c r="N23" s="2052"/>
      <c r="O23" s="2053"/>
      <c r="P23" s="1984">
        <v>365</v>
      </c>
      <c r="Q23" s="1951"/>
      <c r="R23" s="2089">
        <f>ROUND(M23*N23*O23*P23/10000,0)</f>
        <v>0</v>
      </c>
      <c r="S23" s="2000"/>
      <c r="T23" s="2000"/>
      <c r="U23" s="2000"/>
      <c r="V23" s="2031"/>
    </row>
    <row r="24" spans="1:22" s="1929" customFormat="1" ht="13.15" customHeight="1">
      <c r="A24" s="2008"/>
      <c r="B24" s="2009" t="s">
        <v>2167</v>
      </c>
      <c r="C24" s="2010"/>
      <c r="D24" s="2011"/>
      <c r="E24" s="2012"/>
      <c r="F24" s="2013"/>
      <c r="G24" s="2007"/>
      <c r="H24" s="1946"/>
      <c r="I24" s="2031"/>
      <c r="J24" s="3486"/>
      <c r="K24" s="3491"/>
      <c r="L24" s="2054" t="s">
        <v>2131</v>
      </c>
      <c r="M24" s="2055">
        <f>SUM(M21:M23)</f>
        <v>0</v>
      </c>
      <c r="N24" s="2055"/>
      <c r="O24" s="2056"/>
      <c r="P24" s="2057" t="s">
        <v>2151</v>
      </c>
      <c r="Q24" s="2053">
        <v>0</v>
      </c>
      <c r="R24" s="2088">
        <f>ROUND(IF(P24="按比例",R14*Q24,SUM(R21:R23)),0)</f>
        <v>0</v>
      </c>
      <c r="S24" s="2000"/>
      <c r="T24" s="2000"/>
      <c r="U24" s="2000"/>
      <c r="V24" s="2031"/>
    </row>
    <row r="25" spans="1:22" s="1930" customFormat="1" ht="13.15" customHeight="1">
      <c r="A25" s="2008"/>
      <c r="B25" s="2009"/>
      <c r="C25" s="2010"/>
      <c r="D25" s="2011"/>
      <c r="E25" s="2012"/>
      <c r="F25" s="2013"/>
      <c r="G25" s="2000"/>
      <c r="H25" s="1946"/>
      <c r="I25" s="2031"/>
      <c r="J25" s="2048">
        <v>4</v>
      </c>
      <c r="K25" s="2059" t="s">
        <v>2168</v>
      </c>
      <c r="L25" s="2060"/>
      <c r="M25" s="2060"/>
      <c r="N25" s="2060"/>
      <c r="O25" s="2060"/>
      <c r="P25" s="2061"/>
      <c r="Q25" s="2090">
        <v>0</v>
      </c>
      <c r="R25" s="2088">
        <f>ROUND(R14*Q25,0)</f>
        <v>0</v>
      </c>
      <c r="S25" s="2000"/>
      <c r="T25" s="2000"/>
      <c r="U25" s="2000"/>
      <c r="V25" s="2067"/>
    </row>
    <row r="26" spans="1:22" s="1930" customFormat="1" ht="13.15" customHeight="1">
      <c r="A26" s="2001">
        <v>2</v>
      </c>
      <c r="B26" s="2002" t="s">
        <v>2169</v>
      </c>
      <c r="C26" s="2003">
        <f>D7</f>
        <v>0</v>
      </c>
      <c r="D26" s="2004">
        <f>D23*D27</f>
        <v>0</v>
      </c>
      <c r="E26" s="2005">
        <f>E23*E27</f>
        <v>0</v>
      </c>
      <c r="F26" s="2006"/>
      <c r="G26" s="2007"/>
      <c r="H26" s="1946"/>
      <c r="I26" s="2031"/>
      <c r="J26" s="3487">
        <v>5</v>
      </c>
      <c r="K26" s="2062" t="s">
        <v>2170</v>
      </c>
      <c r="L26" s="2063"/>
      <c r="M26" s="2064"/>
      <c r="N26" s="2065" t="s">
        <v>508</v>
      </c>
      <c r="O26" s="2065" t="s">
        <v>2171</v>
      </c>
      <c r="P26" s="2066" t="s">
        <v>2172</v>
      </c>
      <c r="Q26" s="2066" t="s">
        <v>2173</v>
      </c>
      <c r="R26" s="2082" t="s">
        <v>2102</v>
      </c>
      <c r="S26" s="1972"/>
      <c r="T26" s="1972"/>
      <c r="U26" s="1972"/>
      <c r="V26" s="2067"/>
    </row>
    <row r="27" spans="1:22" s="1929" customFormat="1" ht="13.15" customHeight="1">
      <c r="A27" s="2008"/>
      <c r="B27" s="2009" t="s">
        <v>2174</v>
      </c>
      <c r="C27" s="2014" t="e">
        <f>E7</f>
        <v>#DIV/0!</v>
      </c>
      <c r="D27" s="2011"/>
      <c r="E27" s="2012"/>
      <c r="F27" s="2013"/>
      <c r="G27" s="2007"/>
      <c r="H27" s="2015"/>
      <c r="I27" s="2067"/>
      <c r="J27" s="3488"/>
      <c r="K27" s="2068"/>
      <c r="L27" s="2069"/>
      <c r="M27" s="2070"/>
      <c r="N27" s="2071"/>
      <c r="O27" s="2071"/>
      <c r="P27" s="2071"/>
      <c r="Q27" s="2091"/>
      <c r="R27" s="2088">
        <f>ROUND(O27*N27*P27*(1-Q27)/10000,0)</f>
        <v>0</v>
      </c>
      <c r="S27" s="2000"/>
      <c r="T27" s="2000"/>
      <c r="U27" s="2000"/>
      <c r="V27" s="2031"/>
    </row>
    <row r="28" spans="1:22" s="1930" customFormat="1" ht="13.15" customHeight="1">
      <c r="A28" s="2008"/>
      <c r="B28" s="2009"/>
      <c r="C28" s="2014"/>
      <c r="D28" s="2011"/>
      <c r="E28" s="2012" t="s">
        <v>2175</v>
      </c>
      <c r="F28" s="2013"/>
      <c r="G28" s="2000"/>
      <c r="H28" s="2015"/>
      <c r="I28" s="2067"/>
      <c r="J28" s="2072">
        <v>6</v>
      </c>
      <c r="K28" s="2073" t="s">
        <v>2176</v>
      </c>
      <c r="L28" s="2074" t="s">
        <v>2177</v>
      </c>
      <c r="M28" s="2075"/>
      <c r="N28" s="2074" t="s">
        <v>2178</v>
      </c>
      <c r="O28" s="2076"/>
      <c r="P28" s="2074" t="s">
        <v>2179</v>
      </c>
      <c r="Q28" s="2092">
        <v>1.4999999999999999E-2</v>
      </c>
      <c r="R28" s="2093"/>
      <c r="S28" s="2000"/>
      <c r="T28" s="2000"/>
      <c r="U28" s="2000"/>
      <c r="V28" s="2067"/>
    </row>
    <row r="29" spans="1:22" s="1930" customFormat="1" ht="13.15" customHeight="1">
      <c r="A29" s="2001">
        <v>3</v>
      </c>
      <c r="B29" s="2002" t="s">
        <v>2180</v>
      </c>
      <c r="C29" s="2003">
        <f>C23*C30</f>
        <v>0</v>
      </c>
      <c r="D29" s="2004">
        <f>D23*C30</f>
        <v>0</v>
      </c>
      <c r="E29" s="2005">
        <f>E23*C30</f>
        <v>0</v>
      </c>
      <c r="F29" s="2006"/>
      <c r="G29" s="2007"/>
      <c r="H29" s="1946"/>
      <c r="I29" s="2031"/>
      <c r="J29" s="2000"/>
      <c r="K29" s="2000"/>
      <c r="L29" s="2000"/>
      <c r="M29" s="2000"/>
      <c r="N29" s="2000"/>
      <c r="O29" s="2000"/>
      <c r="P29" s="2000"/>
      <c r="Q29" s="2000"/>
      <c r="R29" s="2000"/>
      <c r="S29" s="2000"/>
      <c r="T29" s="2000"/>
      <c r="U29" s="2000"/>
      <c r="V29" s="2067"/>
    </row>
    <row r="30" spans="1:22" s="1929" customFormat="1" ht="13.15" customHeight="1">
      <c r="A30" s="2008"/>
      <c r="B30" s="2009" t="s">
        <v>2174</v>
      </c>
      <c r="C30" s="2014">
        <f>E18</f>
        <v>0</v>
      </c>
      <c r="D30" s="2016"/>
      <c r="E30" s="1983"/>
      <c r="F30" s="2013"/>
      <c r="G30" s="2007"/>
      <c r="H30" s="2015"/>
      <c r="I30" s="2067"/>
      <c r="J30" s="2000"/>
      <c r="K30" s="2000"/>
      <c r="L30" s="2000"/>
      <c r="M30" s="2000"/>
      <c r="N30" s="2000"/>
      <c r="O30" s="2000"/>
      <c r="P30" s="2000"/>
      <c r="Q30" s="2000"/>
      <c r="R30" s="2000"/>
      <c r="S30" s="2000"/>
      <c r="T30" s="2000"/>
      <c r="U30" s="2000"/>
      <c r="V30" s="2031"/>
    </row>
    <row r="31" spans="1:22" s="1930" customFormat="1" ht="13.15" customHeight="1">
      <c r="A31" s="2008"/>
      <c r="B31" s="2009"/>
      <c r="C31" s="2017"/>
      <c r="D31" s="2016"/>
      <c r="E31" s="1983"/>
      <c r="F31" s="2013"/>
      <c r="G31" s="2000"/>
      <c r="H31" s="2015"/>
      <c r="I31" s="2067"/>
      <c r="J31" s="2040" t="s">
        <v>2181</v>
      </c>
      <c r="K31" s="2041"/>
      <c r="L31" s="2041"/>
      <c r="M31" s="2041"/>
      <c r="N31" s="2041"/>
      <c r="O31" s="2041"/>
      <c r="P31" s="2041"/>
      <c r="Q31" s="2041"/>
      <c r="R31" s="2078"/>
      <c r="S31" s="2000"/>
      <c r="T31" s="2000"/>
      <c r="U31" s="2000"/>
      <c r="V31" s="2067"/>
    </row>
    <row r="32" spans="1:22" s="1930" customFormat="1" ht="13.15" customHeight="1">
      <c r="A32" s="2001">
        <v>4</v>
      </c>
      <c r="B32" s="2002" t="s">
        <v>2182</v>
      </c>
      <c r="C32" s="2003">
        <f>C23-C26-C29</f>
        <v>0</v>
      </c>
      <c r="D32" s="2004">
        <f>D23-D26-D29</f>
        <v>0</v>
      </c>
      <c r="E32" s="2005">
        <f>E23-E26-E29</f>
        <v>0</v>
      </c>
      <c r="F32" s="2006"/>
      <c r="G32" s="2000"/>
      <c r="H32" s="1946"/>
      <c r="I32" s="2031"/>
      <c r="J32" s="3498" t="s">
        <v>2080</v>
      </c>
      <c r="K32" s="3499"/>
      <c r="L32" s="2042" t="s">
        <v>2081</v>
      </c>
      <c r="M32" s="2042" t="s">
        <v>2082</v>
      </c>
      <c r="N32" s="2042" t="s">
        <v>2083</v>
      </c>
      <c r="O32" s="2042" t="s">
        <v>2084</v>
      </c>
      <c r="P32" s="2042" t="s">
        <v>2085</v>
      </c>
      <c r="Q32" s="2079" t="s">
        <v>2086</v>
      </c>
      <c r="R32" s="2094" t="s">
        <v>2087</v>
      </c>
      <c r="S32" s="2000"/>
      <c r="T32" s="2000"/>
      <c r="U32" s="2000"/>
      <c r="V32" s="2067"/>
    </row>
    <row r="33" spans="1:23" s="1929" customFormat="1" ht="13.15" customHeight="1">
      <c r="A33" s="2001"/>
      <c r="B33" s="2002"/>
      <c r="C33" s="2003"/>
      <c r="D33" s="2018"/>
      <c r="E33" s="1978"/>
      <c r="F33" s="2006"/>
      <c r="G33" s="2000"/>
      <c r="H33" s="2015"/>
      <c r="I33" s="2067"/>
      <c r="J33" s="3492" t="s">
        <v>2088</v>
      </c>
      <c r="K33" s="3493"/>
      <c r="L33" s="2043"/>
      <c r="M33" s="2043"/>
      <c r="N33" s="2043"/>
      <c r="O33" s="2043"/>
      <c r="P33" s="2043"/>
      <c r="Q33" s="2081"/>
      <c r="R33" s="2095">
        <f>SUM(L33:Q33)</f>
        <v>0</v>
      </c>
      <c r="S33" s="2000"/>
      <c r="T33" s="2000"/>
      <c r="U33" s="2000"/>
      <c r="V33" s="2031"/>
    </row>
    <row r="34" spans="1:23" s="1929" customFormat="1" ht="13.15" customHeight="1">
      <c r="A34" s="2001">
        <v>5</v>
      </c>
      <c r="B34" s="2002" t="s">
        <v>2183</v>
      </c>
      <c r="C34" s="2019"/>
      <c r="D34" s="2020"/>
      <c r="E34" s="2021"/>
      <c r="F34" s="2006"/>
      <c r="G34" s="2000"/>
      <c r="H34" s="2015"/>
      <c r="I34" s="2067"/>
      <c r="J34" s="3492" t="s">
        <v>2090</v>
      </c>
      <c r="K34" s="3493"/>
      <c r="L34" s="2044"/>
      <c r="M34" s="2044"/>
      <c r="N34" s="2044"/>
      <c r="O34" s="2044"/>
      <c r="P34" s="2044"/>
      <c r="Q34" s="2083"/>
      <c r="R34" s="2096">
        <f>SUM(L34:Q34)</f>
        <v>0</v>
      </c>
      <c r="S34" s="2000"/>
      <c r="T34" s="2000"/>
      <c r="U34" s="2000" t="e">
        <f>ROUND(R35*10000/365/R33,1)</f>
        <v>#DIV/0!</v>
      </c>
      <c r="V34" s="2031"/>
    </row>
    <row r="35" spans="1:23" s="1929" customFormat="1" ht="13.15" customHeight="1">
      <c r="A35" s="2001">
        <v>6</v>
      </c>
      <c r="B35" s="2002" t="s">
        <v>2184</v>
      </c>
      <c r="C35" s="2022"/>
      <c r="D35" s="2023"/>
      <c r="E35" s="2024"/>
      <c r="F35" s="2006"/>
      <c r="G35" s="2025"/>
      <c r="H35" s="1946"/>
      <c r="I35" s="2067"/>
      <c r="J35" s="2045" t="s">
        <v>2092</v>
      </c>
      <c r="K35" s="2046"/>
      <c r="L35" s="2046"/>
      <c r="M35" s="2047"/>
      <c r="N35" s="2047"/>
      <c r="O35" s="2047"/>
      <c r="P35" s="2047"/>
      <c r="Q35" s="2047"/>
      <c r="R35" s="2097">
        <f>R40+R41+R43</f>
        <v>0</v>
      </c>
      <c r="S35" s="2000"/>
      <c r="T35" s="2000" t="s">
        <v>2093</v>
      </c>
      <c r="U35" s="2000"/>
      <c r="V35" s="2031"/>
    </row>
    <row r="36" spans="1:23" s="1929" customFormat="1" ht="13.15" customHeight="1">
      <c r="A36" s="2001">
        <v>7</v>
      </c>
      <c r="B36" s="2026" t="s">
        <v>2185</v>
      </c>
      <c r="C36" s="2027"/>
      <c r="D36" s="2028"/>
      <c r="E36" s="2029"/>
      <c r="F36" s="2030">
        <f>C36+D36+E36</f>
        <v>0</v>
      </c>
      <c r="G36" s="2000"/>
      <c r="H36" s="1946"/>
      <c r="I36" s="2031"/>
      <c r="J36" s="3486">
        <v>1</v>
      </c>
      <c r="K36" s="3489" t="s">
        <v>2186</v>
      </c>
      <c r="L36" s="2049"/>
      <c r="M36" s="2050"/>
      <c r="N36" s="2050"/>
      <c r="O36" s="2050"/>
      <c r="P36" s="2050"/>
      <c r="Q36" s="2050"/>
      <c r="R36" s="2082" t="s">
        <v>2102</v>
      </c>
      <c r="S36" s="2000"/>
      <c r="T36" s="2000" t="s">
        <v>2103</v>
      </c>
      <c r="U36" s="2000"/>
      <c r="V36" s="2031"/>
    </row>
    <row r="37" spans="1:23" s="1929" customFormat="1" ht="13.15" customHeight="1">
      <c r="A37" s="2001"/>
      <c r="B37" s="2002"/>
      <c r="C37" s="2002"/>
      <c r="D37" s="2002"/>
      <c r="E37" s="2002"/>
      <c r="F37" s="2006"/>
      <c r="G37" s="2000"/>
      <c r="H37" s="1946"/>
      <c r="I37" s="2031"/>
      <c r="J37" s="3486"/>
      <c r="K37" s="3490"/>
      <c r="L37" s="2051"/>
      <c r="M37" s="2052"/>
      <c r="N37" s="1951"/>
      <c r="O37" s="2053"/>
      <c r="P37" s="2053"/>
      <c r="Q37" s="1984"/>
      <c r="R37" s="2085"/>
      <c r="S37" s="2000"/>
      <c r="T37" s="2000" t="s">
        <v>2106</v>
      </c>
      <c r="U37" s="2000"/>
      <c r="V37" s="2031"/>
    </row>
    <row r="38" spans="1:23" s="1929" customFormat="1" ht="13.15" customHeight="1">
      <c r="A38" s="2001">
        <v>8</v>
      </c>
      <c r="B38" s="2002"/>
      <c r="C38" s="1969" t="e">
        <f>ROUND(C32*(1-((1+C35)/(1+C34))^C36)/(C34-C35),0)</f>
        <v>#DIV/0!</v>
      </c>
      <c r="D38" s="1969">
        <f>IF(D23=0,0,ROUND(D32*(1-((1+D35)/(1+D34))^D36)/(D34-D35),0))</f>
        <v>0</v>
      </c>
      <c r="E38" s="1969">
        <f>IF(E23=0,0,ROUND(E32*(1-((1+E35)/(1+E34))^E36)/(E34-E35),0))</f>
        <v>0</v>
      </c>
      <c r="F38" s="2006"/>
      <c r="G38" s="2000"/>
      <c r="H38" s="1946"/>
      <c r="I38" s="2031"/>
      <c r="J38" s="3486"/>
      <c r="K38" s="3490"/>
      <c r="L38" s="2051"/>
      <c r="M38" s="2052"/>
      <c r="N38" s="1951"/>
      <c r="O38" s="2053"/>
      <c r="P38" s="2053"/>
      <c r="Q38" s="1984"/>
      <c r="R38" s="2085"/>
      <c r="S38" s="2000"/>
      <c r="T38" s="2000" t="s">
        <v>2113</v>
      </c>
      <c r="U38" s="2000"/>
      <c r="V38" s="2031"/>
    </row>
    <row r="39" spans="1:23" s="1929" customFormat="1" ht="13.15" customHeight="1">
      <c r="A39" s="2001">
        <v>9</v>
      </c>
      <c r="B39" s="2002" t="s">
        <v>2187</v>
      </c>
      <c r="C39" s="1979" t="e">
        <f>C38</f>
        <v>#DIV/0!</v>
      </c>
      <c r="D39" s="2002">
        <f>D38/(1+D34)^C36</f>
        <v>0</v>
      </c>
      <c r="E39" s="2002">
        <f>E38/(1+E34)^(C36+D36)</f>
        <v>0</v>
      </c>
      <c r="F39" s="2006"/>
      <c r="G39" s="2031"/>
      <c r="H39" s="1946"/>
      <c r="I39" s="2031"/>
      <c r="J39" s="3486"/>
      <c r="K39" s="3490"/>
      <c r="L39" s="2051"/>
      <c r="M39" s="2052"/>
      <c r="N39" s="1951"/>
      <c r="O39" s="2053"/>
      <c r="P39" s="2053"/>
      <c r="Q39" s="1984"/>
      <c r="R39" s="2085"/>
      <c r="S39" s="2000"/>
      <c r="T39" s="2000"/>
      <c r="U39" s="2000"/>
      <c r="V39" s="2031"/>
    </row>
    <row r="40" spans="1:23" s="1929" customFormat="1" ht="13.15" customHeight="1">
      <c r="A40" s="2032">
        <v>10</v>
      </c>
      <c r="B40" s="2002" t="s">
        <v>2188</v>
      </c>
      <c r="C40" s="2033" t="e">
        <f>C39+D39+E39</f>
        <v>#DIV/0!</v>
      </c>
      <c r="D40" s="2034"/>
      <c r="E40" s="2034"/>
      <c r="F40" s="2035"/>
      <c r="G40" s="2000"/>
      <c r="H40" s="1946"/>
      <c r="I40" s="2031"/>
      <c r="J40" s="3486"/>
      <c r="K40" s="3491"/>
      <c r="L40" s="2054" t="s">
        <v>2131</v>
      </c>
      <c r="M40" s="2055"/>
      <c r="N40" s="2055"/>
      <c r="O40" s="2056"/>
      <c r="P40" s="2056"/>
      <c r="Q40" s="2086"/>
      <c r="R40" s="2080">
        <f>SUM(R37:R39)</f>
        <v>0</v>
      </c>
      <c r="S40" s="2000"/>
      <c r="T40" s="2000"/>
      <c r="U40" s="2000"/>
      <c r="V40" s="2031"/>
    </row>
    <row r="41" spans="1:23" s="1929" customFormat="1" ht="13.15" customHeight="1">
      <c r="A41" s="2036">
        <v>11</v>
      </c>
      <c r="B41" s="2037" t="s">
        <v>2189</v>
      </c>
      <c r="C41" s="2037" t="e">
        <f>ROUND(C40*10000/B4,0)</f>
        <v>#DIV/0!</v>
      </c>
      <c r="D41" s="2038"/>
      <c r="E41" s="2038"/>
      <c r="F41" s="2039"/>
      <c r="G41" s="1946"/>
      <c r="H41" s="1946"/>
      <c r="I41" s="2031"/>
      <c r="J41" s="2048">
        <v>2</v>
      </c>
      <c r="K41" s="2059" t="s">
        <v>2168</v>
      </c>
      <c r="L41" s="2060"/>
      <c r="M41" s="2060"/>
      <c r="N41" s="2060"/>
      <c r="O41" s="2060"/>
      <c r="P41" s="2061"/>
      <c r="Q41" s="2090"/>
      <c r="R41" s="2088">
        <f>ROUND(R40*Q41,0)</f>
        <v>0</v>
      </c>
      <c r="S41" s="2000"/>
      <c r="T41" s="2000"/>
      <c r="U41" s="1972"/>
      <c r="V41" s="2031"/>
    </row>
    <row r="42" spans="1:23" s="1929" customFormat="1" ht="13.15" customHeight="1">
      <c r="G42" s="1946"/>
      <c r="H42" s="1946"/>
      <c r="I42" s="2031"/>
      <c r="J42" s="3487">
        <v>3</v>
      </c>
      <c r="K42" s="2062" t="s">
        <v>2170</v>
      </c>
      <c r="L42" s="2063"/>
      <c r="M42" s="2064"/>
      <c r="N42" s="2065" t="s">
        <v>508</v>
      </c>
      <c r="O42" s="2065" t="s">
        <v>2171</v>
      </c>
      <c r="P42" s="2066" t="s">
        <v>2172</v>
      </c>
      <c r="Q42" s="2066" t="s">
        <v>2173</v>
      </c>
      <c r="R42" s="2082" t="s">
        <v>2102</v>
      </c>
      <c r="S42" s="1972"/>
      <c r="T42" s="1972"/>
      <c r="U42" s="2000"/>
      <c r="V42" s="2031"/>
    </row>
    <row r="43" spans="1:23" ht="13.15" customHeight="1">
      <c r="A43" s="1929"/>
      <c r="B43" s="1929"/>
      <c r="C43" s="1929"/>
      <c r="D43" s="1929"/>
      <c r="E43" s="1929"/>
      <c r="F43" s="1929"/>
      <c r="I43" s="1932"/>
      <c r="J43" s="3488"/>
      <c r="K43" s="2068"/>
      <c r="L43" s="2069"/>
      <c r="M43" s="2070"/>
      <c r="N43" s="2052"/>
      <c r="O43" s="2052"/>
      <c r="P43" s="2052"/>
      <c r="Q43" s="2090"/>
      <c r="R43" s="2088">
        <f>ROUND(O43*N43*P43*(1-Q43)/10000,0)</f>
        <v>0</v>
      </c>
      <c r="S43" s="2000"/>
      <c r="T43" s="2000"/>
      <c r="V43" s="1934"/>
      <c r="W43" s="2098"/>
    </row>
    <row r="44" spans="1:23" ht="13.15" customHeight="1">
      <c r="J44" s="2072">
        <v>6</v>
      </c>
      <c r="K44" s="2073" t="s">
        <v>2176</v>
      </c>
      <c r="L44" s="2077" t="s">
        <v>2177</v>
      </c>
      <c r="M44" s="2075"/>
      <c r="N44" s="2077" t="s">
        <v>2178</v>
      </c>
      <c r="O44" s="2075"/>
      <c r="P44" s="2077" t="s">
        <v>2179</v>
      </c>
      <c r="Q44" s="2092">
        <v>1.4999999999999999E-2</v>
      </c>
      <c r="R44" s="209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A48"/>
  <sheetViews>
    <sheetView zoomScale="80" zoomScaleNormal="80" workbookViewId="0">
      <selection activeCell="A14" sqref="A14"/>
    </sheetView>
  </sheetViews>
  <sheetFormatPr defaultColWidth="9" defaultRowHeight="14.25"/>
  <cols>
    <col min="1" max="1" width="84" style="1175" customWidth="1"/>
    <col min="2" max="16384" width="9" style="1175"/>
  </cols>
  <sheetData>
    <row r="1" spans="1:1" ht="23.25">
      <c r="A1" s="3210" t="s">
        <v>82</v>
      </c>
    </row>
    <row r="3" spans="1:1" ht="18">
      <c r="A3" s="3211" t="str">
        <f>项目基本情况!B5&amp;"："</f>
        <v>：</v>
      </c>
    </row>
    <row r="4" spans="1:1" ht="18">
      <c r="A4" s="3212" t="str">
        <f>"受贵公司委托，我公司对"&amp;项目基本情况!S1&amp;"进行了预评估。"</f>
        <v>受贵公司委托，我公司对北京市房地产抵押价值进行了预评估。</v>
      </c>
    </row>
    <row r="5" spans="1:1" ht="18.75">
      <c r="A5" s="3213" t="s">
        <v>83</v>
      </c>
    </row>
    <row r="6" spans="1:1" ht="18.75">
      <c r="A6" s="3214" t="s">
        <v>84</v>
      </c>
    </row>
    <row r="7" spans="1:1" ht="54">
      <c r="A7" s="32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估价对象为北京市房地产，为所有。根据《国有土地使用证》[]，估价对象（分摊）出让国有建设用地使用权面积为12590.6平方米，建筑面积为65221.92平方米。</v>
      </c>
    </row>
    <row r="8" spans="1:1" ht="57.75">
      <c r="A8" s="3215" t="s">
        <v>85</v>
      </c>
    </row>
    <row r="9" spans="1:1" ht="18.75">
      <c r="A9" s="3214" t="s">
        <v>86</v>
      </c>
    </row>
    <row r="10" spans="1:1" ht="54">
      <c r="A10" s="32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估价对象为北京市房地产,属开发建设的，该项目尚在开发建设中。根据《国有土地使用证》[]，估价对象（分摊）出让国有建设用地使用权面积为12590.6平方米，规划建筑面积为65221.92平方米。</v>
      </c>
    </row>
    <row r="11" spans="1:1" ht="76.5">
      <c r="A11" s="3215" t="s">
        <v>87</v>
      </c>
    </row>
    <row r="12" spans="1:1" ht="18.75">
      <c r="A12" s="3213" t="s">
        <v>88</v>
      </c>
    </row>
    <row r="13" spans="1:1" ht="38.25" customHeight="1">
      <c r="A13" s="32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11" t="s">
        <v>89</v>
      </c>
    </row>
    <row r="15" spans="1:1" ht="18">
      <c r="A15" s="3216" t="str">
        <f>TEXT(项目基本情况!D3,"yyyy年m月d日;;")&amp;IF(项目基本情况!D3=项目基本情况!B3,"（评估专业人员实地查勘之日）","")</f>
        <v>2025年8月13日（评估专业人员实地查勘之日）</v>
      </c>
    </row>
    <row r="16" spans="1:1" ht="18.75">
      <c r="A16" s="3211" t="s">
        <v>90</v>
      </c>
    </row>
    <row r="17" spans="1:1" ht="75">
      <c r="A17" s="3212" t="s">
        <v>91</v>
      </c>
    </row>
    <row r="18" spans="1:1" ht="54">
      <c r="A18" s="32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2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12" t="str">
        <f>IF(项目基本情况!B9="房地产市场价值","——",IF(项目基本情况!E9="——","",定义!C57))</f>
        <v/>
      </c>
    </row>
    <row r="23" spans="1:1" ht="18.75">
      <c r="A23" s="3211" t="s">
        <v>92</v>
      </c>
    </row>
    <row r="24" spans="1:1" ht="18">
      <c r="A24" s="3186" t="str">
        <f>"本次评估采用的主估价方法为"&amp;结果表!K4&amp;"和"&amp;结果表!L4&amp;"。"</f>
        <v>本次评估采用的主估价方法为比较法和收益法。</v>
      </c>
    </row>
    <row r="25" spans="1:1" ht="18">
      <c r="A25" s="3186"/>
    </row>
    <row r="26" spans="1:1" ht="18.75">
      <c r="A26" s="3217" t="s">
        <v>93</v>
      </c>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row r="38" spans="1:1">
      <c r="A38" s="1792"/>
    </row>
    <row r="39" spans="1:1">
      <c r="A39" s="1792"/>
    </row>
    <row r="40" spans="1:1">
      <c r="A40" s="1792"/>
    </row>
    <row r="41" spans="1:1">
      <c r="A41" s="1792"/>
    </row>
    <row r="42" spans="1:1">
      <c r="A42" s="1792"/>
    </row>
    <row r="43" spans="1:1">
      <c r="A43" s="1792"/>
    </row>
    <row r="44" spans="1:1">
      <c r="A44" s="1792"/>
    </row>
    <row r="45" spans="1:1">
      <c r="A45" s="1792"/>
    </row>
    <row r="46" spans="1:1">
      <c r="A46" s="1792"/>
    </row>
    <row r="47" spans="1:1">
      <c r="A47" s="1792"/>
    </row>
    <row r="48" spans="1:1">
      <c r="A48" s="1792"/>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A1:V31"/>
  <sheetViews>
    <sheetView view="pageBreakPreview" zoomScaleNormal="100" workbookViewId="0">
      <selection activeCell="G38" sqref="G38"/>
    </sheetView>
  </sheetViews>
  <sheetFormatPr defaultColWidth="9" defaultRowHeight="14.25"/>
  <cols>
    <col min="1" max="1" width="23.625" style="1175" customWidth="1"/>
    <col min="2" max="2" width="12" style="1175" customWidth="1"/>
    <col min="3" max="3" width="9" style="1175"/>
    <col min="4" max="4" width="14.125" style="1175" customWidth="1"/>
    <col min="5" max="5" width="9" style="1175"/>
    <col min="6" max="6" width="12.875" style="1175" customWidth="1"/>
    <col min="7" max="16384" width="9" style="1175"/>
  </cols>
  <sheetData>
    <row r="1" spans="1:22" ht="21">
      <c r="A1" s="1176" t="s">
        <v>2190</v>
      </c>
      <c r="B1" s="685"/>
      <c r="C1" s="685"/>
      <c r="D1" s="685"/>
      <c r="E1" s="1911"/>
      <c r="F1" s="1912"/>
      <c r="G1" s="1792"/>
      <c r="H1" s="1792"/>
      <c r="I1" s="1792"/>
      <c r="J1" s="1792"/>
      <c r="K1" s="1792"/>
      <c r="L1" s="1792"/>
      <c r="M1" s="1792"/>
      <c r="N1" s="1792"/>
      <c r="O1" s="1792"/>
      <c r="P1" s="1792"/>
      <c r="Q1" s="1792"/>
      <c r="R1" s="1792"/>
      <c r="S1" s="1792"/>
    </row>
    <row r="2" spans="1:22" ht="15.75">
      <c r="A2" s="1913" t="s">
        <v>1648</v>
      </c>
      <c r="B2" s="713">
        <f ca="1">SUMIF(B6:B13,"&lt;&gt;#ref!",B6:B13)</f>
        <v>212122</v>
      </c>
      <c r="C2" s="1914" t="s">
        <v>2191</v>
      </c>
      <c r="D2" s="1915" t="s">
        <v>2192</v>
      </c>
      <c r="E2" s="1916">
        <f>SUM(E6:E13)</f>
        <v>65221.919999999998</v>
      </c>
      <c r="F2" s="1912"/>
      <c r="G2" s="1792"/>
      <c r="H2" s="1792"/>
      <c r="I2" s="1792"/>
      <c r="J2" s="1792"/>
      <c r="K2" s="1792"/>
      <c r="L2" s="1792"/>
      <c r="M2" s="1792"/>
      <c r="N2" s="1792"/>
      <c r="O2" s="1792"/>
      <c r="P2" s="1792"/>
      <c r="Q2" s="1792"/>
      <c r="R2" s="1792"/>
      <c r="S2" s="1792"/>
    </row>
    <row r="3" spans="1:22" ht="15.75">
      <c r="A3" s="1913" t="s">
        <v>1650</v>
      </c>
      <c r="B3" s="1917">
        <f ca="1">ROUND(B2*10000/E2,0)</f>
        <v>32523</v>
      </c>
      <c r="C3" s="1914" t="s">
        <v>2193</v>
      </c>
      <c r="D3" s="1912"/>
      <c r="E3" s="1918"/>
      <c r="F3" s="1912"/>
      <c r="G3" s="1792"/>
      <c r="H3" s="1792"/>
      <c r="I3" s="1792"/>
      <c r="J3" s="1792"/>
      <c r="K3" s="1792"/>
      <c r="L3" s="1792"/>
      <c r="M3" s="1792"/>
      <c r="N3" s="1792"/>
      <c r="O3" s="1792"/>
      <c r="P3" s="1792"/>
      <c r="Q3" s="1792"/>
      <c r="R3" s="1792"/>
      <c r="S3" s="1792"/>
    </row>
    <row r="4" spans="1:22" ht="15.75">
      <c r="A4" s="1919"/>
      <c r="B4" s="1912"/>
      <c r="C4" s="1912"/>
      <c r="D4" s="1912"/>
      <c r="E4" s="1918"/>
      <c r="F4" s="1912"/>
      <c r="G4" s="1792"/>
      <c r="H4" s="1792"/>
      <c r="I4" s="1792"/>
      <c r="J4" s="1792"/>
      <c r="K4" s="1792"/>
      <c r="L4" s="1792"/>
      <c r="M4" s="1792"/>
      <c r="N4" s="1792"/>
      <c r="O4" s="1792"/>
      <c r="P4" s="1792"/>
      <c r="Q4" s="1792"/>
      <c r="R4" s="1792"/>
      <c r="S4" s="1792"/>
    </row>
    <row r="5" spans="1:22" ht="15">
      <c r="A5" s="1920" t="s">
        <v>2194</v>
      </c>
      <c r="B5" s="3505" t="s">
        <v>2195</v>
      </c>
      <c r="C5" s="3506"/>
      <c r="D5" s="1922"/>
      <c r="E5" s="1921" t="s">
        <v>2196</v>
      </c>
      <c r="F5" s="1877" t="s">
        <v>2197</v>
      </c>
      <c r="G5" s="1792"/>
      <c r="H5" s="1792"/>
      <c r="I5" s="1792"/>
      <c r="J5" s="1792"/>
      <c r="K5" s="1792"/>
      <c r="L5" s="1792"/>
      <c r="M5" s="1792"/>
      <c r="N5" s="1792"/>
      <c r="O5" s="1792"/>
      <c r="P5" s="1792"/>
      <c r="Q5" s="1792"/>
      <c r="R5" s="1792"/>
      <c r="S5" s="1792"/>
    </row>
    <row r="6" spans="1:22">
      <c r="A6" s="1923" t="str">
        <f>'数据-取费表'!AN6</f>
        <v>办公-收益法</v>
      </c>
      <c r="B6" s="1179">
        <f ca="1">IF(F6="是",'数据-取费表'!AO6,0)</f>
        <v>205142</v>
      </c>
      <c r="C6" s="1914" t="s">
        <v>2191</v>
      </c>
      <c r="D6" s="1912"/>
      <c r="E6" s="1924">
        <f>IF(OR(A6=0,F6="否"),0,'数据-取费表'!K6+'数据-取费表'!S6)</f>
        <v>54383.33</v>
      </c>
      <c r="F6" s="1925" t="s">
        <v>2198</v>
      </c>
      <c r="G6" s="1792"/>
      <c r="H6" s="1792">
        <f ca="1">'办公-收益法'!C5</f>
        <v>16639</v>
      </c>
      <c r="I6" s="1792"/>
      <c r="J6" s="1792"/>
      <c r="K6" s="1792"/>
      <c r="L6" s="1792"/>
      <c r="M6" s="1792"/>
      <c r="N6" s="1792"/>
      <c r="O6" s="1792"/>
      <c r="P6" s="1792"/>
      <c r="Q6" s="1792"/>
      <c r="R6" s="1792"/>
      <c r="S6" s="1792"/>
    </row>
    <row r="7" spans="1:22">
      <c r="A7" s="1923" t="str">
        <f>'数据-取费表'!AN7</f>
        <v>车库-收益法</v>
      </c>
      <c r="B7" s="1179">
        <f ca="1">IF(F7="是",'数据-取费表'!AO7,0)</f>
        <v>6980</v>
      </c>
      <c r="C7" s="1914" t="s">
        <v>2191</v>
      </c>
      <c r="D7" s="1912"/>
      <c r="E7" s="1924">
        <f>IF(OR(A7=0,F7="否"),0,'数据-取费表'!K7+'数据-取费表'!S7)</f>
        <v>10838.59</v>
      </c>
      <c r="F7" s="1925" t="s">
        <v>2198</v>
      </c>
      <c r="G7" s="1792"/>
      <c r="H7" s="1792">
        <f ca="1">'车库-收益法'!C5</f>
        <v>565</v>
      </c>
      <c r="I7" s="1792"/>
      <c r="J7" s="1792"/>
      <c r="K7" s="1792"/>
      <c r="L7" s="1792"/>
      <c r="M7" s="1792"/>
      <c r="N7" s="1792"/>
      <c r="O7" s="1792"/>
      <c r="P7" s="1792"/>
      <c r="Q7" s="1792"/>
      <c r="R7" s="1792"/>
      <c r="S7" s="1792"/>
    </row>
    <row r="8" spans="1:22">
      <c r="A8" s="1923">
        <f>'数据-取费表'!AN8</f>
        <v>0</v>
      </c>
      <c r="B8" s="1179" t="e">
        <f ca="1">IF(F8="是",'数据-取费表'!AO8,0)</f>
        <v>#REF!</v>
      </c>
      <c r="C8" s="1914" t="s">
        <v>2191</v>
      </c>
      <c r="D8" s="1912"/>
      <c r="E8" s="1924">
        <f>IF(OR(A8=0,F8="否"),0,'数据-取费表'!K8+'数据-取费表'!S8)</f>
        <v>0</v>
      </c>
      <c r="F8" s="1925" t="s">
        <v>2198</v>
      </c>
      <c r="G8" s="1792"/>
      <c r="H8" s="1792"/>
      <c r="I8" s="1792"/>
      <c r="J8" s="1792"/>
      <c r="K8" s="1792"/>
      <c r="L8" s="1792"/>
      <c r="M8" s="1792"/>
      <c r="N8" s="1792"/>
      <c r="O8" s="1792"/>
      <c r="P8" s="1792"/>
      <c r="Q8" s="1792"/>
      <c r="R8" s="1792"/>
      <c r="S8" s="1792"/>
    </row>
    <row r="9" spans="1:22">
      <c r="A9" s="1923">
        <f>'数据-取费表'!AN9</f>
        <v>0</v>
      </c>
      <c r="B9" s="1179" t="e">
        <f ca="1">IF(F9="是",'数据-取费表'!AO9,0)</f>
        <v>#REF!</v>
      </c>
      <c r="C9" s="1914" t="s">
        <v>2191</v>
      </c>
      <c r="D9" s="1912"/>
      <c r="E9" s="1924">
        <f>IF(OR(A9=0,F9="否"),0,'数据-取费表'!K9+'数据-取费表'!S9)</f>
        <v>0</v>
      </c>
      <c r="F9" s="1925" t="s">
        <v>2198</v>
      </c>
      <c r="G9" s="1792"/>
      <c r="H9" s="1792"/>
      <c r="I9" s="1792"/>
      <c r="J9" s="1792"/>
      <c r="K9" s="1792"/>
      <c r="L9" s="1792"/>
      <c r="M9" s="1792"/>
      <c r="N9" s="1792"/>
      <c r="O9" s="1792"/>
      <c r="P9" s="1792"/>
      <c r="Q9" s="1792"/>
      <c r="R9" s="1792"/>
      <c r="S9" s="1792"/>
    </row>
    <row r="10" spans="1:22">
      <c r="A10" s="1923">
        <f>'数据-取费表'!AN10</f>
        <v>0</v>
      </c>
      <c r="B10" s="1179" t="e">
        <f ca="1">IF(F10="是",'数据-取费表'!AO10,0)</f>
        <v>#REF!</v>
      </c>
      <c r="C10" s="1914" t="s">
        <v>2191</v>
      </c>
      <c r="D10" s="1912"/>
      <c r="E10" s="1924">
        <f>IF(OR(A10=0,F10="否"),0,'数据-取费表'!K10+'数据-取费表'!S10)</f>
        <v>0</v>
      </c>
      <c r="F10" s="1925" t="s">
        <v>2198</v>
      </c>
      <c r="G10" s="1792"/>
      <c r="H10" s="1792"/>
      <c r="I10" s="1792"/>
      <c r="J10" s="1792"/>
      <c r="K10" s="1792"/>
      <c r="L10" s="1792"/>
      <c r="M10" s="1792"/>
      <c r="N10" s="1792"/>
      <c r="O10" s="1792"/>
      <c r="P10" s="1792"/>
      <c r="Q10" s="1792"/>
      <c r="R10" s="1792"/>
      <c r="S10" s="1792"/>
    </row>
    <row r="11" spans="1:22">
      <c r="A11" s="1923">
        <f>'数据-取费表'!AN11</f>
        <v>0</v>
      </c>
      <c r="B11" s="1179" t="e">
        <f ca="1">IF(F11="是",'数据-取费表'!AO11,0)</f>
        <v>#REF!</v>
      </c>
      <c r="C11" s="1914" t="s">
        <v>2191</v>
      </c>
      <c r="D11" s="1912"/>
      <c r="E11" s="1924">
        <f>IF(OR(A11=0,F11="否"),0,'数据-取费表'!K11+'数据-取费表'!S11)</f>
        <v>0</v>
      </c>
      <c r="F11" s="1925" t="s">
        <v>2198</v>
      </c>
      <c r="G11" s="1792"/>
      <c r="H11" s="1792"/>
      <c r="I11" s="1792"/>
      <c r="J11" s="1792"/>
      <c r="K11" s="1792"/>
      <c r="L11" s="1792"/>
      <c r="M11" s="1792"/>
      <c r="N11" s="1792"/>
      <c r="O11" s="1792"/>
      <c r="P11" s="1792"/>
      <c r="Q11" s="1792"/>
      <c r="R11" s="1792"/>
      <c r="S11" s="1792"/>
    </row>
    <row r="12" spans="1:22">
      <c r="A12" s="1923">
        <f>'数据-取费表'!AN12</f>
        <v>0</v>
      </c>
      <c r="B12" s="1179" t="e">
        <f ca="1">IF(F12="是",'数据-取费表'!AO12,0)</f>
        <v>#REF!</v>
      </c>
      <c r="C12" s="1914" t="s">
        <v>2191</v>
      </c>
      <c r="D12" s="1912"/>
      <c r="E12" s="1924">
        <f>IF(OR(A12=0,F12="否"),0,'数据-取费表'!K12+'数据-取费表'!S12)</f>
        <v>0</v>
      </c>
      <c r="F12" s="1925" t="s">
        <v>2198</v>
      </c>
      <c r="G12" s="1792"/>
      <c r="H12" s="1792"/>
      <c r="I12" s="1792"/>
      <c r="J12" s="1792"/>
      <c r="K12" s="1792"/>
      <c r="L12" s="1792"/>
      <c r="M12" s="1792"/>
      <c r="N12" s="1792"/>
      <c r="O12" s="1792"/>
      <c r="P12" s="1792"/>
      <c r="Q12" s="1792"/>
      <c r="R12" s="1792"/>
      <c r="S12" s="1792"/>
    </row>
    <row r="13" spans="1:22">
      <c r="A13" s="1926">
        <f>'数据-取费表'!AN13</f>
        <v>0</v>
      </c>
      <c r="B13" s="1179" t="e">
        <f ca="1">IF(F13="是",'数据-取费表'!AO13,0)</f>
        <v>#REF!</v>
      </c>
      <c r="C13" s="1927" t="s">
        <v>2191</v>
      </c>
      <c r="D13" s="1928"/>
      <c r="E13" s="1924">
        <f>IF(OR(A13=0,F13="否"),0,'数据-取费表'!K13+'数据-取费表'!S13)</f>
        <v>0</v>
      </c>
      <c r="F13" s="1925" t="s">
        <v>2198</v>
      </c>
      <c r="G13" s="1792"/>
      <c r="H13" s="1792"/>
      <c r="I13" s="1792"/>
      <c r="J13" s="1792"/>
      <c r="K13" s="1792"/>
      <c r="L13" s="1792"/>
      <c r="M13" s="1792"/>
      <c r="N13" s="1792"/>
      <c r="O13" s="1792"/>
      <c r="P13" s="1792"/>
      <c r="Q13" s="1792"/>
      <c r="R13" s="1792"/>
      <c r="S13" s="1792"/>
    </row>
    <row r="14" spans="1:22">
      <c r="A14" s="1792"/>
      <c r="B14" s="1792"/>
      <c r="C14" s="1792"/>
      <c r="D14" s="1792"/>
      <c r="E14" s="1792"/>
      <c r="F14" s="1792"/>
      <c r="G14" s="1792"/>
      <c r="H14" s="1792"/>
      <c r="I14" s="1792"/>
      <c r="J14" s="1792"/>
      <c r="K14" s="1792"/>
      <c r="L14" s="1792"/>
      <c r="M14" s="1792"/>
      <c r="N14" s="1792"/>
      <c r="O14" s="1792"/>
      <c r="P14" s="1792"/>
      <c r="Q14" s="1792"/>
      <c r="R14" s="1792"/>
      <c r="S14" s="1792"/>
      <c r="T14" s="1792"/>
      <c r="U14" s="1792"/>
      <c r="V14" s="1792"/>
    </row>
    <row r="15" spans="1:22">
      <c r="A15" s="1792"/>
      <c r="B15" s="1792"/>
      <c r="C15" s="1792"/>
      <c r="D15" s="1792"/>
      <c r="E15" s="1792"/>
      <c r="F15" s="1792"/>
      <c r="G15" s="1792"/>
      <c r="H15" s="1792"/>
      <c r="I15" s="1792"/>
      <c r="J15" s="1792"/>
      <c r="K15" s="1792"/>
      <c r="L15" s="1792"/>
      <c r="M15" s="1792"/>
      <c r="N15" s="1792"/>
      <c r="O15" s="1792"/>
      <c r="P15" s="1792"/>
      <c r="Q15" s="1792"/>
      <c r="R15" s="1792"/>
      <c r="S15" s="1792"/>
      <c r="T15" s="1792"/>
      <c r="U15" s="1792"/>
      <c r="V15" s="1792"/>
    </row>
    <row r="16" spans="1:22">
      <c r="A16" s="1792"/>
      <c r="B16" s="1792"/>
      <c r="C16" s="1792"/>
      <c r="D16" s="1792"/>
      <c r="E16" s="1792"/>
      <c r="F16" s="1792"/>
      <c r="G16" s="1792"/>
      <c r="H16" s="1792"/>
      <c r="I16" s="1792"/>
      <c r="J16" s="1792"/>
      <c r="K16" s="1792"/>
      <c r="L16" s="1792"/>
      <c r="M16" s="1792"/>
      <c r="N16" s="1792"/>
      <c r="O16" s="1792"/>
      <c r="P16" s="1792"/>
      <c r="Q16" s="1792"/>
      <c r="R16" s="1792"/>
      <c r="S16" s="1792"/>
      <c r="T16" s="1792"/>
      <c r="U16" s="1792"/>
      <c r="V16" s="1792"/>
    </row>
    <row r="17" spans="1:22">
      <c r="A17" s="1792"/>
      <c r="B17" s="1792"/>
      <c r="C17" s="1792"/>
      <c r="D17" s="1792"/>
      <c r="E17" s="1792"/>
      <c r="F17" s="1792"/>
      <c r="G17" s="1792"/>
      <c r="H17" s="1792"/>
      <c r="I17" s="1792"/>
      <c r="J17" s="1792"/>
      <c r="K17" s="1792"/>
      <c r="L17" s="1792"/>
      <c r="M17" s="1792"/>
      <c r="N17" s="1792"/>
      <c r="O17" s="1792"/>
      <c r="P17" s="1792"/>
      <c r="Q17" s="1792"/>
      <c r="R17" s="1792"/>
      <c r="S17" s="1792"/>
      <c r="T17" s="1792"/>
      <c r="U17" s="1792"/>
      <c r="V17" s="1792"/>
    </row>
    <row r="18" spans="1:22">
      <c r="A18" s="1792"/>
      <c r="B18" s="1792"/>
      <c r="C18" s="1792"/>
      <c r="D18" s="1792"/>
      <c r="E18" s="1792"/>
      <c r="F18" s="1792"/>
      <c r="G18" s="1792"/>
      <c r="H18" s="1792"/>
      <c r="I18" s="1792"/>
      <c r="J18" s="1792"/>
      <c r="K18" s="1792"/>
      <c r="L18" s="1792"/>
      <c r="M18" s="1792"/>
      <c r="N18" s="1792"/>
      <c r="O18" s="1792"/>
      <c r="P18" s="1792"/>
      <c r="Q18" s="1792"/>
      <c r="R18" s="1792"/>
      <c r="S18" s="1792"/>
      <c r="T18" s="1792"/>
      <c r="U18" s="1792"/>
      <c r="V18" s="1792"/>
    </row>
    <row r="19" spans="1:22">
      <c r="A19" s="1792"/>
      <c r="B19" s="1792"/>
      <c r="C19" s="1792"/>
      <c r="D19" s="1792"/>
      <c r="E19" s="1792"/>
      <c r="F19" s="1792"/>
      <c r="G19" s="1792"/>
      <c r="H19" s="1792"/>
      <c r="I19" s="1792"/>
      <c r="J19" s="1792"/>
      <c r="K19" s="1792"/>
      <c r="L19" s="1792"/>
      <c r="M19" s="1792"/>
      <c r="N19" s="1792"/>
      <c r="O19" s="1792"/>
      <c r="P19" s="1792"/>
      <c r="Q19" s="1792"/>
      <c r="R19" s="1792"/>
      <c r="S19" s="1792"/>
      <c r="T19" s="1792"/>
      <c r="U19" s="1792"/>
      <c r="V19" s="1792"/>
    </row>
    <row r="20" spans="1:22">
      <c r="A20" s="1792"/>
      <c r="B20" s="1792"/>
      <c r="C20" s="1792"/>
      <c r="D20" s="1792"/>
      <c r="E20" s="1792"/>
      <c r="F20" s="1792"/>
      <c r="G20" s="1792"/>
      <c r="H20" s="1792"/>
      <c r="I20" s="1792"/>
      <c r="J20" s="1792"/>
      <c r="K20" s="1792"/>
      <c r="L20" s="1792"/>
      <c r="M20" s="1792"/>
      <c r="N20" s="1792"/>
      <c r="O20" s="1792"/>
      <c r="P20" s="1792"/>
      <c r="Q20" s="1792"/>
      <c r="R20" s="1792"/>
      <c r="S20" s="1792"/>
      <c r="T20" s="1792"/>
      <c r="U20" s="1792"/>
      <c r="V20" s="1792"/>
    </row>
    <row r="21" spans="1:22">
      <c r="A21" s="1792"/>
      <c r="B21" s="1792"/>
      <c r="C21" s="1792"/>
      <c r="D21" s="1792"/>
      <c r="E21" s="1792"/>
      <c r="F21" s="1792"/>
      <c r="G21" s="1792"/>
      <c r="H21" s="1792"/>
      <c r="I21" s="1792"/>
      <c r="J21" s="1792"/>
      <c r="K21" s="1792"/>
      <c r="L21" s="1792"/>
      <c r="M21" s="1792"/>
      <c r="N21" s="1792"/>
      <c r="O21" s="1792"/>
      <c r="P21" s="1792"/>
      <c r="Q21" s="1792"/>
      <c r="R21" s="1792"/>
      <c r="S21" s="1792"/>
      <c r="T21" s="1792"/>
      <c r="U21" s="1792"/>
      <c r="V21" s="1792"/>
    </row>
    <row r="22" spans="1:22">
      <c r="A22" s="1792"/>
      <c r="B22" s="1792"/>
      <c r="C22" s="1792"/>
      <c r="D22" s="1792"/>
      <c r="E22" s="1792"/>
      <c r="F22" s="1792"/>
      <c r="G22" s="1792"/>
      <c r="H22" s="1792"/>
      <c r="I22" s="1792"/>
      <c r="J22" s="1792"/>
      <c r="K22" s="1792"/>
      <c r="L22" s="1792"/>
      <c r="M22" s="1792"/>
      <c r="N22" s="1792"/>
      <c r="O22" s="1792"/>
      <c r="P22" s="1792"/>
      <c r="Q22" s="1792"/>
      <c r="R22" s="1792"/>
      <c r="S22" s="1792"/>
      <c r="T22" s="1792"/>
      <c r="U22" s="1792"/>
      <c r="V22" s="1792"/>
    </row>
    <row r="23" spans="1:22">
      <c r="A23" s="1792"/>
      <c r="B23" s="1792"/>
      <c r="C23" s="1792"/>
      <c r="D23" s="1792"/>
      <c r="E23" s="1792"/>
      <c r="F23" s="1792"/>
      <c r="G23" s="1792"/>
      <c r="H23" s="1792"/>
      <c r="I23" s="1792"/>
      <c r="J23" s="1792"/>
      <c r="K23" s="1792"/>
      <c r="L23" s="1792"/>
      <c r="M23" s="1792"/>
      <c r="N23" s="1792"/>
      <c r="O23" s="1792"/>
      <c r="P23" s="1792"/>
      <c r="Q23" s="1792"/>
      <c r="R23" s="1792"/>
      <c r="S23" s="1792"/>
      <c r="T23" s="1792"/>
      <c r="U23" s="1792"/>
      <c r="V23" s="1792"/>
    </row>
    <row r="24" spans="1:22">
      <c r="A24" s="1792"/>
      <c r="B24" s="1792"/>
      <c r="C24" s="1792"/>
      <c r="D24" s="1792"/>
      <c r="E24" s="1792"/>
      <c r="F24" s="1792"/>
      <c r="G24" s="1792"/>
      <c r="H24" s="1792"/>
      <c r="I24" s="1792"/>
      <c r="J24" s="1792"/>
      <c r="K24" s="1792"/>
      <c r="L24" s="1792"/>
      <c r="M24" s="1792"/>
      <c r="N24" s="1792"/>
      <c r="O24" s="1792"/>
      <c r="P24" s="1792"/>
      <c r="Q24" s="1792"/>
      <c r="R24" s="1792"/>
      <c r="S24" s="1792"/>
      <c r="T24" s="1792"/>
      <c r="U24" s="1792"/>
      <c r="V24" s="1792"/>
    </row>
    <row r="25" spans="1:22">
      <c r="A25" s="1792"/>
      <c r="B25" s="1792"/>
      <c r="C25" s="1792"/>
      <c r="D25" s="1792"/>
      <c r="E25" s="1792"/>
      <c r="F25" s="1792"/>
      <c r="G25" s="1792"/>
      <c r="H25" s="1792"/>
      <c r="I25" s="1792"/>
      <c r="J25" s="1792"/>
      <c r="K25" s="1792"/>
      <c r="L25" s="1792"/>
      <c r="M25" s="1792"/>
      <c r="N25" s="1792"/>
      <c r="O25" s="1792"/>
      <c r="P25" s="1792"/>
      <c r="Q25" s="1792"/>
      <c r="R25" s="1792"/>
      <c r="S25" s="1792"/>
      <c r="T25" s="1792"/>
      <c r="U25" s="1792"/>
      <c r="V25" s="1792"/>
    </row>
    <row r="26" spans="1:22">
      <c r="A26" s="1792"/>
      <c r="B26" s="1792"/>
      <c r="C26" s="1792"/>
      <c r="D26" s="1792"/>
      <c r="E26" s="1792"/>
      <c r="F26" s="1792"/>
      <c r="G26" s="1792"/>
      <c r="H26" s="1792"/>
      <c r="I26" s="1792"/>
      <c r="J26" s="1792"/>
      <c r="K26" s="1792"/>
      <c r="L26" s="1792"/>
      <c r="M26" s="1792"/>
      <c r="N26" s="1792"/>
      <c r="O26" s="1792"/>
      <c r="P26" s="1792"/>
      <c r="Q26" s="1792"/>
      <c r="R26" s="1792"/>
      <c r="S26" s="1792"/>
      <c r="T26" s="1792"/>
      <c r="U26" s="1792"/>
      <c r="V26" s="1792"/>
    </row>
    <row r="27" spans="1:22">
      <c r="A27" s="1792"/>
      <c r="B27" s="1792"/>
      <c r="C27" s="1792"/>
      <c r="D27" s="1792"/>
      <c r="E27" s="1792"/>
      <c r="F27" s="1792"/>
      <c r="G27" s="1792"/>
      <c r="H27" s="1792"/>
      <c r="I27" s="1792"/>
      <c r="J27" s="1792"/>
      <c r="K27" s="1792"/>
      <c r="L27" s="1792"/>
      <c r="M27" s="1792"/>
      <c r="N27" s="1792"/>
      <c r="O27" s="1792"/>
      <c r="P27" s="1792"/>
      <c r="Q27" s="1792"/>
      <c r="R27" s="1792"/>
      <c r="S27" s="1792"/>
      <c r="T27" s="1792"/>
      <c r="U27" s="1792"/>
      <c r="V27" s="1792"/>
    </row>
    <row r="28" spans="1:22">
      <c r="A28" s="1792"/>
      <c r="B28" s="1792"/>
      <c r="C28" s="1792"/>
      <c r="D28" s="1792"/>
      <c r="E28" s="1792"/>
      <c r="F28" s="1792"/>
      <c r="G28" s="1792"/>
      <c r="H28" s="1792"/>
      <c r="I28" s="1792"/>
      <c r="J28" s="1792"/>
      <c r="K28" s="1792"/>
      <c r="L28" s="1792"/>
      <c r="M28" s="1792"/>
      <c r="N28" s="1792"/>
      <c r="O28" s="1792"/>
      <c r="P28" s="1792"/>
      <c r="Q28" s="1792"/>
      <c r="R28" s="1792"/>
      <c r="S28" s="1792"/>
      <c r="T28" s="1792"/>
      <c r="U28" s="1792"/>
      <c r="V28" s="1792"/>
    </row>
    <row r="29" spans="1:22">
      <c r="A29" s="1792"/>
      <c r="B29" s="1792"/>
      <c r="C29" s="1792"/>
      <c r="D29" s="1792"/>
      <c r="E29" s="1792"/>
      <c r="F29" s="1792"/>
      <c r="G29" s="1792"/>
      <c r="H29" s="1792"/>
      <c r="I29" s="1792"/>
      <c r="J29" s="1792"/>
      <c r="K29" s="1792"/>
      <c r="L29" s="1792"/>
      <c r="M29" s="1792"/>
      <c r="N29" s="1792"/>
      <c r="O29" s="1792"/>
      <c r="P29" s="1792"/>
      <c r="Q29" s="1792"/>
      <c r="R29" s="1792"/>
      <c r="S29" s="1792"/>
      <c r="T29" s="1792"/>
      <c r="U29" s="1792"/>
      <c r="V29" s="1792"/>
    </row>
    <row r="30" spans="1:22">
      <c r="A30" s="1792"/>
      <c r="B30" s="1792"/>
      <c r="C30" s="1792"/>
      <c r="D30" s="1792"/>
      <c r="E30" s="1792"/>
      <c r="F30" s="1792"/>
      <c r="G30" s="1792"/>
      <c r="H30" s="1792"/>
      <c r="I30" s="1792"/>
      <c r="J30" s="1792"/>
      <c r="K30" s="1792"/>
      <c r="L30" s="1792"/>
      <c r="M30" s="1792"/>
      <c r="N30" s="1792"/>
      <c r="O30" s="1792"/>
      <c r="P30" s="1792"/>
      <c r="Q30" s="1792"/>
      <c r="R30" s="1792"/>
      <c r="S30" s="1792"/>
      <c r="T30" s="1792"/>
      <c r="U30" s="1792"/>
      <c r="V30" s="1792"/>
    </row>
    <row r="31" spans="1:22">
      <c r="A31" s="1792"/>
      <c r="B31" s="1792"/>
      <c r="C31" s="1792"/>
      <c r="D31" s="1792"/>
      <c r="E31" s="1792"/>
      <c r="F31" s="1792"/>
      <c r="G31" s="1792"/>
      <c r="H31" s="1792"/>
      <c r="I31" s="1792"/>
      <c r="J31" s="1792"/>
      <c r="K31" s="1792"/>
      <c r="L31" s="1792"/>
      <c r="M31" s="1792"/>
      <c r="N31" s="1792"/>
      <c r="O31" s="1792"/>
      <c r="P31" s="1792"/>
      <c r="Q31" s="1792"/>
      <c r="R31" s="1792"/>
      <c r="S31" s="1792"/>
      <c r="T31" s="1792"/>
      <c r="U31" s="1792"/>
      <c r="V31" s="1792"/>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299" customWidth="1"/>
    <col min="2" max="3" width="15.75" style="1299" customWidth="1"/>
    <col min="4" max="4" width="12.25" style="1299" customWidth="1"/>
    <col min="5" max="5" width="17.125" style="1299" customWidth="1"/>
    <col min="6" max="6" width="12.25" style="1299" customWidth="1"/>
    <col min="7" max="7" width="16.5" style="1299" customWidth="1"/>
    <col min="8" max="8" width="12.25" style="1299" customWidth="1"/>
    <col min="9" max="9" width="15.62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1642</v>
      </c>
      <c r="B1" s="1804" t="s">
        <v>2199</v>
      </c>
      <c r="C1" s="1696" t="s">
        <v>1644</v>
      </c>
      <c r="D1" s="1655"/>
      <c r="E1" s="1805"/>
      <c r="F1" s="1657"/>
      <c r="G1" s="1658" t="s">
        <v>1647</v>
      </c>
      <c r="H1" s="1659"/>
      <c r="I1" s="1659"/>
      <c r="J1" s="1659"/>
      <c r="K1" s="1694"/>
      <c r="L1" s="1695"/>
      <c r="M1" s="1696"/>
      <c r="N1" s="1696"/>
      <c r="O1" s="1696"/>
      <c r="P1" s="1841"/>
      <c r="Q1" s="1654"/>
      <c r="R1" s="1654"/>
      <c r="S1" s="1654"/>
      <c r="T1" s="1654"/>
      <c r="U1" s="1654"/>
      <c r="V1" s="1654"/>
      <c r="W1" s="1654"/>
      <c r="X1" s="1654"/>
      <c r="Y1" s="1654"/>
      <c r="Z1" s="1654"/>
      <c r="AA1" s="1654"/>
      <c r="AB1" s="1654"/>
      <c r="AC1" s="1701"/>
    </row>
    <row r="2" spans="1:29" s="1829" customFormat="1" ht="28.5" customHeight="1">
      <c r="A2" s="1660" t="s">
        <v>1648</v>
      </c>
      <c r="B2" s="1830"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1649</v>
      </c>
      <c r="F2" s="1664"/>
      <c r="G2" s="1621"/>
      <c r="H2" s="1621"/>
      <c r="I2" s="1621"/>
      <c r="J2" s="1621"/>
      <c r="K2" s="1842"/>
      <c r="L2" s="1843"/>
      <c r="M2" s="1844"/>
      <c r="N2" s="1844"/>
      <c r="O2" s="1844"/>
      <c r="P2" s="1845"/>
      <c r="Q2" s="1863"/>
      <c r="R2" s="1863"/>
      <c r="S2" s="1863"/>
      <c r="T2" s="1863"/>
      <c r="U2" s="1863"/>
      <c r="V2" s="1863"/>
      <c r="W2" s="1863"/>
      <c r="X2" s="1863"/>
      <c r="Y2" s="1863"/>
      <c r="Z2" s="1863"/>
      <c r="AA2" s="1863"/>
      <c r="AB2" s="1863"/>
      <c r="AC2" s="1864"/>
    </row>
    <row r="3" spans="1:29" s="1829" customFormat="1" ht="28.5" customHeight="1">
      <c r="A3" s="346" t="s">
        <v>1650</v>
      </c>
      <c r="B3" s="1666">
        <f>IF(C2="——",C49,ROUND(B2*10000/D3,0))</f>
        <v>0</v>
      </c>
      <c r="C3" s="1665" t="s">
        <v>1651</v>
      </c>
      <c r="D3" s="1666">
        <f>IF(D1="",'数据-汇总表'!E3,SUMIF('数据-汇总表'!$C19:$C33,D1,'数据-汇总表'!$E19:$E33))</f>
        <v>65221.919999999998</v>
      </c>
      <c r="E3" s="1621"/>
      <c r="F3" s="1831"/>
      <c r="G3" s="1621"/>
      <c r="H3" s="1621"/>
      <c r="I3" s="1621"/>
      <c r="J3" s="1621"/>
      <c r="K3" s="1842"/>
      <c r="L3" s="1843"/>
      <c r="M3" s="1844"/>
      <c r="N3" s="1844"/>
      <c r="O3" s="1844"/>
      <c r="P3" s="1845"/>
      <c r="Q3" s="1863"/>
      <c r="R3" s="1863"/>
      <c r="S3" s="1863"/>
      <c r="T3" s="1863"/>
      <c r="U3" s="1863"/>
      <c r="V3" s="1863"/>
      <c r="W3" s="1863"/>
      <c r="X3" s="1863"/>
      <c r="Y3" s="1863"/>
      <c r="Z3" s="1863"/>
      <c r="AA3" s="1863"/>
      <c r="AB3" s="1863"/>
      <c r="AC3" s="1864"/>
    </row>
    <row r="4" spans="1:29" ht="15">
      <c r="A4" s="1312" t="s">
        <v>1652</v>
      </c>
      <c r="B4" s="1313"/>
      <c r="C4" s="3469" t="s">
        <v>1653</v>
      </c>
      <c r="D4" s="3470"/>
      <c r="E4" s="3471" t="s">
        <v>1654</v>
      </c>
      <c r="F4" s="3472"/>
      <c r="G4" s="3469" t="s">
        <v>1655</v>
      </c>
      <c r="H4" s="3470"/>
      <c r="I4" s="3469" t="s">
        <v>1656</v>
      </c>
      <c r="J4" s="3470"/>
      <c r="K4" s="1846" t="s">
        <v>1657</v>
      </c>
      <c r="L4" s="1458"/>
      <c r="M4" s="1409"/>
      <c r="N4" s="1409"/>
      <c r="O4" s="1409"/>
      <c r="P4" s="3508" t="s">
        <v>1658</v>
      </c>
      <c r="Q4" s="3509"/>
      <c r="R4" s="3512" t="s">
        <v>1654</v>
      </c>
      <c r="S4" s="3513"/>
      <c r="T4" s="3512" t="s">
        <v>1655</v>
      </c>
      <c r="U4" s="3513"/>
      <c r="V4" s="3446" t="s">
        <v>1656</v>
      </c>
      <c r="W4" s="3446"/>
      <c r="X4" s="1506"/>
      <c r="Y4" s="3512" t="s">
        <v>1658</v>
      </c>
      <c r="Z4" s="3513"/>
      <c r="AA4" s="3507" t="s">
        <v>1654</v>
      </c>
      <c r="AB4" s="3507" t="s">
        <v>1655</v>
      </c>
      <c r="AC4" s="3507" t="s">
        <v>1656</v>
      </c>
    </row>
    <row r="5" spans="1:29" ht="15">
      <c r="A5" s="1316"/>
      <c r="B5" s="1317"/>
      <c r="C5" s="3473" t="s">
        <v>1659</v>
      </c>
      <c r="D5" s="3474"/>
      <c r="E5" s="3475" t="s">
        <v>2200</v>
      </c>
      <c r="F5" s="3476"/>
      <c r="G5" s="3473" t="s">
        <v>2201</v>
      </c>
      <c r="H5" s="3474"/>
      <c r="I5" s="3473" t="s">
        <v>2202</v>
      </c>
      <c r="J5" s="3474"/>
      <c r="K5" s="1847"/>
      <c r="L5" s="1458"/>
      <c r="M5" s="1409"/>
      <c r="N5" s="1409"/>
      <c r="O5" s="1409"/>
      <c r="P5" s="3510"/>
      <c r="Q5" s="3436"/>
      <c r="R5" s="3441"/>
      <c r="S5" s="3442"/>
      <c r="T5" s="3441"/>
      <c r="U5" s="3442"/>
      <c r="V5" s="3446"/>
      <c r="W5" s="3446"/>
      <c r="X5" s="1506"/>
      <c r="Y5" s="3441"/>
      <c r="Z5" s="3442"/>
      <c r="AA5" s="3428"/>
      <c r="AB5" s="3428"/>
      <c r="AC5" s="3428"/>
    </row>
    <row r="6" spans="1:29" ht="15">
      <c r="A6" s="1318"/>
      <c r="B6" s="1319"/>
      <c r="C6" s="3464" t="s">
        <v>1660</v>
      </c>
      <c r="D6" s="3465"/>
      <c r="E6" s="3466" t="s">
        <v>1660</v>
      </c>
      <c r="F6" s="3467"/>
      <c r="G6" s="3464" t="s">
        <v>1660</v>
      </c>
      <c r="H6" s="3465"/>
      <c r="I6" s="3464" t="s">
        <v>1660</v>
      </c>
      <c r="J6" s="3465"/>
      <c r="K6" s="1847" t="s">
        <v>1661</v>
      </c>
      <c r="L6" s="1458"/>
      <c r="M6" s="1409"/>
      <c r="N6" s="1409"/>
      <c r="O6" s="1409"/>
      <c r="P6" s="3511"/>
      <c r="Q6" s="3438"/>
      <c r="R6" s="3441"/>
      <c r="S6" s="3442"/>
      <c r="T6" s="3443"/>
      <c r="U6" s="3444"/>
      <c r="V6" s="3446"/>
      <c r="W6" s="3446"/>
      <c r="X6" s="1506"/>
      <c r="Y6" s="3443"/>
      <c r="Z6" s="3444"/>
      <c r="AA6" s="3429"/>
      <c r="AB6" s="3429"/>
      <c r="AC6" s="3429"/>
    </row>
    <row r="7" spans="1:29" s="1293" customFormat="1" ht="15">
      <c r="A7" s="1321" t="s">
        <v>1662</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848"/>
      <c r="L7" s="1463"/>
      <c r="M7" s="1464"/>
      <c r="N7" s="1464"/>
      <c r="O7" s="1464"/>
      <c r="P7" s="3452" t="s">
        <v>1663</v>
      </c>
      <c r="Q7" s="3468"/>
      <c r="R7" s="1507" t="s">
        <v>1664</v>
      </c>
      <c r="S7" s="1508">
        <f t="shared" ref="S7:S15" si="0">F7</f>
        <v>0</v>
      </c>
      <c r="T7" s="1507" t="s">
        <v>1664</v>
      </c>
      <c r="U7" s="1508">
        <f t="shared" ref="U7:U15" si="1">H7</f>
        <v>0</v>
      </c>
      <c r="V7" s="1507" t="s">
        <v>1664</v>
      </c>
      <c r="W7" s="1508">
        <f t="shared" ref="W7:W15" si="2">J7</f>
        <v>0</v>
      </c>
      <c r="X7" s="1509"/>
      <c r="Y7" s="3452" t="s">
        <v>1663</v>
      </c>
      <c r="Z7" s="3453"/>
      <c r="AA7" s="1518" t="e">
        <f>D7/F7</f>
        <v>#DIV/0!</v>
      </c>
      <c r="AB7" s="1518" t="e">
        <f>D7/H7</f>
        <v>#DIV/0!</v>
      </c>
      <c r="AC7" s="1518" t="e">
        <f>D7/J7</f>
        <v>#DIV/0!</v>
      </c>
    </row>
    <row r="8" spans="1:29" s="1293" customFormat="1" ht="15">
      <c r="A8" s="1321" t="s">
        <v>1665</v>
      </c>
      <c r="B8" s="1322"/>
      <c r="C8" s="1328"/>
      <c r="D8" s="1324">
        <v>100</v>
      </c>
      <c r="E8" s="1832"/>
      <c r="F8" s="1326">
        <f>SUMIF(61:61,E8,62:62)-SUMIF(61:61,C8,62:62)+100</f>
        <v>100</v>
      </c>
      <c r="G8" s="1328"/>
      <c r="H8" s="1324">
        <f>SUMIF(61:61,G8,62:62)-SUMIF(61:61,C8,62:62)+100</f>
        <v>100</v>
      </c>
      <c r="I8" s="1832"/>
      <c r="J8" s="1324">
        <f>SUMIF(61:61,I8,62:62)-SUMIF(61:61,C8,62:62)+100</f>
        <v>100</v>
      </c>
      <c r="K8" s="1848"/>
      <c r="L8" s="1463"/>
      <c r="M8" s="1464"/>
      <c r="N8" s="1464"/>
      <c r="O8" s="1464"/>
      <c r="P8" s="3452" t="s">
        <v>1667</v>
      </c>
      <c r="Q8" s="3453"/>
      <c r="R8" s="1507" t="s">
        <v>1664</v>
      </c>
      <c r="S8" s="1508">
        <f t="shared" si="0"/>
        <v>100</v>
      </c>
      <c r="T8" s="1507" t="s">
        <v>1664</v>
      </c>
      <c r="U8" s="1508">
        <f t="shared" si="1"/>
        <v>100</v>
      </c>
      <c r="V8" s="1507" t="s">
        <v>1664</v>
      </c>
      <c r="W8" s="1508">
        <f t="shared" si="2"/>
        <v>100</v>
      </c>
      <c r="X8" s="1509"/>
      <c r="Y8" s="3452" t="s">
        <v>1667</v>
      </c>
      <c r="Z8" s="3453"/>
      <c r="AA8" s="1518">
        <f t="shared" ref="AA8:AA19" si="3">D8/F8</f>
        <v>1</v>
      </c>
      <c r="AB8" s="1518">
        <f t="shared" ref="AB8:AB19" si="4">D8/H8</f>
        <v>1</v>
      </c>
      <c r="AC8" s="1518">
        <f t="shared" ref="AC8:AC19" si="5">D8/J8</f>
        <v>1</v>
      </c>
    </row>
    <row r="9" spans="1:29" s="1293" customFormat="1">
      <c r="A9" s="1329" t="s">
        <v>1668</v>
      </c>
      <c r="B9" s="1330" t="s">
        <v>1669</v>
      </c>
      <c r="C9" s="1667"/>
      <c r="D9" s="1332">
        <v>100</v>
      </c>
      <c r="E9" s="1718"/>
      <c r="F9" s="1330">
        <f>SUMIF(63:63,E9,64:64)-SUMIF(63:63,C9,64:64)+100</f>
        <v>100</v>
      </c>
      <c r="G9" s="1668"/>
      <c r="H9" s="1332">
        <f>SUMIF(63:63,G9,64:64)-SUMIF(63:63,C9,64:64)+100</f>
        <v>100</v>
      </c>
      <c r="I9" s="1668"/>
      <c r="J9" s="1332">
        <f>SUMIF(63:63,I9,64:64)-SUMIF(63:63,C9,64:64)+100</f>
        <v>100</v>
      </c>
      <c r="K9" s="1848"/>
      <c r="L9" s="1463"/>
      <c r="M9" s="1464"/>
      <c r="N9" s="1464"/>
      <c r="O9" s="1464"/>
      <c r="P9" s="3447" t="s">
        <v>1670</v>
      </c>
      <c r="Q9" s="794" t="str">
        <f t="shared" ref="Q9:Q15" si="6">B9</f>
        <v>用途</v>
      </c>
      <c r="R9" s="1507" t="s">
        <v>1664</v>
      </c>
      <c r="S9" s="1508">
        <f t="shared" si="0"/>
        <v>100</v>
      </c>
      <c r="T9" s="1507" t="s">
        <v>1664</v>
      </c>
      <c r="U9" s="1508">
        <f t="shared" si="1"/>
        <v>100</v>
      </c>
      <c r="V9" s="1507" t="s">
        <v>1664</v>
      </c>
      <c r="W9" s="1508">
        <f t="shared" si="2"/>
        <v>100</v>
      </c>
      <c r="X9" s="1509"/>
      <c r="Y9" s="3342" t="s">
        <v>1671</v>
      </c>
      <c r="Z9" s="1518" t="str">
        <f t="shared" ref="Z9:Z15" si="7">Q9</f>
        <v>用途</v>
      </c>
      <c r="AA9" s="1518">
        <f t="shared" si="3"/>
        <v>1</v>
      </c>
      <c r="AB9" s="1518">
        <f t="shared" si="4"/>
        <v>1</v>
      </c>
      <c r="AC9" s="1518">
        <f t="shared" si="5"/>
        <v>1</v>
      </c>
    </row>
    <row r="10" spans="1:29" s="1294" customFormat="1" ht="27">
      <c r="A10" s="1333"/>
      <c r="B10" s="1334" t="s">
        <v>1672</v>
      </c>
      <c r="C10" s="1669"/>
      <c r="D10" s="1336">
        <v>100</v>
      </c>
      <c r="E10" s="1721"/>
      <c r="F10" s="1334">
        <f>SUMIF(65:65,E10,66:66)-SUMIF(65:65,C10,66:66)+100</f>
        <v>100</v>
      </c>
      <c r="G10" s="1669"/>
      <c r="H10" s="1336">
        <f>SUMIF(65:65,G10,66:66)-SUMIF(65:65,C10,66:66)+100</f>
        <v>100</v>
      </c>
      <c r="I10" s="1669"/>
      <c r="J10" s="1336">
        <f>SUMIF(65:65,I10,66:66)-SUMIF(65:65,C10,66:66)+100</f>
        <v>100</v>
      </c>
      <c r="K10" s="1848"/>
      <c r="L10" s="1468"/>
      <c r="M10" s="1469"/>
      <c r="N10" s="1469"/>
      <c r="O10" s="1469"/>
      <c r="P10" s="3447"/>
      <c r="Q10" s="794" t="str">
        <f t="shared" si="6"/>
        <v>土地使用年限（年）</v>
      </c>
      <c r="R10" s="1507" t="s">
        <v>1664</v>
      </c>
      <c r="S10" s="1508">
        <f t="shared" si="0"/>
        <v>100</v>
      </c>
      <c r="T10" s="1507" t="s">
        <v>1664</v>
      </c>
      <c r="U10" s="1508">
        <f t="shared" si="1"/>
        <v>100</v>
      </c>
      <c r="V10" s="1507" t="s">
        <v>1664</v>
      </c>
      <c r="W10" s="1508">
        <f t="shared" si="2"/>
        <v>100</v>
      </c>
      <c r="X10" s="1509"/>
      <c r="Y10" s="3342"/>
      <c r="Z10" s="1518" t="str">
        <f t="shared" si="7"/>
        <v>土地使用年限（年）</v>
      </c>
      <c r="AA10" s="1518">
        <f t="shared" si="3"/>
        <v>1</v>
      </c>
      <c r="AB10" s="1518">
        <f t="shared" si="4"/>
        <v>1</v>
      </c>
      <c r="AC10" s="1518">
        <f t="shared" si="5"/>
        <v>1</v>
      </c>
    </row>
    <row r="11" spans="1:29" ht="15">
      <c r="A11" s="1337"/>
      <c r="B11" s="1334" t="s">
        <v>1675</v>
      </c>
      <c r="C11" s="1338"/>
      <c r="D11" s="1336">
        <v>100</v>
      </c>
      <c r="E11" s="1339"/>
      <c r="F11" s="1334" t="e">
        <f>LOOKUP(E11,68:68,69:69)-LOOKUP(C11,68:68,69:69)+100</f>
        <v>#N/A</v>
      </c>
      <c r="G11" s="1338"/>
      <c r="H11" s="1336" t="e">
        <f>LOOKUP(G11,68:68,69:69)-LOOKUP(C11,68:68,69:69)+100</f>
        <v>#N/A</v>
      </c>
      <c r="I11" s="1338"/>
      <c r="J11" s="1336" t="e">
        <f>LOOKUP(I11,68:68,69:69)-LOOKUP(C11,68:68,69:69)+100</f>
        <v>#N/A</v>
      </c>
      <c r="K11" s="1849"/>
      <c r="L11" s="1472"/>
      <c r="M11" s="1409"/>
      <c r="N11" s="1409"/>
      <c r="O11" s="1409"/>
      <c r="P11" s="3447"/>
      <c r="Q11" s="794" t="str">
        <f t="shared" si="6"/>
        <v>容积率</v>
      </c>
      <c r="R11" s="1507" t="s">
        <v>1664</v>
      </c>
      <c r="S11" s="1508" t="e">
        <f t="shared" si="0"/>
        <v>#N/A</v>
      </c>
      <c r="T11" s="1507" t="s">
        <v>1664</v>
      </c>
      <c r="U11" s="1508" t="e">
        <f t="shared" si="1"/>
        <v>#N/A</v>
      </c>
      <c r="V11" s="1507" t="s">
        <v>1664</v>
      </c>
      <c r="W11" s="1508" t="e">
        <f t="shared" si="2"/>
        <v>#N/A</v>
      </c>
      <c r="X11" s="1509"/>
      <c r="Y11" s="3342"/>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35"/>
      <c r="F12" s="1334">
        <f>SUMIF(70:70,E12,71:71)-SUMIF(70:70,C12,71:71)+100</f>
        <v>100</v>
      </c>
      <c r="G12" s="1335"/>
      <c r="H12" s="1336">
        <f>SUMIF(70:70,G12,71:71)-SUMIF(70:70,C12,71:71)+100</f>
        <v>100</v>
      </c>
      <c r="I12" s="1335"/>
      <c r="J12" s="1336">
        <f>SUMIF(70:70,I12,71:71)-SUMIF(70:70,C12,71:71)+100</f>
        <v>100</v>
      </c>
      <c r="K12" s="1850"/>
      <c r="L12" s="1463"/>
      <c r="M12" s="1464"/>
      <c r="N12" s="1464"/>
      <c r="O12" s="1464"/>
      <c r="P12" s="3447"/>
      <c r="Q12" s="794">
        <f t="shared" si="6"/>
        <v>111</v>
      </c>
      <c r="R12" s="1507" t="s">
        <v>1664</v>
      </c>
      <c r="S12" s="1508">
        <f t="shared" si="0"/>
        <v>100</v>
      </c>
      <c r="T12" s="1507" t="s">
        <v>1664</v>
      </c>
      <c r="U12" s="1508">
        <f t="shared" si="1"/>
        <v>100</v>
      </c>
      <c r="V12" s="1507" t="s">
        <v>1664</v>
      </c>
      <c r="W12" s="1508">
        <f t="shared" si="2"/>
        <v>100</v>
      </c>
      <c r="X12" s="1509"/>
      <c r="Y12" s="3342"/>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850"/>
      <c r="L13" s="1474"/>
      <c r="M13" s="1409"/>
      <c r="N13" s="1409"/>
      <c r="O13" s="1409"/>
      <c r="P13" s="3447"/>
      <c r="Q13" s="794">
        <f t="shared" si="6"/>
        <v>111</v>
      </c>
      <c r="R13" s="1507" t="s">
        <v>1664</v>
      </c>
      <c r="S13" s="1508">
        <f t="shared" si="0"/>
        <v>100</v>
      </c>
      <c r="T13" s="1507" t="s">
        <v>1664</v>
      </c>
      <c r="U13" s="1508">
        <f t="shared" si="1"/>
        <v>100</v>
      </c>
      <c r="V13" s="1507" t="s">
        <v>1664</v>
      </c>
      <c r="W13" s="1508">
        <f t="shared" si="2"/>
        <v>100</v>
      </c>
      <c r="X13" s="1509"/>
      <c r="Y13" s="3342"/>
      <c r="Z13" s="1518">
        <f t="shared" si="7"/>
        <v>111</v>
      </c>
      <c r="AA13" s="1518">
        <f t="shared" si="3"/>
        <v>1</v>
      </c>
      <c r="AB13" s="1518">
        <f t="shared" si="4"/>
        <v>1</v>
      </c>
      <c r="AC13" s="1518">
        <f t="shared" si="5"/>
        <v>1</v>
      </c>
    </row>
    <row r="14" spans="1:29" ht="15">
      <c r="A14" s="1346"/>
      <c r="B14" s="1347">
        <v>111</v>
      </c>
      <c r="C14" s="1348"/>
      <c r="D14" s="1349">
        <v>100</v>
      </c>
      <c r="E14" s="1348"/>
      <c r="F14" s="1682">
        <f>SUMIF(74:74,E14,75:75)-SUMIF(74:74,C14,75:75)+100</f>
        <v>100</v>
      </c>
      <c r="G14" s="1348"/>
      <c r="H14" s="1349">
        <f>SUMIF(74:74,G14,75:75)-SUMIF(74:74,C14,75:75)+100</f>
        <v>100</v>
      </c>
      <c r="I14" s="1348"/>
      <c r="J14" s="1349">
        <f>SUMIF(74:74,I14,75:75)-SUMIF(74:74,C14,75:75)+100</f>
        <v>100</v>
      </c>
      <c r="K14" s="1850"/>
      <c r="L14" s="1474"/>
      <c r="M14" s="1409"/>
      <c r="N14" s="1409"/>
      <c r="O14" s="1409"/>
      <c r="P14" s="3447"/>
      <c r="Q14" s="794">
        <f t="shared" si="6"/>
        <v>111</v>
      </c>
      <c r="R14" s="1507" t="s">
        <v>1664</v>
      </c>
      <c r="S14" s="1508">
        <f t="shared" si="0"/>
        <v>100</v>
      </c>
      <c r="T14" s="1507" t="s">
        <v>1664</v>
      </c>
      <c r="U14" s="1508">
        <f t="shared" si="1"/>
        <v>100</v>
      </c>
      <c r="V14" s="1507" t="s">
        <v>1664</v>
      </c>
      <c r="W14" s="1508">
        <f t="shared" si="2"/>
        <v>100</v>
      </c>
      <c r="X14" s="1509"/>
      <c r="Y14" s="3342"/>
      <c r="Z14" s="1518">
        <f t="shared" si="7"/>
        <v>111</v>
      </c>
      <c r="AA14" s="1518">
        <f t="shared" si="3"/>
        <v>1</v>
      </c>
      <c r="AB14" s="1518">
        <f t="shared" si="4"/>
        <v>1</v>
      </c>
      <c r="AC14" s="1518">
        <f t="shared" si="5"/>
        <v>1</v>
      </c>
    </row>
    <row r="15" spans="1:29" ht="15">
      <c r="A15" s="1350" t="s">
        <v>1676</v>
      </c>
      <c r="B15" s="1624" t="s">
        <v>2203</v>
      </c>
      <c r="C15" s="1625">
        <f>估价对象房地状况!C3</f>
        <v>0</v>
      </c>
      <c r="D15" s="1353">
        <v>100</v>
      </c>
      <c r="E15" s="1475"/>
      <c r="F15" s="1353">
        <f>SUMIF(76:76,E16,77:77)-SUMIF(76:76,C16,77:77)+100</f>
        <v>100</v>
      </c>
      <c r="G15" s="1354"/>
      <c r="H15" s="1353">
        <f>SUMIF(76:76,G16,77:77)-SUMIF(76:76,C16,77:77)+100</f>
        <v>100</v>
      </c>
      <c r="I15" s="1354"/>
      <c r="J15" s="1353">
        <f>SUMIF(76:76,I16,77:77)-SUMIF(76:76,C16,77:77)+100</f>
        <v>100</v>
      </c>
      <c r="K15" s="1851"/>
      <c r="L15" s="1474"/>
      <c r="M15" s="1409"/>
      <c r="N15" s="1409"/>
      <c r="O15" s="1409"/>
      <c r="P15" s="3455" t="s">
        <v>1678</v>
      </c>
      <c r="Q15" s="625" t="str">
        <f t="shared" si="6"/>
        <v>居住社区成熟度</v>
      </c>
      <c r="R15" s="1511" t="s">
        <v>1664</v>
      </c>
      <c r="S15" s="1512">
        <f t="shared" si="0"/>
        <v>100</v>
      </c>
      <c r="T15" s="1511" t="s">
        <v>1664</v>
      </c>
      <c r="U15" s="1512">
        <f t="shared" si="1"/>
        <v>100</v>
      </c>
      <c r="V15" s="1511" t="s">
        <v>1664</v>
      </c>
      <c r="W15" s="1512">
        <f t="shared" si="2"/>
        <v>100</v>
      </c>
      <c r="X15" s="1506"/>
      <c r="Y15" s="3460" t="s">
        <v>1678</v>
      </c>
      <c r="Z15" s="1495" t="str">
        <f t="shared" si="7"/>
        <v>居住社区成熟度</v>
      </c>
      <c r="AA15" s="1495">
        <f t="shared" si="3"/>
        <v>1</v>
      </c>
      <c r="AB15" s="1495">
        <f t="shared" si="4"/>
        <v>1</v>
      </c>
      <c r="AC15" s="1495">
        <f t="shared" si="5"/>
        <v>1</v>
      </c>
    </row>
    <row r="16" spans="1:29" ht="15">
      <c r="A16" s="1337"/>
      <c r="B16" s="1448"/>
      <c r="C16" s="1356"/>
      <c r="D16" s="1357"/>
      <c r="E16" s="1478"/>
      <c r="F16" s="1357"/>
      <c r="G16" s="1365"/>
      <c r="H16" s="1359"/>
      <c r="I16" s="1365"/>
      <c r="J16" s="1357"/>
      <c r="K16" s="1852"/>
      <c r="L16" s="1474"/>
      <c r="M16" s="1409"/>
      <c r="N16" s="1409"/>
      <c r="O16" s="1409"/>
      <c r="P16" s="3456"/>
      <c r="Q16" s="625"/>
      <c r="R16" s="1511"/>
      <c r="S16" s="1512"/>
      <c r="T16" s="1511"/>
      <c r="U16" s="1512"/>
      <c r="V16" s="1511"/>
      <c r="W16" s="1512"/>
      <c r="X16" s="1506"/>
      <c r="Y16" s="3461"/>
      <c r="Z16" s="1495"/>
      <c r="AA16" s="1495">
        <v>1</v>
      </c>
      <c r="AB16" s="1495">
        <v>1</v>
      </c>
      <c r="AC16" s="1495">
        <v>1</v>
      </c>
    </row>
    <row r="17" spans="1:29" ht="15">
      <c r="A17" s="1337"/>
      <c r="B17" s="1626" t="s">
        <v>1682</v>
      </c>
      <c r="C17" s="1361">
        <f>估价对象房地状况!C6</f>
        <v>0</v>
      </c>
      <c r="D17" s="1359">
        <v>100</v>
      </c>
      <c r="E17" s="1477"/>
      <c r="F17" s="1359">
        <f>SUMIF(78:78,E18,79:79)-SUMIF(78:78,C18,79:79)+100</f>
        <v>100</v>
      </c>
      <c r="G17" s="1362"/>
      <c r="H17" s="1363">
        <f>SUMIF(78:78,G18,79:79)-SUMIF(78:78,C18,79:79)+100</f>
        <v>100</v>
      </c>
      <c r="I17" s="1362"/>
      <c r="J17" s="1363">
        <f>SUMIF(78:78,I18,79:79)-SUMIF(78:78,C18,79:79)+100</f>
        <v>100</v>
      </c>
      <c r="K17" s="1851"/>
      <c r="L17" s="1474"/>
      <c r="M17" s="1409"/>
      <c r="N17" s="1409"/>
      <c r="O17" s="1409"/>
      <c r="P17" s="3456"/>
      <c r="Q17" s="625" t="str">
        <f>B17</f>
        <v>交通便捷度</v>
      </c>
      <c r="R17" s="1511" t="s">
        <v>1664</v>
      </c>
      <c r="S17" s="1512">
        <f>F17</f>
        <v>100</v>
      </c>
      <c r="T17" s="1511" t="s">
        <v>1664</v>
      </c>
      <c r="U17" s="1512">
        <f>H17</f>
        <v>100</v>
      </c>
      <c r="V17" s="1511" t="s">
        <v>1664</v>
      </c>
      <c r="W17" s="1512">
        <f>J17</f>
        <v>100</v>
      </c>
      <c r="X17" s="1506"/>
      <c r="Y17" s="3461"/>
      <c r="Z17" s="1495" t="str">
        <f>Q17</f>
        <v>交通便捷度</v>
      </c>
      <c r="AA17" s="1495">
        <f t="shared" si="3"/>
        <v>1</v>
      </c>
      <c r="AB17" s="1495">
        <f t="shared" si="4"/>
        <v>1</v>
      </c>
      <c r="AC17" s="1495">
        <f t="shared" si="5"/>
        <v>1</v>
      </c>
    </row>
    <row r="18" spans="1:29" ht="15">
      <c r="A18" s="1337"/>
      <c r="B18" s="1383"/>
      <c r="C18" s="1627"/>
      <c r="D18" s="1359"/>
      <c r="E18" s="1635"/>
      <c r="F18" s="1359"/>
      <c r="G18" s="1628"/>
      <c r="H18" s="1357"/>
      <c r="I18" s="1628"/>
      <c r="J18" s="1357"/>
      <c r="K18" s="1852"/>
      <c r="L18" s="1474"/>
      <c r="M18" s="1409"/>
      <c r="N18" s="1409"/>
      <c r="O18" s="1409"/>
      <c r="P18" s="3456"/>
      <c r="Q18" s="625"/>
      <c r="R18" s="1511"/>
      <c r="S18" s="1512"/>
      <c r="T18" s="1511"/>
      <c r="U18" s="1512"/>
      <c r="V18" s="1511"/>
      <c r="W18" s="1512"/>
      <c r="X18" s="1506"/>
      <c r="Y18" s="3461"/>
      <c r="Z18" s="1495"/>
      <c r="AA18" s="1495">
        <v>1</v>
      </c>
      <c r="AB18" s="1495">
        <v>1</v>
      </c>
      <c r="AC18" s="1495">
        <v>1</v>
      </c>
    </row>
    <row r="19" spans="1:29" ht="15">
      <c r="A19" s="1337"/>
      <c r="B19" s="1626" t="s">
        <v>1683</v>
      </c>
      <c r="C19" s="1361">
        <f>估价对象房地状况!C7</f>
        <v>0</v>
      </c>
      <c r="D19" s="1363">
        <v>100</v>
      </c>
      <c r="E19" s="1636"/>
      <c r="F19" s="1363">
        <f>SUMIF(80:80,E20,81:81)-SUMIF(80:80,C20,81:81)+100</f>
        <v>100</v>
      </c>
      <c r="G19" s="1629"/>
      <c r="H19" s="1359">
        <f>SUMIF(80:80,G20,81:81)-SUMIF(80:80,C20,81:81)+100</f>
        <v>100</v>
      </c>
      <c r="I19" s="1629"/>
      <c r="J19" s="1359">
        <f>SUMIF(80:80,I20,81:81)-SUMIF(80:80,C20,81:81)+100</f>
        <v>100</v>
      </c>
      <c r="K19" s="1851"/>
      <c r="L19" s="1474"/>
      <c r="M19" s="1409"/>
      <c r="N19" s="1409"/>
      <c r="O19" s="1409"/>
      <c r="P19" s="3456"/>
      <c r="Q19" s="625" t="str">
        <f>B19</f>
        <v>公共配套设施</v>
      </c>
      <c r="R19" s="1511" t="s">
        <v>1664</v>
      </c>
      <c r="S19" s="1512">
        <f>F19</f>
        <v>100</v>
      </c>
      <c r="T19" s="1511" t="s">
        <v>1664</v>
      </c>
      <c r="U19" s="1512">
        <f>H19</f>
        <v>100</v>
      </c>
      <c r="V19" s="1511" t="s">
        <v>1664</v>
      </c>
      <c r="W19" s="1512">
        <f>J19</f>
        <v>100</v>
      </c>
      <c r="X19" s="1506"/>
      <c r="Y19" s="3461"/>
      <c r="Z19" s="1495" t="str">
        <f>Q19</f>
        <v>公共配套设施</v>
      </c>
      <c r="AA19" s="1495">
        <f t="shared" si="3"/>
        <v>1</v>
      </c>
      <c r="AB19" s="1495">
        <f t="shared" si="4"/>
        <v>1</v>
      </c>
      <c r="AC19" s="1495">
        <f t="shared" si="5"/>
        <v>1</v>
      </c>
    </row>
    <row r="20" spans="1:29" ht="15">
      <c r="A20" s="1337"/>
      <c r="B20" s="1383"/>
      <c r="C20" s="1356"/>
      <c r="D20" s="1357"/>
      <c r="E20" s="1478"/>
      <c r="F20" s="1357"/>
      <c r="G20" s="1365"/>
      <c r="H20" s="1357"/>
      <c r="I20" s="1365"/>
      <c r="J20" s="1357"/>
      <c r="K20" s="1852"/>
      <c r="L20" s="1474"/>
      <c r="M20" s="1409"/>
      <c r="N20" s="1409"/>
      <c r="O20" s="1409"/>
      <c r="P20" s="3456"/>
      <c r="Q20" s="625"/>
      <c r="R20" s="1511"/>
      <c r="S20" s="1512"/>
      <c r="T20" s="1511"/>
      <c r="U20" s="1512"/>
      <c r="V20" s="1511"/>
      <c r="W20" s="1512"/>
      <c r="X20" s="1506"/>
      <c r="Y20" s="3461"/>
      <c r="Z20" s="1495"/>
      <c r="AA20" s="1495">
        <v>1</v>
      </c>
      <c r="AB20" s="1495">
        <v>1</v>
      </c>
      <c r="AC20" s="1495">
        <v>1</v>
      </c>
    </row>
    <row r="21" spans="1:29" ht="15">
      <c r="A21" s="1337"/>
      <c r="B21" s="1630" t="s">
        <v>1684</v>
      </c>
      <c r="C21" s="1361">
        <f>估价对象房地状况!C8</f>
        <v>0</v>
      </c>
      <c r="D21" s="1359">
        <v>100</v>
      </c>
      <c r="E21" s="1636"/>
      <c r="F21" s="1363">
        <f>SUMIF(82:82,E22,83:83)-SUMIF(82:82,C22,83:83)+100</f>
        <v>100</v>
      </c>
      <c r="G21" s="1629"/>
      <c r="H21" s="1359">
        <f>SUMIF(82:82,G22,83:83)-SUMIF(82:82,C22,83:83)+100</f>
        <v>100</v>
      </c>
      <c r="I21" s="1629"/>
      <c r="J21" s="1359">
        <f>SUMIF(82:82,I22,83:83)-SUMIF(82:82,C22,83:83)+100</f>
        <v>100</v>
      </c>
      <c r="K21" s="1851"/>
      <c r="L21" s="1474"/>
      <c r="M21" s="1409"/>
      <c r="N21" s="1409"/>
      <c r="O21" s="1409"/>
      <c r="P21" s="3456"/>
      <c r="Q21" s="625" t="str">
        <f>B21</f>
        <v>基础设施水平</v>
      </c>
      <c r="R21" s="1511" t="s">
        <v>1664</v>
      </c>
      <c r="S21" s="1512">
        <f>F21</f>
        <v>100</v>
      </c>
      <c r="T21" s="1511" t="s">
        <v>1664</v>
      </c>
      <c r="U21" s="1512">
        <f>H21</f>
        <v>100</v>
      </c>
      <c r="V21" s="1511" t="s">
        <v>1664</v>
      </c>
      <c r="W21" s="1512">
        <f>J21</f>
        <v>100</v>
      </c>
      <c r="X21" s="1506"/>
      <c r="Y21" s="3461"/>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357"/>
      <c r="G22" s="1358"/>
      <c r="H22" s="1357"/>
      <c r="I22" s="1356"/>
      <c r="J22" s="1357"/>
      <c r="K22" s="1853"/>
      <c r="L22" s="1474"/>
      <c r="M22" s="1409"/>
      <c r="N22" s="1409"/>
      <c r="O22" s="1409"/>
      <c r="P22" s="3456"/>
      <c r="Q22" s="625"/>
      <c r="R22" s="1511"/>
      <c r="S22" s="1512"/>
      <c r="T22" s="1511"/>
      <c r="U22" s="1512"/>
      <c r="V22" s="1511"/>
      <c r="W22" s="1512"/>
      <c r="X22" s="1506"/>
      <c r="Y22" s="3461"/>
      <c r="Z22" s="1495"/>
      <c r="AA22" s="1495">
        <v>1</v>
      </c>
      <c r="AB22" s="1495">
        <v>1</v>
      </c>
      <c r="AC22" s="1495">
        <v>1</v>
      </c>
    </row>
    <row r="23" spans="1:29" ht="15">
      <c r="A23" s="1337"/>
      <c r="B23" s="1626" t="s">
        <v>2204</v>
      </c>
      <c r="C23" s="1361">
        <f>估价对象房地状况!C9</f>
        <v>0</v>
      </c>
      <c r="D23" s="1359">
        <v>100</v>
      </c>
      <c r="E23" s="1477"/>
      <c r="F23" s="1359">
        <f>SUMIF(84:84,E24,85:85)-SUMIF(84:84,C24,85:85)+100</f>
        <v>100</v>
      </c>
      <c r="G23" s="1362"/>
      <c r="H23" s="1359">
        <f>SUMIF(84:84,G24,85:85)-SUMIF(84:84,C24,85:85)+100</f>
        <v>100</v>
      </c>
      <c r="I23" s="1362"/>
      <c r="J23" s="1359">
        <f>SUMIF(84:84,I24,85:85)-SUMIF(84:84,C24,85:85)+100</f>
        <v>100</v>
      </c>
      <c r="K23" s="1851"/>
      <c r="L23" s="1474"/>
      <c r="M23" s="1409"/>
      <c r="N23" s="1409"/>
      <c r="O23" s="1409"/>
      <c r="P23" s="3456"/>
      <c r="Q23" s="625" t="str">
        <f>B23</f>
        <v>自然及人文环境</v>
      </c>
      <c r="R23" s="1511" t="s">
        <v>1664</v>
      </c>
      <c r="S23" s="1512">
        <f>F23</f>
        <v>100</v>
      </c>
      <c r="T23" s="1511" t="s">
        <v>1664</v>
      </c>
      <c r="U23" s="1512">
        <f>H23</f>
        <v>100</v>
      </c>
      <c r="V23" s="1511" t="s">
        <v>1664</v>
      </c>
      <c r="W23" s="1512">
        <f>J23</f>
        <v>100</v>
      </c>
      <c r="X23" s="1506"/>
      <c r="Y23" s="3461"/>
      <c r="Z23" s="1495" t="str">
        <f>Q23</f>
        <v>自然及人文环境</v>
      </c>
      <c r="AA23" s="1495">
        <f>D23/F23</f>
        <v>1</v>
      </c>
      <c r="AB23" s="1495">
        <f>D23/H23</f>
        <v>1</v>
      </c>
      <c r="AC23" s="1495">
        <f>D23/J23</f>
        <v>1</v>
      </c>
    </row>
    <row r="24" spans="1:29" ht="15">
      <c r="A24" s="1337"/>
      <c r="B24" s="1383"/>
      <c r="C24" s="1356"/>
      <c r="D24" s="1357"/>
      <c r="E24" s="1478"/>
      <c r="F24" s="1357"/>
      <c r="G24" s="1365"/>
      <c r="H24" s="1357"/>
      <c r="I24" s="1365"/>
      <c r="J24" s="1357"/>
      <c r="K24" s="1852"/>
      <c r="L24" s="1474"/>
      <c r="M24" s="1409"/>
      <c r="N24" s="1409"/>
      <c r="O24" s="1409"/>
      <c r="P24" s="3456"/>
      <c r="Q24" s="625"/>
      <c r="R24" s="1511"/>
      <c r="S24" s="1512"/>
      <c r="T24" s="1511"/>
      <c r="U24" s="1512"/>
      <c r="V24" s="1511"/>
      <c r="W24" s="1512"/>
      <c r="X24" s="1506"/>
      <c r="Y24" s="3461"/>
      <c r="Z24" s="1495"/>
      <c r="AA24" s="1495">
        <v>1</v>
      </c>
      <c r="AB24" s="1495">
        <v>1</v>
      </c>
      <c r="AC24" s="1495">
        <v>1</v>
      </c>
    </row>
    <row r="25" spans="1:29" ht="15">
      <c r="A25" s="1337"/>
      <c r="B25" s="1334" t="s">
        <v>2205</v>
      </c>
      <c r="C25" s="1679"/>
      <c r="D25" s="759">
        <v>100</v>
      </c>
      <c r="E25" s="1386"/>
      <c r="F25" s="759">
        <f>SUMIF(86:86,E25,87:87)-SUMIF(86:86,C25,87:87)+100</f>
        <v>100</v>
      </c>
      <c r="G25" s="1833"/>
      <c r="H25" s="759">
        <f>SUMIF(86:86,G25,87:87)-SUMIF(86:86,C25,87:87)+100</f>
        <v>100</v>
      </c>
      <c r="I25" s="1833"/>
      <c r="J25" s="759">
        <f>SUMIF(86:86,I25,87:87)-SUMIF(86:86,C25,87:87)+100</f>
        <v>100</v>
      </c>
      <c r="K25" s="1849"/>
      <c r="L25" s="1474"/>
      <c r="M25" s="1409"/>
      <c r="N25" s="1409"/>
      <c r="O25" s="1409"/>
      <c r="P25" s="3456"/>
      <c r="Q25" s="625" t="str">
        <f t="shared" ref="Q25:Q46" si="11">B25</f>
        <v>楼层-1</v>
      </c>
      <c r="R25" s="1511" t="s">
        <v>1664</v>
      </c>
      <c r="S25" s="1512">
        <f t="shared" ref="S25:S46" si="12">F25</f>
        <v>100</v>
      </c>
      <c r="T25" s="1511" t="s">
        <v>1664</v>
      </c>
      <c r="U25" s="1512">
        <f t="shared" ref="U25:U46" si="13">H25</f>
        <v>100</v>
      </c>
      <c r="V25" s="1511" t="s">
        <v>1664</v>
      </c>
      <c r="W25" s="1512">
        <f t="shared" ref="W25:W46" si="14">J25</f>
        <v>100</v>
      </c>
      <c r="X25" s="1506"/>
      <c r="Y25" s="3461"/>
      <c r="Z25" s="1495" t="str">
        <f>Q25</f>
        <v>楼层-1</v>
      </c>
      <c r="AA25" s="1495">
        <f t="shared" ref="AA25:AA46" si="15">D25/F25</f>
        <v>1</v>
      </c>
      <c r="AB25" s="1495">
        <f t="shared" ref="AB25:AB46" si="16">D25/H25</f>
        <v>1</v>
      </c>
      <c r="AC25" s="1495">
        <f t="shared" ref="AC25:AC46" si="17">D25/J25</f>
        <v>1</v>
      </c>
    </row>
    <row r="26" spans="1:29" ht="15">
      <c r="A26" s="1337"/>
      <c r="B26" s="1334" t="s">
        <v>1690</v>
      </c>
      <c r="C26" s="1679"/>
      <c r="D26" s="759">
        <v>100</v>
      </c>
      <c r="E26" s="1386"/>
      <c r="F26" s="759">
        <f>SUMIF(88:88,E26,89:89)-SUMIF(88:88,C26,89:89)+100</f>
        <v>100</v>
      </c>
      <c r="G26" s="1833"/>
      <c r="H26" s="759">
        <f>SUMIF(88:88,G26,89:89)-SUMIF(88:88,C26,89:89)+100</f>
        <v>100</v>
      </c>
      <c r="I26" s="1833"/>
      <c r="J26" s="759">
        <f>SUMIF(88:88,I26,89:89)-SUMIF(88:88,C26,89:89)+100</f>
        <v>100</v>
      </c>
      <c r="K26" s="1849"/>
      <c r="L26" s="1474"/>
      <c r="M26" s="1409"/>
      <c r="N26" s="1409"/>
      <c r="O26" s="1409"/>
      <c r="P26" s="3456"/>
      <c r="Q26" s="625" t="str">
        <f t="shared" si="11"/>
        <v>朝向</v>
      </c>
      <c r="R26" s="1511" t="s">
        <v>1664</v>
      </c>
      <c r="S26" s="1512">
        <f t="shared" si="12"/>
        <v>100</v>
      </c>
      <c r="T26" s="1511" t="s">
        <v>1664</v>
      </c>
      <c r="U26" s="1512">
        <f t="shared" si="13"/>
        <v>100</v>
      </c>
      <c r="V26" s="1511" t="s">
        <v>1664</v>
      </c>
      <c r="W26" s="1512">
        <f t="shared" si="14"/>
        <v>100</v>
      </c>
      <c r="X26" s="1506"/>
      <c r="Y26" s="3461"/>
      <c r="Z26" s="1495" t="str">
        <f>Q26</f>
        <v>朝向</v>
      </c>
      <c r="AA26" s="1495">
        <f t="shared" si="15"/>
        <v>1</v>
      </c>
      <c r="AB26" s="1495">
        <f t="shared" si="16"/>
        <v>1</v>
      </c>
      <c r="AC26" s="1495">
        <f t="shared" si="17"/>
        <v>1</v>
      </c>
    </row>
    <row r="27" spans="1:29" s="1293" customFormat="1" ht="15">
      <c r="A27" s="1340"/>
      <c r="B27" s="1569">
        <v>111</v>
      </c>
      <c r="C27" s="1335"/>
      <c r="D27" s="1364">
        <v>100</v>
      </c>
      <c r="E27" s="1622"/>
      <c r="F27" s="1364">
        <f>SUMIF(90:90,E27,91:91)-SUMIF(90:90,C27,91:91)+100</f>
        <v>100</v>
      </c>
      <c r="G27" s="1623"/>
      <c r="H27" s="1364">
        <f>SUMIF(90:90,G27,91:91)-SUMIF(90:90,C27,91:91)+100</f>
        <v>100</v>
      </c>
      <c r="I27" s="1623"/>
      <c r="J27" s="1364">
        <f>SUMIF(90:90,I27,91:91)-SUMIF(90:90,C27,91:91)+100</f>
        <v>100</v>
      </c>
      <c r="K27" s="1850"/>
      <c r="L27" s="1463"/>
      <c r="M27" s="1464"/>
      <c r="N27" s="1464"/>
      <c r="O27" s="1464"/>
      <c r="P27" s="3456"/>
      <c r="Q27" s="794">
        <f t="shared" si="11"/>
        <v>111</v>
      </c>
      <c r="R27" s="1507" t="s">
        <v>1664</v>
      </c>
      <c r="S27" s="1508">
        <f t="shared" si="12"/>
        <v>100</v>
      </c>
      <c r="T27" s="1507" t="s">
        <v>1664</v>
      </c>
      <c r="U27" s="1508">
        <f t="shared" si="13"/>
        <v>100</v>
      </c>
      <c r="V27" s="1507" t="s">
        <v>1664</v>
      </c>
      <c r="W27" s="1508">
        <f t="shared" si="14"/>
        <v>100</v>
      </c>
      <c r="X27" s="1509"/>
      <c r="Y27" s="3461"/>
      <c r="Z27" s="1518">
        <f>Q27</f>
        <v>111</v>
      </c>
      <c r="AA27" s="1495">
        <f t="shared" si="15"/>
        <v>1</v>
      </c>
      <c r="AB27" s="1495">
        <f t="shared" si="16"/>
        <v>1</v>
      </c>
      <c r="AC27" s="1495">
        <f t="shared" si="17"/>
        <v>1</v>
      </c>
    </row>
    <row r="28" spans="1:29" ht="15">
      <c r="A28" s="1337"/>
      <c r="B28" s="1569">
        <v>111</v>
      </c>
      <c r="C28" s="1345"/>
      <c r="D28" s="759">
        <v>100</v>
      </c>
      <c r="E28" s="1345"/>
      <c r="F28" s="759">
        <f>SUMIF(92:92,E28,93:93)-SUMIF(92:92,C28,93:93)+100</f>
        <v>100</v>
      </c>
      <c r="G28" s="1834"/>
      <c r="H28" s="759">
        <f>SUMIF(92:92,G28,93:93)-SUMIF(92:92,C28,93:93)+100</f>
        <v>100</v>
      </c>
      <c r="I28" s="1345"/>
      <c r="J28" s="759">
        <f>SUMIF(92:92,I28,93:93)-SUMIF(92:92,C28,93:93)+100</f>
        <v>100</v>
      </c>
      <c r="K28" s="1850"/>
      <c r="L28" s="1474"/>
      <c r="M28" s="1409"/>
      <c r="N28" s="1409"/>
      <c r="O28" s="1409"/>
      <c r="P28" s="3456"/>
      <c r="Q28" s="625">
        <f t="shared" si="11"/>
        <v>111</v>
      </c>
      <c r="R28" s="1511" t="s">
        <v>1664</v>
      </c>
      <c r="S28" s="1512">
        <f t="shared" si="12"/>
        <v>100</v>
      </c>
      <c r="T28" s="1511" t="s">
        <v>1664</v>
      </c>
      <c r="U28" s="1512">
        <f t="shared" si="13"/>
        <v>100</v>
      </c>
      <c r="V28" s="1511" t="s">
        <v>1664</v>
      </c>
      <c r="W28" s="1512">
        <f t="shared" si="14"/>
        <v>100</v>
      </c>
      <c r="X28" s="1506"/>
      <c r="Y28" s="3461"/>
      <c r="Z28" s="1495">
        <f t="shared" ref="Z28:Z46" si="18">Q28</f>
        <v>111</v>
      </c>
      <c r="AA28" s="1495">
        <f t="shared" si="15"/>
        <v>1</v>
      </c>
      <c r="AB28" s="1495">
        <f t="shared" si="16"/>
        <v>1</v>
      </c>
      <c r="AC28" s="1495">
        <f t="shared" si="17"/>
        <v>1</v>
      </c>
    </row>
    <row r="29" spans="1:29" ht="15">
      <c r="A29" s="1337"/>
      <c r="B29" s="1569">
        <v>111</v>
      </c>
      <c r="C29" s="1345"/>
      <c r="D29" s="759">
        <v>100</v>
      </c>
      <c r="E29" s="1345"/>
      <c r="F29" s="759">
        <f>SUMIF(94:94,E29,95:95)-SUMIF(94:94,C29,95:95)+100</f>
        <v>100</v>
      </c>
      <c r="G29" s="1834"/>
      <c r="H29" s="759">
        <f>SUMIF(94:94,G29,95:95)-SUMIF(94:94,C29,95:95)+100</f>
        <v>100</v>
      </c>
      <c r="I29" s="1345"/>
      <c r="J29" s="759">
        <f>SUMIF(94:94,I29,95:95)-SUMIF(94:94,C29,95:95)+100</f>
        <v>100</v>
      </c>
      <c r="K29" s="1850"/>
      <c r="L29" s="1474"/>
      <c r="M29" s="1409"/>
      <c r="N29" s="1409"/>
      <c r="O29" s="1409"/>
      <c r="P29" s="3456"/>
      <c r="Q29" s="625">
        <f t="shared" si="11"/>
        <v>111</v>
      </c>
      <c r="R29" s="1511" t="s">
        <v>1664</v>
      </c>
      <c r="S29" s="1512">
        <f t="shared" si="12"/>
        <v>100</v>
      </c>
      <c r="T29" s="1511" t="s">
        <v>1664</v>
      </c>
      <c r="U29" s="1512">
        <f t="shared" si="13"/>
        <v>100</v>
      </c>
      <c r="V29" s="1511" t="s">
        <v>1664</v>
      </c>
      <c r="W29" s="1512">
        <f t="shared" si="14"/>
        <v>100</v>
      </c>
      <c r="X29" s="1506"/>
      <c r="Y29" s="3461"/>
      <c r="Z29" s="1495">
        <f t="shared" si="18"/>
        <v>111</v>
      </c>
      <c r="AA29" s="1495">
        <f t="shared" si="15"/>
        <v>1</v>
      </c>
      <c r="AB29" s="1495">
        <f t="shared" si="16"/>
        <v>1</v>
      </c>
      <c r="AC29" s="1495">
        <f t="shared" si="17"/>
        <v>1</v>
      </c>
    </row>
    <row r="30" spans="1:29" ht="15">
      <c r="A30" s="1337"/>
      <c r="B30" s="1569">
        <v>111</v>
      </c>
      <c r="C30" s="1345"/>
      <c r="D30" s="759">
        <v>100</v>
      </c>
      <c r="E30" s="1345"/>
      <c r="F30" s="759">
        <f>SUMIF(96:96,E30,97:97)-SUMIF(96:96,C30,97:97)+100</f>
        <v>100</v>
      </c>
      <c r="G30" s="1834"/>
      <c r="H30" s="759">
        <f>SUMIF(96:96,G30,97:97)-SUMIF(96:96,C30,97:97)+100</f>
        <v>100</v>
      </c>
      <c r="I30" s="1345"/>
      <c r="J30" s="759">
        <f>SUMIF(96:96,I30,97:97)-SUMIF(96:96,C30,97:97)+100</f>
        <v>100</v>
      </c>
      <c r="K30" s="1850"/>
      <c r="L30" s="1474"/>
      <c r="M30" s="1409"/>
      <c r="N30" s="1409"/>
      <c r="O30" s="1409"/>
      <c r="P30" s="3456"/>
      <c r="Q30" s="625">
        <f t="shared" si="11"/>
        <v>111</v>
      </c>
      <c r="R30" s="1511" t="s">
        <v>1664</v>
      </c>
      <c r="S30" s="1512">
        <f t="shared" si="12"/>
        <v>100</v>
      </c>
      <c r="T30" s="1511" t="s">
        <v>1664</v>
      </c>
      <c r="U30" s="1512">
        <f t="shared" si="13"/>
        <v>100</v>
      </c>
      <c r="V30" s="1511" t="s">
        <v>1664</v>
      </c>
      <c r="W30" s="1512">
        <f t="shared" si="14"/>
        <v>100</v>
      </c>
      <c r="X30" s="1506"/>
      <c r="Y30" s="3461"/>
      <c r="Z30" s="1495">
        <f t="shared" si="18"/>
        <v>111</v>
      </c>
      <c r="AA30" s="1495">
        <f t="shared" si="15"/>
        <v>1</v>
      </c>
      <c r="AB30" s="1495">
        <f t="shared" si="16"/>
        <v>1</v>
      </c>
      <c r="AC30" s="1495">
        <f t="shared" si="17"/>
        <v>1</v>
      </c>
    </row>
    <row r="31" spans="1:29" ht="15">
      <c r="A31" s="1346"/>
      <c r="B31" s="1569">
        <v>111</v>
      </c>
      <c r="C31" s="1348"/>
      <c r="D31" s="1349">
        <v>100</v>
      </c>
      <c r="E31" s="1348"/>
      <c r="F31" s="1349">
        <f>SUMIF(98:98,E31,99:99)-SUMIF(98:98,C31,99:99)+100</f>
        <v>100</v>
      </c>
      <c r="G31" s="1835"/>
      <c r="H31" s="1349">
        <f>SUMIF(98:98,G31,99:99)-SUMIF(98:98,C31,99:99)+100</f>
        <v>100</v>
      </c>
      <c r="I31" s="1348"/>
      <c r="J31" s="1349">
        <f>SUMIF(98:98,I31,99:99)-SUMIF(98:98,C31,99:99)+100</f>
        <v>100</v>
      </c>
      <c r="K31" s="1850"/>
      <c r="L31" s="1474"/>
      <c r="M31" s="1409"/>
      <c r="N31" s="1409"/>
      <c r="O31" s="1409"/>
      <c r="P31" s="3456"/>
      <c r="Q31" s="625">
        <f t="shared" si="11"/>
        <v>111</v>
      </c>
      <c r="R31" s="1511" t="s">
        <v>1664</v>
      </c>
      <c r="S31" s="1512">
        <f t="shared" si="12"/>
        <v>100</v>
      </c>
      <c r="T31" s="1511" t="s">
        <v>1664</v>
      </c>
      <c r="U31" s="1512">
        <f t="shared" si="13"/>
        <v>100</v>
      </c>
      <c r="V31" s="1511" t="s">
        <v>1664</v>
      </c>
      <c r="W31" s="1512">
        <f t="shared" si="14"/>
        <v>100</v>
      </c>
      <c r="X31" s="1506"/>
      <c r="Y31" s="3461"/>
      <c r="Z31" s="1495">
        <f t="shared" si="18"/>
        <v>111</v>
      </c>
      <c r="AA31" s="1495">
        <f t="shared" si="15"/>
        <v>1</v>
      </c>
      <c r="AB31" s="1495">
        <f t="shared" si="16"/>
        <v>1</v>
      </c>
      <c r="AC31" s="1495">
        <f t="shared" si="17"/>
        <v>1</v>
      </c>
    </row>
    <row r="32" spans="1:29" ht="15">
      <c r="A32" s="1350" t="s">
        <v>1691</v>
      </c>
      <c r="B32" s="1330" t="s">
        <v>1692</v>
      </c>
      <c r="C32" s="1675"/>
      <c r="D32" s="1314">
        <v>100</v>
      </c>
      <c r="E32" s="1836"/>
      <c r="F32" s="1490">
        <f>SUMIF(100:100,E32,101:101)-SUMIF(100:100,C32,101:101)+100</f>
        <v>100</v>
      </c>
      <c r="G32" s="1675"/>
      <c r="H32" s="1314">
        <f>SUMIF(100:100,G32,101:101)-SUMIF(100:100,C32,101:101)+100</f>
        <v>100</v>
      </c>
      <c r="I32" s="1836"/>
      <c r="J32" s="759">
        <f>SUMIF(100:100,I32,101:101)-SUMIF(100:100,C32,101:101)+100</f>
        <v>100</v>
      </c>
      <c r="K32" s="1849"/>
      <c r="L32" s="1474"/>
      <c r="M32" s="1409"/>
      <c r="N32" s="1409"/>
      <c r="O32" s="1409"/>
      <c r="P32" s="3457" t="s">
        <v>1694</v>
      </c>
      <c r="Q32" s="625" t="str">
        <f t="shared" si="11"/>
        <v>建筑类型</v>
      </c>
      <c r="R32" s="1511" t="s">
        <v>1664</v>
      </c>
      <c r="S32" s="1512">
        <f t="shared" si="12"/>
        <v>100</v>
      </c>
      <c r="T32" s="1511" t="s">
        <v>1664</v>
      </c>
      <c r="U32" s="1512">
        <f t="shared" si="13"/>
        <v>100</v>
      </c>
      <c r="V32" s="1511" t="s">
        <v>1664</v>
      </c>
      <c r="W32" s="1512">
        <f t="shared" si="14"/>
        <v>100</v>
      </c>
      <c r="X32" s="1506"/>
      <c r="Y32" s="3462" t="s">
        <v>1694</v>
      </c>
      <c r="Z32" s="1495" t="str">
        <f t="shared" si="18"/>
        <v>建筑类型</v>
      </c>
      <c r="AA32" s="1495">
        <f t="shared" si="15"/>
        <v>1</v>
      </c>
      <c r="AB32" s="1495">
        <f t="shared" si="16"/>
        <v>1</v>
      </c>
      <c r="AC32" s="1495">
        <f t="shared" si="17"/>
        <v>1</v>
      </c>
    </row>
    <row r="33" spans="1:29" s="1295" customFormat="1" ht="15">
      <c r="A33" s="1390"/>
      <c r="B33" s="1334" t="s">
        <v>1695</v>
      </c>
      <c r="C33" s="1670"/>
      <c r="D33" s="1336">
        <v>100</v>
      </c>
      <c r="E33" s="1339"/>
      <c r="F33" s="1334" t="e">
        <f>LOOKUP(E33,103:103,104:104)-LOOKUP(C33,103:103,104:104)+100</f>
        <v>#N/A</v>
      </c>
      <c r="G33" s="1338"/>
      <c r="H33" s="1336" t="e">
        <f>LOOKUP(G33,103:103,104:104)-LOOKUP(C33,103:103,104:104)+100</f>
        <v>#N/A</v>
      </c>
      <c r="I33" s="1339"/>
      <c r="J33" s="1336" t="e">
        <f>LOOKUP(I33,103:103,104:104)-LOOKUP(C33,103:103,104:104)+100</f>
        <v>#N/A</v>
      </c>
      <c r="K33" s="1850"/>
      <c r="L33" s="1472"/>
      <c r="M33" s="1482"/>
      <c r="N33" s="1482"/>
      <c r="O33" s="1482"/>
      <c r="P33" s="3458"/>
      <c r="Q33" s="1700" t="str">
        <f t="shared" si="11"/>
        <v>项目建筑规模</v>
      </c>
      <c r="R33" s="1513" t="s">
        <v>1664</v>
      </c>
      <c r="S33" s="1514" t="e">
        <f t="shared" si="12"/>
        <v>#N/A</v>
      </c>
      <c r="T33" s="1513" t="s">
        <v>1664</v>
      </c>
      <c r="U33" s="1514" t="e">
        <f t="shared" si="13"/>
        <v>#N/A</v>
      </c>
      <c r="V33" s="1513" t="s">
        <v>1664</v>
      </c>
      <c r="W33" s="1514" t="e">
        <f t="shared" si="14"/>
        <v>#N/A</v>
      </c>
      <c r="X33" s="1515"/>
      <c r="Y33" s="3462"/>
      <c r="Z33" s="1519" t="str">
        <f t="shared" si="18"/>
        <v>项目建筑规模</v>
      </c>
      <c r="AA33" s="1495" t="e">
        <f t="shared" si="15"/>
        <v>#N/A</v>
      </c>
      <c r="AB33" s="1495" t="e">
        <f t="shared" si="16"/>
        <v>#N/A</v>
      </c>
      <c r="AC33" s="1495" t="e">
        <f t="shared" si="17"/>
        <v>#N/A</v>
      </c>
    </row>
    <row r="34" spans="1:29" ht="15">
      <c r="A34" s="1385"/>
      <c r="B34" s="1334" t="s">
        <v>1696</v>
      </c>
      <c r="C34" s="1679"/>
      <c r="D34" s="759">
        <v>100</v>
      </c>
      <c r="E34" s="1837"/>
      <c r="F34" s="1490">
        <f>SUMIF(105:105,E34,106:106)-SUMIF(105:105,C34,106:106)+100</f>
        <v>100</v>
      </c>
      <c r="G34" s="1679"/>
      <c r="H34" s="759">
        <f>SUMIF(105:105,G34,106:106)-SUMIF(105:105,C34,106:106)+100</f>
        <v>100</v>
      </c>
      <c r="I34" s="1837"/>
      <c r="J34" s="759">
        <f>SUMIF(105:105,I34,106:106)-SUMIF(105:105,C34,106:106)+100</f>
        <v>100</v>
      </c>
      <c r="K34" s="1849"/>
      <c r="L34" s="1474"/>
      <c r="M34" s="1409"/>
      <c r="N34" s="1409"/>
      <c r="O34" s="1409"/>
      <c r="P34" s="3458"/>
      <c r="Q34" s="625" t="str">
        <f t="shared" si="11"/>
        <v>建筑结构</v>
      </c>
      <c r="R34" s="1511" t="s">
        <v>1664</v>
      </c>
      <c r="S34" s="1512">
        <f t="shared" si="12"/>
        <v>100</v>
      </c>
      <c r="T34" s="1511" t="s">
        <v>1664</v>
      </c>
      <c r="U34" s="1512">
        <f t="shared" si="13"/>
        <v>100</v>
      </c>
      <c r="V34" s="1511" t="s">
        <v>1664</v>
      </c>
      <c r="W34" s="1512">
        <f t="shared" si="14"/>
        <v>100</v>
      </c>
      <c r="X34" s="1506"/>
      <c r="Y34" s="3462"/>
      <c r="Z34" s="1495" t="str">
        <f t="shared" si="18"/>
        <v>建筑结构</v>
      </c>
      <c r="AA34" s="1495">
        <f t="shared" si="15"/>
        <v>1</v>
      </c>
      <c r="AB34" s="1495">
        <f t="shared" si="16"/>
        <v>1</v>
      </c>
      <c r="AC34" s="1495">
        <f t="shared" si="17"/>
        <v>1</v>
      </c>
    </row>
    <row r="35" spans="1:29" ht="15">
      <c r="A35" s="1385"/>
      <c r="B35" s="1334" t="s">
        <v>2206</v>
      </c>
      <c r="C35" s="1386"/>
      <c r="D35" s="759">
        <v>100</v>
      </c>
      <c r="E35" s="1833"/>
      <c r="F35" s="1490">
        <f>SUMIF(107:107,E35,108:108)-SUMIF(107:107,C35,108:108)+100</f>
        <v>100</v>
      </c>
      <c r="G35" s="1386"/>
      <c r="H35" s="759">
        <f>SUMIF(107:107,G35,108:108)-SUMIF(107:107,C35,108:108)+100</f>
        <v>100</v>
      </c>
      <c r="I35" s="1833"/>
      <c r="J35" s="759">
        <f>SUMIF(107:107,I35,108:108)-SUMIF(107:107,C35,108:108)+100</f>
        <v>100</v>
      </c>
      <c r="K35" s="1849"/>
      <c r="L35" s="1474"/>
      <c r="M35" s="1409"/>
      <c r="N35" s="1409"/>
      <c r="O35" s="1409"/>
      <c r="P35" s="3458"/>
      <c r="Q35" s="625" t="str">
        <f t="shared" si="11"/>
        <v>建筑品质</v>
      </c>
      <c r="R35" s="1511" t="s">
        <v>1664</v>
      </c>
      <c r="S35" s="1512">
        <f t="shared" si="12"/>
        <v>100</v>
      </c>
      <c r="T35" s="1511" t="s">
        <v>1664</v>
      </c>
      <c r="U35" s="1512">
        <f t="shared" si="13"/>
        <v>100</v>
      </c>
      <c r="V35" s="1511" t="s">
        <v>1664</v>
      </c>
      <c r="W35" s="1512">
        <f t="shared" si="14"/>
        <v>100</v>
      </c>
      <c r="X35" s="1506"/>
      <c r="Y35" s="3462"/>
      <c r="Z35" s="1495" t="str">
        <f t="shared" si="18"/>
        <v>建筑品质</v>
      </c>
      <c r="AA35" s="1495">
        <f t="shared" si="15"/>
        <v>1</v>
      </c>
      <c r="AB35" s="1495">
        <f t="shared" si="16"/>
        <v>1</v>
      </c>
      <c r="AC35" s="1495">
        <f t="shared" si="17"/>
        <v>1</v>
      </c>
    </row>
    <row r="36" spans="1:29" ht="15">
      <c r="A36" s="1385"/>
      <c r="B36" s="1334" t="s">
        <v>1698</v>
      </c>
      <c r="C36" s="1386"/>
      <c r="D36" s="759">
        <v>100</v>
      </c>
      <c r="E36" s="1833"/>
      <c r="F36" s="1490">
        <f>SUMIF(109:109,E36,110:110)-SUMIF(109:109,C36,110:110)+100</f>
        <v>100</v>
      </c>
      <c r="G36" s="1386"/>
      <c r="H36" s="759">
        <f>SUMIF(109:109,G36,110:110)-SUMIF(109:109,C36,110:110)+100</f>
        <v>100</v>
      </c>
      <c r="I36" s="1833"/>
      <c r="J36" s="759">
        <f>SUMIF(109:109,I36,110:110)-SUMIF(109:109,C36,110:110)+100</f>
        <v>100</v>
      </c>
      <c r="K36" s="1849"/>
      <c r="L36" s="1474"/>
      <c r="M36" s="1409"/>
      <c r="N36" s="1409"/>
      <c r="O36" s="1409"/>
      <c r="P36" s="3458"/>
      <c r="Q36" s="625" t="str">
        <f t="shared" si="11"/>
        <v>公共部分装修</v>
      </c>
      <c r="R36" s="1511" t="s">
        <v>1664</v>
      </c>
      <c r="S36" s="1512">
        <f t="shared" si="12"/>
        <v>100</v>
      </c>
      <c r="T36" s="1511" t="s">
        <v>1664</v>
      </c>
      <c r="U36" s="1512">
        <f t="shared" si="13"/>
        <v>100</v>
      </c>
      <c r="V36" s="1511" t="s">
        <v>1664</v>
      </c>
      <c r="W36" s="1512">
        <f t="shared" si="14"/>
        <v>100</v>
      </c>
      <c r="X36" s="1506"/>
      <c r="Y36" s="3462"/>
      <c r="Z36" s="1495" t="str">
        <f t="shared" si="18"/>
        <v>公共部分装修</v>
      </c>
      <c r="AA36" s="1495">
        <f t="shared" si="15"/>
        <v>1</v>
      </c>
      <c r="AB36" s="1495">
        <f t="shared" si="16"/>
        <v>1</v>
      </c>
      <c r="AC36" s="1495">
        <f t="shared" si="17"/>
        <v>1</v>
      </c>
    </row>
    <row r="37" spans="1:29" s="1293" customFormat="1" ht="15">
      <c r="A37" s="1387"/>
      <c r="B37" s="1334" t="s">
        <v>687</v>
      </c>
      <c r="C37" s="1676"/>
      <c r="D37" s="1336">
        <v>100</v>
      </c>
      <c r="E37" s="1676"/>
      <c r="F37" s="1334" t="e">
        <f>LOOKUP(E37,112:112,113:113)-LOOKUP(C37,112:112,113:113)+100</f>
        <v>#N/A</v>
      </c>
      <c r="G37" s="1678"/>
      <c r="H37" s="1336" t="e">
        <f>LOOKUP(G37,112:112,113:113)-LOOKUP(C37,112:112,113:113)+100</f>
        <v>#N/A</v>
      </c>
      <c r="I37" s="1677"/>
      <c r="J37" s="1336" t="e">
        <f>LOOKUP(I37,112:112,113:113)-LOOKUP(C37,112:112,113:113)+100</f>
        <v>#N/A</v>
      </c>
      <c r="K37" s="1849"/>
      <c r="L37" s="1463"/>
      <c r="M37" s="1464"/>
      <c r="N37" s="1464"/>
      <c r="O37" s="1464"/>
      <c r="P37" s="3458"/>
      <c r="Q37" s="794" t="str">
        <f t="shared" si="11"/>
        <v>成新度</v>
      </c>
      <c r="R37" s="1507" t="s">
        <v>1664</v>
      </c>
      <c r="S37" s="1508" t="e">
        <f t="shared" si="12"/>
        <v>#N/A</v>
      </c>
      <c r="T37" s="1507" t="s">
        <v>1664</v>
      </c>
      <c r="U37" s="1508" t="e">
        <f t="shared" si="13"/>
        <v>#N/A</v>
      </c>
      <c r="V37" s="1507" t="s">
        <v>1664</v>
      </c>
      <c r="W37" s="1508" t="e">
        <f t="shared" si="14"/>
        <v>#N/A</v>
      </c>
      <c r="X37" s="1509"/>
      <c r="Y37" s="3462"/>
      <c r="Z37" s="1518" t="str">
        <f t="shared" si="18"/>
        <v>成新度</v>
      </c>
      <c r="AA37" s="1518" t="e">
        <f t="shared" si="15"/>
        <v>#N/A</v>
      </c>
      <c r="AB37" s="1518" t="e">
        <f t="shared" si="16"/>
        <v>#N/A</v>
      </c>
      <c r="AC37" s="1518" t="e">
        <f t="shared" si="17"/>
        <v>#N/A</v>
      </c>
    </row>
    <row r="38" spans="1:29" ht="15">
      <c r="A38" s="1385"/>
      <c r="B38" s="1334" t="s">
        <v>1702</v>
      </c>
      <c r="C38" s="1386"/>
      <c r="D38" s="759">
        <v>100</v>
      </c>
      <c r="E38" s="1833"/>
      <c r="F38" s="1490">
        <f>SUMIF(114:114,E38,115:115)-SUMIF(114:114,C38,115:115)+100</f>
        <v>100</v>
      </c>
      <c r="G38" s="1386"/>
      <c r="H38" s="759">
        <f>SUMIF(114:114,G38,115:115)-SUMIF(114:114,C38,115:115)+100</f>
        <v>100</v>
      </c>
      <c r="I38" s="1833"/>
      <c r="J38" s="759">
        <f>SUMIF(114:114,I38,115:115)-SUMIF(114:114,C38,115:115)+100</f>
        <v>100</v>
      </c>
      <c r="K38" s="1849"/>
      <c r="L38" s="1474"/>
      <c r="M38" s="1409"/>
      <c r="N38" s="1409"/>
      <c r="O38" s="1409"/>
      <c r="P38" s="3458" t="s">
        <v>1694</v>
      </c>
      <c r="Q38" s="625" t="str">
        <f t="shared" si="11"/>
        <v>物业管理</v>
      </c>
      <c r="R38" s="1511" t="s">
        <v>1664</v>
      </c>
      <c r="S38" s="1512">
        <f t="shared" si="12"/>
        <v>100</v>
      </c>
      <c r="T38" s="1511" t="s">
        <v>1664</v>
      </c>
      <c r="U38" s="1512">
        <f t="shared" si="13"/>
        <v>100</v>
      </c>
      <c r="V38" s="1511" t="s">
        <v>1664</v>
      </c>
      <c r="W38" s="1512">
        <f t="shared" si="14"/>
        <v>100</v>
      </c>
      <c r="X38" s="1506"/>
      <c r="Y38" s="3462" t="s">
        <v>1694</v>
      </c>
      <c r="Z38" s="1495" t="str">
        <f t="shared" si="18"/>
        <v>物业管理</v>
      </c>
      <c r="AA38" s="1495">
        <f t="shared" si="15"/>
        <v>1</v>
      </c>
      <c r="AB38" s="1495">
        <f t="shared" si="16"/>
        <v>1</v>
      </c>
      <c r="AC38" s="1495">
        <f t="shared" si="17"/>
        <v>1</v>
      </c>
    </row>
    <row r="39" spans="1:29" ht="15">
      <c r="A39" s="1385"/>
      <c r="B39" s="1334" t="s">
        <v>1704</v>
      </c>
      <c r="C39" s="1386"/>
      <c r="D39" s="759">
        <v>100</v>
      </c>
      <c r="E39" s="1833"/>
      <c r="F39" s="1490">
        <f>SUMIF(116:116,E39,117:117)-SUMIF(116:116,C39,117:117)+100</f>
        <v>100</v>
      </c>
      <c r="G39" s="1386"/>
      <c r="H39" s="759">
        <f>SUMIF(116:116,G39,117:117)-SUMIF(116:116,C39,117:117)+100</f>
        <v>100</v>
      </c>
      <c r="I39" s="1833"/>
      <c r="J39" s="759">
        <f>SUMIF(116:116,I39,117:117)-SUMIF(116:116,C39,117:117)+100</f>
        <v>100</v>
      </c>
      <c r="K39" s="1849"/>
      <c r="L39" s="1474"/>
      <c r="M39" s="1409"/>
      <c r="N39" s="1409"/>
      <c r="O39" s="1409"/>
      <c r="P39" s="3458"/>
      <c r="Q39" s="625" t="str">
        <f t="shared" si="11"/>
        <v>市政基础设施</v>
      </c>
      <c r="R39" s="1511" t="s">
        <v>1664</v>
      </c>
      <c r="S39" s="1512">
        <f t="shared" si="12"/>
        <v>100</v>
      </c>
      <c r="T39" s="1511" t="s">
        <v>1664</v>
      </c>
      <c r="U39" s="1512">
        <f t="shared" si="13"/>
        <v>100</v>
      </c>
      <c r="V39" s="1511" t="s">
        <v>1664</v>
      </c>
      <c r="W39" s="1512">
        <f t="shared" si="14"/>
        <v>100</v>
      </c>
      <c r="X39" s="1506"/>
      <c r="Y39" s="3462"/>
      <c r="Z39" s="1495" t="str">
        <f t="shared" si="18"/>
        <v>市政基础设施</v>
      </c>
      <c r="AA39" s="1495">
        <f t="shared" si="15"/>
        <v>1</v>
      </c>
      <c r="AB39" s="1495">
        <f t="shared" si="16"/>
        <v>1</v>
      </c>
      <c r="AC39" s="1495">
        <f t="shared" si="17"/>
        <v>1</v>
      </c>
    </row>
    <row r="40" spans="1:29" ht="15">
      <c r="A40" s="1385"/>
      <c r="B40" s="1334" t="s">
        <v>2207</v>
      </c>
      <c r="C40" s="1386"/>
      <c r="D40" s="759">
        <v>100</v>
      </c>
      <c r="E40" s="1833"/>
      <c r="F40" s="1490">
        <f>SUMIF(118:118,E40,119:119)-SUMIF(118:118,C40,119:119)+100</f>
        <v>100</v>
      </c>
      <c r="G40" s="1386"/>
      <c r="H40" s="759">
        <f>SUMIF(118:118,G40,119:119)-SUMIF(118:118,C40,119:119)+100</f>
        <v>100</v>
      </c>
      <c r="I40" s="1833"/>
      <c r="J40" s="759">
        <f>SUMIF(118:118,I40,119:119)-SUMIF(118:118,C40,119:119)+100</f>
        <v>100</v>
      </c>
      <c r="K40" s="1849"/>
      <c r="L40" s="1474"/>
      <c r="M40" s="1409"/>
      <c r="N40" s="1409"/>
      <c r="O40" s="1409"/>
      <c r="P40" s="3458"/>
      <c r="Q40" s="625" t="str">
        <f t="shared" si="11"/>
        <v>房型</v>
      </c>
      <c r="R40" s="1511" t="s">
        <v>1664</v>
      </c>
      <c r="S40" s="1512">
        <f t="shared" si="12"/>
        <v>100</v>
      </c>
      <c r="T40" s="1511" t="s">
        <v>1664</v>
      </c>
      <c r="U40" s="1512">
        <f t="shared" si="13"/>
        <v>100</v>
      </c>
      <c r="V40" s="1511" t="s">
        <v>1664</v>
      </c>
      <c r="W40" s="1512">
        <f t="shared" si="14"/>
        <v>100</v>
      </c>
      <c r="X40" s="1506"/>
      <c r="Y40" s="3462"/>
      <c r="Z40" s="1495" t="str">
        <f t="shared" si="18"/>
        <v>房型</v>
      </c>
      <c r="AA40" s="1495">
        <f t="shared" si="15"/>
        <v>1</v>
      </c>
      <c r="AB40" s="1495">
        <f t="shared" si="16"/>
        <v>1</v>
      </c>
      <c r="AC40" s="1495">
        <f t="shared" si="17"/>
        <v>1</v>
      </c>
    </row>
    <row r="41" spans="1:29" s="1295" customFormat="1" ht="28.5">
      <c r="A41" s="1390"/>
      <c r="B41" s="1334" t="s">
        <v>2208</v>
      </c>
      <c r="C41" s="1670"/>
      <c r="D41" s="1336">
        <v>100</v>
      </c>
      <c r="E41" s="1339"/>
      <c r="F41" s="1334">
        <f>SUMIF(120:120,E41,121:121)-SUMIF(120:120,C41,121:121)+100</f>
        <v>100</v>
      </c>
      <c r="G41" s="1338"/>
      <c r="H41" s="1336">
        <f>SUMIF(120:120,G41,121:121)-SUMIF(120:120,C41,121:121)+100</f>
        <v>100</v>
      </c>
      <c r="I41" s="1375"/>
      <c r="J41" s="759">
        <f>SUMIF(120:120,I41,121:121)-SUMIF(120:120,C41,121:121)+100</f>
        <v>100</v>
      </c>
      <c r="K41" s="1850"/>
      <c r="L41" s="1472"/>
      <c r="M41" s="1482"/>
      <c r="N41" s="1482"/>
      <c r="O41" s="1482"/>
      <c r="P41" s="3458"/>
      <c r="Q41" s="1700" t="str">
        <f t="shared" si="11"/>
        <v>单套/主力户型建筑面积</v>
      </c>
      <c r="R41" s="1513" t="s">
        <v>1664</v>
      </c>
      <c r="S41" s="1514">
        <f t="shared" si="12"/>
        <v>100</v>
      </c>
      <c r="T41" s="1513" t="s">
        <v>1664</v>
      </c>
      <c r="U41" s="1514">
        <f t="shared" si="13"/>
        <v>100</v>
      </c>
      <c r="V41" s="1513" t="s">
        <v>1664</v>
      </c>
      <c r="W41" s="1514">
        <f t="shared" si="14"/>
        <v>100</v>
      </c>
      <c r="X41" s="1515"/>
      <c r="Y41" s="3462"/>
      <c r="Z41" s="1519" t="str">
        <f t="shared" si="18"/>
        <v>单套/主力户型建筑面积</v>
      </c>
      <c r="AA41" s="1495">
        <f t="shared" si="15"/>
        <v>1</v>
      </c>
      <c r="AB41" s="1495">
        <f t="shared" si="16"/>
        <v>1</v>
      </c>
      <c r="AC41" s="1495">
        <f t="shared" si="17"/>
        <v>1</v>
      </c>
    </row>
    <row r="42" spans="1:29" ht="15">
      <c r="A42" s="1385"/>
      <c r="B42" s="1334" t="s">
        <v>1708</v>
      </c>
      <c r="C42" s="1386"/>
      <c r="D42" s="759">
        <v>100</v>
      </c>
      <c r="E42" s="1833"/>
      <c r="F42" s="1490">
        <f>SUMIF(122:122,E42,123:123)-SUMIF(122:122,C42,123:123)+100</f>
        <v>100</v>
      </c>
      <c r="G42" s="1386"/>
      <c r="H42" s="759">
        <f>SUMIF(122:122,G42,123:123)-SUMIF(122:122,C42,123:123)+100</f>
        <v>100</v>
      </c>
      <c r="I42" s="1833"/>
      <c r="J42" s="759">
        <f>SUMIF(122:122,I42,123:123)-SUMIF(122:122,C42,123:123)+100</f>
        <v>100</v>
      </c>
      <c r="K42" s="1849"/>
      <c r="L42" s="1474"/>
      <c r="M42" s="1409"/>
      <c r="N42" s="1409"/>
      <c r="O42" s="1409"/>
      <c r="P42" s="3458"/>
      <c r="Q42" s="625" t="str">
        <f t="shared" si="11"/>
        <v>内部装修</v>
      </c>
      <c r="R42" s="1511" t="s">
        <v>1664</v>
      </c>
      <c r="S42" s="1512">
        <f t="shared" si="12"/>
        <v>100</v>
      </c>
      <c r="T42" s="1511" t="s">
        <v>1664</v>
      </c>
      <c r="U42" s="1512">
        <f t="shared" si="13"/>
        <v>100</v>
      </c>
      <c r="V42" s="1511" t="s">
        <v>1664</v>
      </c>
      <c r="W42" s="1512">
        <f t="shared" si="14"/>
        <v>100</v>
      </c>
      <c r="X42" s="1506"/>
      <c r="Y42" s="3462"/>
      <c r="Z42" s="1495" t="str">
        <f t="shared" si="18"/>
        <v>内部装修</v>
      </c>
      <c r="AA42" s="1495">
        <f t="shared" si="15"/>
        <v>1</v>
      </c>
      <c r="AB42" s="1495">
        <f t="shared" si="16"/>
        <v>1</v>
      </c>
      <c r="AC42" s="1495">
        <f t="shared" si="17"/>
        <v>1</v>
      </c>
    </row>
    <row r="43" spans="1:29" ht="15">
      <c r="A43" s="1385"/>
      <c r="B43" s="1334" t="s">
        <v>1709</v>
      </c>
      <c r="C43" s="1386"/>
      <c r="D43" s="759">
        <v>100</v>
      </c>
      <c r="E43" s="1833"/>
      <c r="F43" s="1490">
        <f>SUMIF(124:124,E43,125:125)-SUMIF(124:124,C43,125:125)+100</f>
        <v>100</v>
      </c>
      <c r="G43" s="1386"/>
      <c r="H43" s="759">
        <f>SUMIF(124:124,G43,125:125)-SUMIF(124:124,C43,125:125)+100</f>
        <v>100</v>
      </c>
      <c r="I43" s="1833"/>
      <c r="J43" s="759">
        <f>SUMIF(124:124,I43,125:125)-SUMIF(124:124,C43,125:125)+100</f>
        <v>100</v>
      </c>
      <c r="K43" s="1849"/>
      <c r="L43" s="1474"/>
      <c r="M43" s="1409"/>
      <c r="N43" s="1409"/>
      <c r="O43" s="1409"/>
      <c r="P43" s="3458"/>
      <c r="Q43" s="625" t="str">
        <f t="shared" si="11"/>
        <v>内部装修维护情况</v>
      </c>
      <c r="R43" s="1511" t="s">
        <v>1664</v>
      </c>
      <c r="S43" s="1512">
        <f t="shared" si="12"/>
        <v>100</v>
      </c>
      <c r="T43" s="1511" t="s">
        <v>1664</v>
      </c>
      <c r="U43" s="1512">
        <f t="shared" si="13"/>
        <v>100</v>
      </c>
      <c r="V43" s="1511" t="s">
        <v>1664</v>
      </c>
      <c r="W43" s="1512">
        <f t="shared" si="14"/>
        <v>100</v>
      </c>
      <c r="X43" s="1506"/>
      <c r="Y43" s="3462"/>
      <c r="Z43" s="1495" t="str">
        <f t="shared" si="18"/>
        <v>内部装修维护情况</v>
      </c>
      <c r="AA43" s="1495">
        <f t="shared" si="15"/>
        <v>1</v>
      </c>
      <c r="AB43" s="1495">
        <f t="shared" si="16"/>
        <v>1</v>
      </c>
      <c r="AC43" s="1495">
        <f t="shared" si="17"/>
        <v>1</v>
      </c>
    </row>
    <row r="44" spans="1:29" s="1293" customFormat="1" ht="15">
      <c r="A44" s="1387"/>
      <c r="B44" s="1569">
        <v>111</v>
      </c>
      <c r="C44" s="1670"/>
      <c r="D44" s="1336">
        <v>100</v>
      </c>
      <c r="E44" s="1670"/>
      <c r="F44" s="1334">
        <f>SUMIF(126:126,E44,127:127)-SUMIF(126:126,C44,127:127)+100</f>
        <v>100</v>
      </c>
      <c r="G44" s="1670"/>
      <c r="H44" s="1336">
        <f>SUMIF(126:126,G44,127:127)-SUMIF(126:126,C44,127:127)+100</f>
        <v>100</v>
      </c>
      <c r="I44" s="1670"/>
      <c r="J44" s="1336">
        <f>SUMIF(126:126,I44,127:127)-SUMIF(126:126,C44,127:127)+100</f>
        <v>100</v>
      </c>
      <c r="K44" s="1850"/>
      <c r="L44" s="1463"/>
      <c r="M44" s="1464"/>
      <c r="N44" s="1464"/>
      <c r="O44" s="1464"/>
      <c r="P44" s="3458"/>
      <c r="Q44" s="794">
        <f t="shared" si="11"/>
        <v>111</v>
      </c>
      <c r="R44" s="1507" t="s">
        <v>1664</v>
      </c>
      <c r="S44" s="1508">
        <f t="shared" si="12"/>
        <v>100</v>
      </c>
      <c r="T44" s="1507" t="s">
        <v>1664</v>
      </c>
      <c r="U44" s="1508">
        <f t="shared" si="13"/>
        <v>100</v>
      </c>
      <c r="V44" s="1507" t="s">
        <v>1664</v>
      </c>
      <c r="W44" s="1508">
        <f t="shared" si="14"/>
        <v>100</v>
      </c>
      <c r="X44" s="1509"/>
      <c r="Y44" s="3462"/>
      <c r="Z44" s="1518">
        <f t="shared" si="18"/>
        <v>111</v>
      </c>
      <c r="AA44" s="1518">
        <f t="shared" si="15"/>
        <v>1</v>
      </c>
      <c r="AB44" s="1518">
        <f t="shared" si="16"/>
        <v>1</v>
      </c>
      <c r="AC44" s="1518">
        <f t="shared" si="17"/>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850"/>
      <c r="L45" s="1474"/>
      <c r="M45" s="1409"/>
      <c r="N45" s="1409"/>
      <c r="O45" s="1409"/>
      <c r="P45" s="3458"/>
      <c r="Q45" s="625">
        <f t="shared" si="11"/>
        <v>111</v>
      </c>
      <c r="R45" s="1511" t="s">
        <v>1664</v>
      </c>
      <c r="S45" s="1512">
        <f t="shared" si="12"/>
        <v>100</v>
      </c>
      <c r="T45" s="1511" t="s">
        <v>1664</v>
      </c>
      <c r="U45" s="1512">
        <f t="shared" si="13"/>
        <v>100</v>
      </c>
      <c r="V45" s="1511" t="s">
        <v>1664</v>
      </c>
      <c r="W45" s="1512">
        <f t="shared" si="14"/>
        <v>100</v>
      </c>
      <c r="X45" s="1506"/>
      <c r="Y45" s="3462"/>
      <c r="Z45" s="1495">
        <f t="shared" si="18"/>
        <v>111</v>
      </c>
      <c r="AA45" s="1495">
        <f t="shared" si="15"/>
        <v>1</v>
      </c>
      <c r="AB45" s="1495">
        <f t="shared" si="16"/>
        <v>1</v>
      </c>
      <c r="AC45" s="1495">
        <f t="shared" si="17"/>
        <v>1</v>
      </c>
    </row>
    <row r="46" spans="1:29" ht="15">
      <c r="A46" s="1681"/>
      <c r="B46" s="1347">
        <v>111</v>
      </c>
      <c r="C46" s="1348"/>
      <c r="D46" s="1349">
        <v>100</v>
      </c>
      <c r="E46" s="1348"/>
      <c r="F46" s="1682">
        <f>SUMIF(130:130,E46,131:131)-SUMIF(130:130,C46,131:131)+100</f>
        <v>100</v>
      </c>
      <c r="G46" s="1348"/>
      <c r="H46" s="1349">
        <f>SUMIF(130:130,G46,131:131)-SUMIF(130:130,C46,131:131)+100</f>
        <v>100</v>
      </c>
      <c r="I46" s="1348"/>
      <c r="J46" s="1349">
        <f>SUMIF(130:130,I46,131:131)-SUMIF(130:130,C46,131:131)+100</f>
        <v>100</v>
      </c>
      <c r="K46" s="1850"/>
      <c r="L46" s="1474"/>
      <c r="M46" s="1409"/>
      <c r="N46" s="1409"/>
      <c r="O46" s="1409"/>
      <c r="P46" s="3459"/>
      <c r="Q46" s="625">
        <f t="shared" si="11"/>
        <v>111</v>
      </c>
      <c r="R46" s="1511" t="s">
        <v>1664</v>
      </c>
      <c r="S46" s="1512">
        <f t="shared" si="12"/>
        <v>100</v>
      </c>
      <c r="T46" s="1511" t="s">
        <v>1664</v>
      </c>
      <c r="U46" s="1512">
        <f t="shared" si="13"/>
        <v>100</v>
      </c>
      <c r="V46" s="1511" t="s">
        <v>1664</v>
      </c>
      <c r="W46" s="1512">
        <f t="shared" si="14"/>
        <v>100</v>
      </c>
      <c r="X46" s="1506"/>
      <c r="Y46" s="3463"/>
      <c r="Z46" s="1495">
        <f t="shared" si="18"/>
        <v>111</v>
      </c>
      <c r="AA46" s="1495">
        <f t="shared" si="15"/>
        <v>1</v>
      </c>
      <c r="AB46" s="1495">
        <f t="shared" si="16"/>
        <v>1</v>
      </c>
      <c r="AC46" s="1495">
        <f t="shared" si="17"/>
        <v>1</v>
      </c>
    </row>
    <row r="47" spans="1:29" ht="15">
      <c r="A47" s="1392" t="s">
        <v>1711</v>
      </c>
      <c r="B47" s="1683"/>
      <c r="C47" s="1684" t="s">
        <v>124</v>
      </c>
      <c r="D47" s="1395"/>
      <c r="E47" s="1396"/>
      <c r="F47" s="1397"/>
      <c r="G47" s="1398"/>
      <c r="H47" s="1399"/>
      <c r="I47" s="1396"/>
      <c r="J47" s="1399"/>
      <c r="K47" s="1854"/>
      <c r="L47" s="1487"/>
      <c r="M47" s="1409"/>
      <c r="N47" s="1409"/>
      <c r="O47" s="1409"/>
      <c r="P47" s="3448" t="str">
        <f>A47</f>
        <v>成交单价（元/平方米）</v>
      </c>
      <c r="Q47" s="3448"/>
      <c r="R47" s="3446">
        <f>E47</f>
        <v>0</v>
      </c>
      <c r="S47" s="3446"/>
      <c r="T47" s="3446">
        <f>G47</f>
        <v>0</v>
      </c>
      <c r="U47" s="3446"/>
      <c r="V47" s="3446">
        <f>I47</f>
        <v>0</v>
      </c>
      <c r="W47" s="3446"/>
      <c r="X47" s="1448"/>
      <c r="Y47" s="1520"/>
      <c r="Z47" s="1448"/>
      <c r="AA47" s="1448"/>
      <c r="AB47" s="1448"/>
      <c r="AC47" s="1448"/>
    </row>
    <row r="48" spans="1:29" ht="15">
      <c r="A48" s="1400" t="s">
        <v>1712</v>
      </c>
      <c r="B48" s="1685"/>
      <c r="C48" s="1686" t="e">
        <f>R49</f>
        <v>#DIV/0!</v>
      </c>
      <c r="D48" s="1403" t="s">
        <v>1713</v>
      </c>
      <c r="E48" s="1687" t="e">
        <f>R48</f>
        <v>#DIV/0!</v>
      </c>
      <c r="F48" s="1404"/>
      <c r="G48" s="1686" t="e">
        <f>T48</f>
        <v>#DIV/0!</v>
      </c>
      <c r="H48" s="1404"/>
      <c r="I48" s="1687" t="e">
        <f>V48</f>
        <v>#DIV/0!</v>
      </c>
      <c r="J48" s="1404"/>
      <c r="K48" s="1855">
        <f>F48+H48+J48</f>
        <v>0</v>
      </c>
      <c r="L48" s="1487"/>
      <c r="M48" s="1409"/>
      <c r="N48" s="1409"/>
      <c r="O48" s="1409"/>
      <c r="P48" s="3448" t="str">
        <f>A48</f>
        <v>比较价值（元/平方米）</v>
      </c>
      <c r="Q48" s="3448"/>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1448"/>
      <c r="Y48" s="1448"/>
      <c r="Z48" s="1448"/>
      <c r="AA48" s="1448"/>
      <c r="AB48" s="1448"/>
      <c r="AC48" s="1448"/>
    </row>
    <row r="49" spans="1:29" ht="15">
      <c r="A49" s="1406" t="s">
        <v>1714</v>
      </c>
      <c r="B49" s="1407"/>
      <c r="C49" s="1838" t="e">
        <f>R49</f>
        <v>#DIV/0!</v>
      </c>
      <c r="D49" s="1319"/>
      <c r="E49" s="1319"/>
      <c r="F49" s="1319"/>
      <c r="G49" s="1319"/>
      <c r="H49" s="1319"/>
      <c r="I49" s="1319"/>
      <c r="J49" s="1319"/>
      <c r="K49" s="1856"/>
      <c r="L49" s="1487"/>
      <c r="M49" s="1409"/>
      <c r="N49" s="1409"/>
      <c r="O49" s="1409"/>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row>
    <row r="51" spans="1:29">
      <c r="A51" s="1409"/>
      <c r="B51" s="1409"/>
      <c r="C51" s="1409"/>
      <c r="D51" s="1409"/>
      <c r="E51" s="1409"/>
      <c r="F51" s="1409"/>
      <c r="G51" s="1409"/>
      <c r="H51" s="1409"/>
      <c r="I51" s="1409"/>
      <c r="J51" s="1409"/>
      <c r="K51" s="1491"/>
      <c r="L51" s="1492"/>
      <c r="M51" s="1409"/>
      <c r="N51" s="1409"/>
      <c r="O51" s="1409"/>
    </row>
    <row r="52" spans="1:29" ht="13.5" customHeight="1">
      <c r="A52" s="1409"/>
      <c r="B52" s="1409"/>
      <c r="C52" s="1411" t="s">
        <v>1715</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row>
    <row r="53" spans="1:29" ht="13.5" customHeight="1">
      <c r="A53" s="1409"/>
      <c r="B53" s="1409"/>
      <c r="C53" s="1411" t="s">
        <v>1716</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row>
    <row r="54" spans="1:29" s="1296" customFormat="1" ht="13.5" customHeight="1">
      <c r="A54" s="1414"/>
      <c r="B54" s="1414"/>
      <c r="C54" s="1411" t="s">
        <v>1717</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57"/>
    </row>
    <row r="55" spans="1:29" s="1296" customFormat="1">
      <c r="A55" s="1414"/>
      <c r="B55" s="1415"/>
      <c r="C55" s="1688"/>
      <c r="D55" s="1414"/>
      <c r="E55" s="1414"/>
      <c r="F55" s="1414"/>
      <c r="G55" s="1414"/>
      <c r="H55" s="1414"/>
      <c r="I55" s="1414"/>
      <c r="J55" s="1414"/>
      <c r="K55" s="1493"/>
      <c r="L55" s="1494"/>
      <c r="M55" s="1414"/>
      <c r="N55" s="1414"/>
      <c r="O55" s="1414"/>
      <c r="P55" s="1857"/>
    </row>
    <row r="56" spans="1:29">
      <c r="A56" s="1409"/>
      <c r="B56" s="1415"/>
      <c r="C56" s="1688"/>
      <c r="D56" s="1409"/>
      <c r="E56" s="1409"/>
      <c r="F56" s="1409"/>
      <c r="G56" s="1409"/>
      <c r="H56" s="1409"/>
      <c r="I56" s="1409"/>
      <c r="J56" s="1409"/>
      <c r="K56" s="1491"/>
      <c r="L56" s="1492"/>
      <c r="M56" s="1409"/>
      <c r="N56" s="1409"/>
      <c r="O56" s="1409"/>
    </row>
    <row r="57" spans="1:29" ht="21">
      <c r="A57" s="1447" t="s">
        <v>1718</v>
      </c>
      <c r="B57" s="1448"/>
      <c r="C57" s="1449"/>
      <c r="D57" s="1449"/>
      <c r="E57" s="1449"/>
      <c r="F57" s="1450"/>
      <c r="G57" s="1450"/>
      <c r="H57" s="1449"/>
      <c r="I57" s="1449"/>
      <c r="J57" s="1449"/>
      <c r="K57" s="1647"/>
      <c r="L57" s="1648"/>
      <c r="M57" s="1503"/>
      <c r="N57" s="1503"/>
      <c r="O57" s="1503"/>
      <c r="P57" s="1858"/>
      <c r="Q57" s="1788"/>
    </row>
    <row r="58" spans="1:29" s="1298" customFormat="1" ht="15">
      <c r="A58" s="1689" t="s">
        <v>1662</v>
      </c>
      <c r="B58" s="1690"/>
      <c r="C58" s="1839" t="str">
        <f>YEAR(C7)&amp;"-"&amp;MONTH(C7)</f>
        <v>2025-8</v>
      </c>
      <c r="D58" s="1692">
        <f>EDATE(C58,-1)</f>
        <v>45839</v>
      </c>
      <c r="E58" s="1692">
        <f>EDATE(D58,-1)</f>
        <v>45809</v>
      </c>
      <c r="F58" s="1692">
        <f t="shared" ref="F58:O58" si="19">EDATE(E58,-1)</f>
        <v>45778</v>
      </c>
      <c r="G58" s="1692">
        <f t="shared" si="19"/>
        <v>45748</v>
      </c>
      <c r="H58" s="1692">
        <f t="shared" si="19"/>
        <v>45717</v>
      </c>
      <c r="I58" s="1692">
        <f t="shared" si="19"/>
        <v>45689</v>
      </c>
      <c r="J58" s="1692">
        <f t="shared" si="19"/>
        <v>45658</v>
      </c>
      <c r="K58" s="1692">
        <f t="shared" si="19"/>
        <v>45627</v>
      </c>
      <c r="L58" s="1692">
        <f t="shared" si="19"/>
        <v>45597</v>
      </c>
      <c r="M58" s="1692">
        <f t="shared" si="19"/>
        <v>45566</v>
      </c>
      <c r="N58" s="1692">
        <f t="shared" si="19"/>
        <v>45536</v>
      </c>
      <c r="O58" s="1692">
        <f t="shared" si="19"/>
        <v>45505</v>
      </c>
      <c r="P58" s="1859"/>
    </row>
    <row r="59" spans="1:29" s="1293" customFormat="1" ht="15">
      <c r="A59" s="1366"/>
      <c r="B59" s="1840"/>
      <c r="C59" s="1693">
        <v>100</v>
      </c>
      <c r="D59" s="1811"/>
      <c r="E59" s="1536"/>
      <c r="F59" s="1536"/>
      <c r="G59" s="1536"/>
      <c r="H59" s="1536"/>
      <c r="I59" s="1536"/>
      <c r="J59" s="1536"/>
      <c r="K59" s="1536"/>
      <c r="L59" s="1536"/>
      <c r="M59" s="1341"/>
      <c r="N59" s="1536"/>
      <c r="O59" s="1341"/>
      <c r="P59" s="1860"/>
    </row>
    <row r="60" spans="1:29" s="1293" customFormat="1" ht="15">
      <c r="A60" s="1527" t="s">
        <v>1719</v>
      </c>
      <c r="B60" s="1528"/>
      <c r="C60" s="1529"/>
      <c r="D60" s="1530"/>
      <c r="E60" s="1530"/>
      <c r="F60" s="1530"/>
      <c r="G60" s="1530"/>
      <c r="H60" s="1530"/>
      <c r="I60" s="1530"/>
      <c r="J60" s="1530"/>
      <c r="K60" s="1530"/>
      <c r="L60" s="1530"/>
      <c r="M60" s="1570"/>
      <c r="N60" s="1530"/>
      <c r="O60" s="1570"/>
      <c r="P60" s="1860"/>
      <c r="Q60" s="1788"/>
    </row>
    <row r="61" spans="1:29" s="1293" customFormat="1" ht="15">
      <c r="A61" s="1531" t="s">
        <v>1665</v>
      </c>
      <c r="B61" s="1532"/>
      <c r="C61" s="1533" t="s">
        <v>1720</v>
      </c>
      <c r="D61" s="1534"/>
      <c r="E61" s="1534"/>
      <c r="F61" s="1534"/>
      <c r="G61" s="1534"/>
      <c r="H61" s="1534"/>
      <c r="I61" s="1534"/>
      <c r="J61" s="1534"/>
      <c r="K61" s="1534"/>
      <c r="L61" s="1572"/>
      <c r="M61" s="1573"/>
      <c r="N61" s="1791"/>
      <c r="O61" s="1791"/>
      <c r="P61" s="1861"/>
      <c r="Q61" s="1788"/>
    </row>
    <row r="62" spans="1:29" s="1293" customFormat="1" ht="15">
      <c r="A62" s="1531"/>
      <c r="B62" s="1532"/>
      <c r="C62" s="1811">
        <v>100</v>
      </c>
      <c r="D62" s="1536"/>
      <c r="E62" s="1536"/>
      <c r="F62" s="1536"/>
      <c r="G62" s="1536"/>
      <c r="H62" s="1536"/>
      <c r="I62" s="1536"/>
      <c r="J62" s="1536"/>
      <c r="K62" s="1536"/>
      <c r="L62" s="1536"/>
      <c r="M62" s="1575"/>
      <c r="N62" s="1791"/>
      <c r="O62" s="1791"/>
      <c r="P62" s="1860"/>
      <c r="Q62" s="1788"/>
    </row>
    <row r="63" spans="1:29">
      <c r="A63" s="1350" t="s">
        <v>1721</v>
      </c>
      <c r="B63" s="1537" t="s">
        <v>1669</v>
      </c>
      <c r="C63" s="621">
        <f>C9</f>
        <v>0</v>
      </c>
      <c r="D63" s="1484"/>
      <c r="E63" s="1484"/>
      <c r="F63" s="1484"/>
      <c r="G63" s="1484"/>
      <c r="H63" s="1484"/>
      <c r="I63" s="1484"/>
      <c r="J63" s="1484"/>
      <c r="K63" s="1576"/>
      <c r="L63" s="1577"/>
      <c r="M63" s="1578"/>
      <c r="N63" s="1793"/>
      <c r="O63" s="1793"/>
      <c r="P63" s="1862"/>
      <c r="Q63" s="1788"/>
    </row>
    <row r="64" spans="1:29" ht="15">
      <c r="A64" s="1337"/>
      <c r="B64" s="1538"/>
      <c r="C64" s="1539">
        <v>100</v>
      </c>
      <c r="D64" s="1539"/>
      <c r="E64" s="1539"/>
      <c r="F64" s="1539"/>
      <c r="G64" s="1539"/>
      <c r="H64" s="1539"/>
      <c r="I64" s="1539"/>
      <c r="J64" s="1539"/>
      <c r="K64" s="1539"/>
      <c r="L64" s="1539"/>
      <c r="M64" s="1580"/>
      <c r="N64" s="1795"/>
      <c r="O64" s="1795"/>
      <c r="P64" s="1862"/>
      <c r="Q64" s="1788"/>
    </row>
    <row r="65" spans="1:17" ht="27">
      <c r="A65" s="1337"/>
      <c r="B65" s="1540" t="s">
        <v>1672</v>
      </c>
      <c r="C65" s="1562"/>
      <c r="D65" s="1562"/>
      <c r="E65" s="1562"/>
      <c r="F65" s="1562"/>
      <c r="G65" s="1562"/>
      <c r="H65" s="1562"/>
      <c r="I65" s="1562"/>
      <c r="J65" s="1562"/>
      <c r="K65" s="1562"/>
      <c r="L65" s="1562"/>
      <c r="M65" s="1562"/>
      <c r="N65" s="1795"/>
      <c r="O65" s="1795"/>
      <c r="P65" s="1862"/>
      <c r="Q65" s="1788"/>
    </row>
    <row r="66" spans="1:17" ht="15">
      <c r="A66" s="1337"/>
      <c r="B66" s="1542"/>
      <c r="C66" s="1539"/>
      <c r="D66" s="1539"/>
      <c r="E66" s="1539"/>
      <c r="F66" s="1539"/>
      <c r="G66" s="1539"/>
      <c r="H66" s="1539"/>
      <c r="I66" s="1539"/>
      <c r="J66" s="1539"/>
      <c r="K66" s="1539"/>
      <c r="L66" s="1539"/>
      <c r="M66" s="1580"/>
      <c r="N66" s="1795"/>
      <c r="O66" s="1795"/>
      <c r="P66" s="1862"/>
      <c r="Q66" s="1788"/>
    </row>
    <row r="67" spans="1:17" ht="15">
      <c r="A67" s="1337"/>
      <c r="B67" s="1544" t="s">
        <v>1675</v>
      </c>
      <c r="C67" s="1545" t="str">
        <f>C68&amp;"（含）"&amp;"-"&amp;D68</f>
        <v>（含）-</v>
      </c>
      <c r="D67" s="1545" t="str">
        <f t="shared" ref="D67:L67" si="20">D68&amp;"（含）"&amp;"-"&amp;E68</f>
        <v>（含）-</v>
      </c>
      <c r="E67" s="1545" t="str">
        <f t="shared" si="20"/>
        <v>（含）-</v>
      </c>
      <c r="F67" s="1545" t="str">
        <f t="shared" si="20"/>
        <v>（含）-</v>
      </c>
      <c r="G67" s="1545" t="str">
        <f t="shared" si="20"/>
        <v>（含）-</v>
      </c>
      <c r="H67" s="1545" t="str">
        <f t="shared" si="20"/>
        <v>（含）-</v>
      </c>
      <c r="I67" s="1545" t="str">
        <f t="shared" si="20"/>
        <v>（含）-</v>
      </c>
      <c r="J67" s="1545" t="str">
        <f t="shared" si="20"/>
        <v>（含）-</v>
      </c>
      <c r="K67" s="1545" t="str">
        <f t="shared" si="20"/>
        <v>（含）-</v>
      </c>
      <c r="L67" s="1545" t="str">
        <f t="shared" si="20"/>
        <v>（含）-</v>
      </c>
      <c r="M67" s="1357" t="str">
        <f>M68&amp;"（含）"&amp;"-"&amp;P68</f>
        <v>（含）-</v>
      </c>
      <c r="N67" s="1795"/>
      <c r="O67" s="1795"/>
      <c r="P67" s="1862"/>
      <c r="Q67" s="1788"/>
    </row>
    <row r="68" spans="1:17" ht="15">
      <c r="A68" s="1337"/>
      <c r="B68" s="1546"/>
      <c r="C68" s="1343"/>
      <c r="D68" s="1343"/>
      <c r="E68" s="1343"/>
      <c r="F68" s="1343"/>
      <c r="G68" s="1343"/>
      <c r="H68" s="1343"/>
      <c r="I68" s="1343"/>
      <c r="J68" s="1343"/>
      <c r="K68" s="1586"/>
      <c r="L68" s="1587"/>
      <c r="M68" s="1588"/>
      <c r="N68" s="1793"/>
      <c r="O68" s="1793"/>
      <c r="P68" s="1862"/>
      <c r="Q68" s="1788"/>
    </row>
    <row r="69" spans="1:17" ht="15">
      <c r="A69" s="1337"/>
      <c r="B69" s="1538"/>
      <c r="C69" s="1543">
        <v>100</v>
      </c>
      <c r="D69" s="1543">
        <f t="shared" ref="D69:M69" si="21">C69-$K11</f>
        <v>100</v>
      </c>
      <c r="E69" s="1543">
        <f t="shared" si="21"/>
        <v>100</v>
      </c>
      <c r="F69" s="1543">
        <f t="shared" si="21"/>
        <v>100</v>
      </c>
      <c r="G69" s="1543">
        <f t="shared" si="21"/>
        <v>100</v>
      </c>
      <c r="H69" s="1543">
        <f t="shared" si="21"/>
        <v>100</v>
      </c>
      <c r="I69" s="1543">
        <f t="shared" si="21"/>
        <v>100</v>
      </c>
      <c r="J69" s="1543">
        <f t="shared" si="21"/>
        <v>100</v>
      </c>
      <c r="K69" s="1543">
        <f t="shared" si="21"/>
        <v>100</v>
      </c>
      <c r="L69" s="1543">
        <f t="shared" si="21"/>
        <v>100</v>
      </c>
      <c r="M69" s="1585">
        <f t="shared" si="21"/>
        <v>100</v>
      </c>
      <c r="N69" s="1795"/>
      <c r="O69" s="1795"/>
      <c r="P69" s="1862"/>
      <c r="Q69" s="1788"/>
    </row>
    <row r="70" spans="1:17" s="1295" customFormat="1" ht="15">
      <c r="A70" s="1547"/>
      <c r="B70" s="1540">
        <f>B12</f>
        <v>111</v>
      </c>
      <c r="C70" s="1548"/>
      <c r="D70" s="1548"/>
      <c r="E70" s="1548"/>
      <c r="F70" s="1548"/>
      <c r="G70" s="1548"/>
      <c r="H70" s="1549"/>
      <c r="I70" s="1549"/>
      <c r="J70" s="1549"/>
      <c r="K70" s="1549"/>
      <c r="L70" s="1589"/>
      <c r="M70" s="1590"/>
      <c r="N70" s="1796"/>
      <c r="O70" s="1796"/>
      <c r="P70" s="1865"/>
      <c r="Q70" s="1798"/>
    </row>
    <row r="71" spans="1:17" s="1295" customFormat="1" ht="15">
      <c r="A71" s="1547"/>
      <c r="B71" s="1542"/>
      <c r="C71" s="1550"/>
      <c r="D71" s="1539"/>
      <c r="E71" s="1539"/>
      <c r="F71" s="1539"/>
      <c r="G71" s="1539"/>
      <c r="H71" s="1539"/>
      <c r="I71" s="1539"/>
      <c r="J71" s="1539"/>
      <c r="K71" s="1539"/>
      <c r="L71" s="1539"/>
      <c r="M71" s="1580"/>
      <c r="N71" s="1795"/>
      <c r="O71" s="1795"/>
      <c r="P71" s="1865"/>
      <c r="Q71" s="1798"/>
    </row>
    <row r="72" spans="1:17" s="1295" customFormat="1" ht="15">
      <c r="A72" s="1547"/>
      <c r="B72" s="1540">
        <f>B13</f>
        <v>111</v>
      </c>
      <c r="C72" s="1548"/>
      <c r="D72" s="1548"/>
      <c r="E72" s="1548"/>
      <c r="F72" s="1548"/>
      <c r="G72" s="1548"/>
      <c r="H72" s="1549"/>
      <c r="I72" s="1549"/>
      <c r="J72" s="1549"/>
      <c r="K72" s="1549"/>
      <c r="L72" s="1589"/>
      <c r="M72" s="1590"/>
      <c r="N72" s="1796"/>
      <c r="O72" s="1796"/>
      <c r="P72" s="1866"/>
      <c r="Q72" s="1801"/>
    </row>
    <row r="73" spans="1:17" s="1295" customFormat="1" ht="15">
      <c r="A73" s="1547"/>
      <c r="B73" s="1542"/>
      <c r="C73" s="1550"/>
      <c r="D73" s="1550"/>
      <c r="E73" s="1550"/>
      <c r="F73" s="1550"/>
      <c r="G73" s="1550"/>
      <c r="H73" s="1551"/>
      <c r="I73" s="1551"/>
      <c r="J73" s="1551"/>
      <c r="K73" s="1551"/>
      <c r="L73" s="1551"/>
      <c r="M73" s="1592"/>
      <c r="N73" s="1796"/>
      <c r="O73" s="1796"/>
      <c r="P73" s="1865"/>
      <c r="Q73" s="1798"/>
    </row>
    <row r="74" spans="1:17" s="1295" customFormat="1" ht="15">
      <c r="A74" s="1547"/>
      <c r="B74" s="1544">
        <f>B14</f>
        <v>111</v>
      </c>
      <c r="C74" s="1548"/>
      <c r="D74" s="1548"/>
      <c r="E74" s="1548"/>
      <c r="F74" s="1548"/>
      <c r="G74" s="1534"/>
      <c r="H74" s="1552"/>
      <c r="I74" s="1552"/>
      <c r="J74" s="1552"/>
      <c r="K74" s="1552"/>
      <c r="L74" s="1593"/>
      <c r="M74" s="1594"/>
      <c r="N74" s="1796"/>
      <c r="O74" s="1796"/>
      <c r="P74" s="1867"/>
      <c r="Q74" s="1798"/>
    </row>
    <row r="75" spans="1:17" s="1295" customFormat="1" ht="15">
      <c r="A75" s="1553"/>
      <c r="B75" s="1554"/>
      <c r="C75" s="1555"/>
      <c r="D75" s="1555"/>
      <c r="E75" s="1555"/>
      <c r="F75" s="1555"/>
      <c r="G75" s="1555"/>
      <c r="H75" s="1556"/>
      <c r="I75" s="1556"/>
      <c r="J75" s="1556"/>
      <c r="K75" s="1556"/>
      <c r="L75" s="1556"/>
      <c r="M75" s="1596"/>
      <c r="N75" s="1796"/>
      <c r="O75" s="1796"/>
      <c r="P75" s="1865"/>
      <c r="Q75" s="1798"/>
    </row>
    <row r="76" spans="1:17">
      <c r="A76" s="1350" t="s">
        <v>1676</v>
      </c>
      <c r="B76" s="1537" t="s">
        <v>2203</v>
      </c>
      <c r="C76" s="1557" t="s">
        <v>1722</v>
      </c>
      <c r="D76" s="1557" t="s">
        <v>1723</v>
      </c>
      <c r="E76" s="1557" t="s">
        <v>1724</v>
      </c>
      <c r="F76" s="1557" t="s">
        <v>1725</v>
      </c>
      <c r="G76" s="1557" t="s">
        <v>1726</v>
      </c>
      <c r="H76" s="621"/>
      <c r="I76" s="621"/>
      <c r="J76" s="621"/>
      <c r="K76" s="1597"/>
      <c r="L76" s="1598"/>
      <c r="M76" s="1599"/>
      <c r="N76" s="1793"/>
      <c r="O76" s="1793"/>
      <c r="P76" s="1868"/>
      <c r="Q76" s="1788"/>
    </row>
    <row r="77" spans="1:17" ht="15">
      <c r="A77" s="1337"/>
      <c r="B77" s="1542"/>
      <c r="C77" s="1543">
        <v>100</v>
      </c>
      <c r="D77" s="1543">
        <f>C77-$K15</f>
        <v>100</v>
      </c>
      <c r="E77" s="1543">
        <f>D77-$K15</f>
        <v>100</v>
      </c>
      <c r="F77" s="1543">
        <f>E77-$K15</f>
        <v>100</v>
      </c>
      <c r="G77" s="1543">
        <f>F77-$K15</f>
        <v>100</v>
      </c>
      <c r="H77" s="1543"/>
      <c r="I77" s="1543"/>
      <c r="J77" s="1543"/>
      <c r="K77" s="1543"/>
      <c r="L77" s="1543"/>
      <c r="M77" s="1585"/>
      <c r="N77" s="1795"/>
      <c r="O77" s="1795"/>
      <c r="P77" s="1862"/>
      <c r="Q77" s="1788"/>
    </row>
    <row r="78" spans="1:17" ht="15">
      <c r="A78" s="1337"/>
      <c r="B78" s="1540" t="s">
        <v>1682</v>
      </c>
      <c r="C78" s="1558" t="s">
        <v>1722</v>
      </c>
      <c r="D78" s="1558" t="s">
        <v>1723</v>
      </c>
      <c r="E78" s="1558" t="s">
        <v>1724</v>
      </c>
      <c r="F78" s="1558" t="s">
        <v>1725</v>
      </c>
      <c r="G78" s="1558" t="s">
        <v>1726</v>
      </c>
      <c r="H78" s="1541"/>
      <c r="I78" s="1541"/>
      <c r="J78" s="1541"/>
      <c r="K78" s="1582"/>
      <c r="L78" s="1583"/>
      <c r="M78" s="1584"/>
      <c r="N78" s="1793"/>
      <c r="O78" s="1793"/>
      <c r="P78" s="1862"/>
      <c r="Q78" s="1788"/>
    </row>
    <row r="79" spans="1:17" ht="15">
      <c r="A79" s="1337"/>
      <c r="B79" s="1542"/>
      <c r="C79" s="1543">
        <v>100</v>
      </c>
      <c r="D79" s="1543">
        <f>C79-$K17</f>
        <v>100</v>
      </c>
      <c r="E79" s="1543">
        <f>D79-$K17</f>
        <v>100</v>
      </c>
      <c r="F79" s="1543">
        <f>E79-$K17</f>
        <v>100</v>
      </c>
      <c r="G79" s="1543">
        <f>F79-$K17</f>
        <v>100</v>
      </c>
      <c r="H79" s="1543"/>
      <c r="I79" s="1543"/>
      <c r="J79" s="1543"/>
      <c r="K79" s="1543"/>
      <c r="L79" s="1543"/>
      <c r="M79" s="1585"/>
      <c r="N79" s="1795"/>
      <c r="O79" s="1795"/>
      <c r="P79" s="1862"/>
      <c r="Q79" s="1788"/>
    </row>
    <row r="80" spans="1:17" ht="15">
      <c r="A80" s="1337"/>
      <c r="B80" s="1540" t="s">
        <v>1683</v>
      </c>
      <c r="C80" s="1558" t="s">
        <v>1722</v>
      </c>
      <c r="D80" s="1558" t="s">
        <v>1723</v>
      </c>
      <c r="E80" s="1558" t="s">
        <v>1724</v>
      </c>
      <c r="F80" s="1558" t="s">
        <v>1725</v>
      </c>
      <c r="G80" s="1558" t="s">
        <v>1726</v>
      </c>
      <c r="H80" s="1541"/>
      <c r="I80" s="1541"/>
      <c r="J80" s="1541"/>
      <c r="K80" s="1582"/>
      <c r="L80" s="1583"/>
      <c r="M80" s="1584"/>
      <c r="N80" s="1793"/>
      <c r="O80" s="1793"/>
      <c r="P80" s="1862"/>
      <c r="Q80" s="1788"/>
    </row>
    <row r="81" spans="1:17" ht="15">
      <c r="A81" s="1337"/>
      <c r="B81" s="1542"/>
      <c r="C81" s="1543">
        <v>100</v>
      </c>
      <c r="D81" s="1543">
        <f>C81-$K19</f>
        <v>100</v>
      </c>
      <c r="E81" s="1543">
        <f>D81-$K19</f>
        <v>100</v>
      </c>
      <c r="F81" s="1543">
        <f>E81-$K19</f>
        <v>100</v>
      </c>
      <c r="G81" s="1543">
        <f>F81-$K19</f>
        <v>100</v>
      </c>
      <c r="H81" s="1543"/>
      <c r="I81" s="1543"/>
      <c r="J81" s="1543"/>
      <c r="K81" s="1543"/>
      <c r="L81" s="1543"/>
      <c r="M81" s="1585"/>
      <c r="N81" s="1795"/>
      <c r="O81" s="1795"/>
      <c r="P81" s="1862"/>
      <c r="Q81" s="1788"/>
    </row>
    <row r="82" spans="1:17" ht="15">
      <c r="A82" s="1337"/>
      <c r="B82" s="1544" t="s">
        <v>1684</v>
      </c>
      <c r="C82" s="1541" t="s">
        <v>1727</v>
      </c>
      <c r="D82" s="1541" t="s">
        <v>1728</v>
      </c>
      <c r="E82" s="1541" t="s">
        <v>1729</v>
      </c>
      <c r="F82" s="1541" t="s">
        <v>1730</v>
      </c>
      <c r="G82" s="1541" t="s">
        <v>1731</v>
      </c>
      <c r="H82" s="1541"/>
      <c r="I82" s="1541"/>
      <c r="J82" s="1541"/>
      <c r="K82" s="1541"/>
      <c r="L82" s="1541"/>
      <c r="M82" s="1704"/>
      <c r="N82" s="1795"/>
      <c r="O82" s="1795"/>
      <c r="P82" s="1862"/>
      <c r="Q82" s="1788"/>
    </row>
    <row r="83" spans="1:17" ht="15">
      <c r="A83" s="1337"/>
      <c r="B83" s="1544"/>
      <c r="C83" s="1476">
        <v>100</v>
      </c>
      <c r="D83" s="1476">
        <f>C83-$K21</f>
        <v>100</v>
      </c>
      <c r="E83" s="1476">
        <f t="shared" ref="E83:G83" si="22">D83-$K21</f>
        <v>100</v>
      </c>
      <c r="F83" s="1476">
        <f t="shared" si="22"/>
        <v>100</v>
      </c>
      <c r="G83" s="1476">
        <f t="shared" si="22"/>
        <v>100</v>
      </c>
      <c r="H83" s="1476"/>
      <c r="I83" s="1476"/>
      <c r="J83" s="1476"/>
      <c r="K83" s="1476"/>
      <c r="L83" s="1476"/>
      <c r="M83" s="1359"/>
      <c r="N83" s="1795"/>
      <c r="O83" s="1795"/>
      <c r="P83" s="1862"/>
      <c r="Q83" s="1788"/>
    </row>
    <row r="84" spans="1:17" ht="15">
      <c r="A84" s="1337"/>
      <c r="B84" s="1540" t="s">
        <v>2204</v>
      </c>
      <c r="C84" s="1558" t="s">
        <v>1722</v>
      </c>
      <c r="D84" s="1558" t="s">
        <v>1723</v>
      </c>
      <c r="E84" s="1558" t="s">
        <v>1724</v>
      </c>
      <c r="F84" s="1558" t="s">
        <v>1725</v>
      </c>
      <c r="G84" s="1558" t="s">
        <v>1726</v>
      </c>
      <c r="H84" s="1541"/>
      <c r="I84" s="1541"/>
      <c r="J84" s="1541"/>
      <c r="K84" s="1582"/>
      <c r="L84" s="1583"/>
      <c r="M84" s="1584"/>
      <c r="N84" s="1793"/>
      <c r="O84" s="1793"/>
      <c r="P84" s="1862"/>
      <c r="Q84" s="1788"/>
    </row>
    <row r="85" spans="1:17" ht="15">
      <c r="A85" s="1337"/>
      <c r="B85" s="1542"/>
      <c r="C85" s="1543">
        <v>100</v>
      </c>
      <c r="D85" s="1543">
        <f>C85-$K23</f>
        <v>100</v>
      </c>
      <c r="E85" s="1543">
        <f>D85-$K23</f>
        <v>100</v>
      </c>
      <c r="F85" s="1543">
        <f>E85-$K23</f>
        <v>100</v>
      </c>
      <c r="G85" s="1543">
        <f>F85-$K23</f>
        <v>100</v>
      </c>
      <c r="H85" s="1543"/>
      <c r="I85" s="1543"/>
      <c r="J85" s="1543"/>
      <c r="K85" s="1543"/>
      <c r="L85" s="1543"/>
      <c r="M85" s="1585"/>
      <c r="N85" s="1795"/>
      <c r="O85" s="1795"/>
      <c r="P85" s="1862"/>
      <c r="Q85" s="1788"/>
    </row>
    <row r="86" spans="1:17" s="1293" customFormat="1" ht="15">
      <c r="A86" s="1340"/>
      <c r="B86" s="1540" t="s">
        <v>2205</v>
      </c>
      <c r="C86" s="1548"/>
      <c r="D86" s="1548"/>
      <c r="E86" s="1548"/>
      <c r="F86" s="1548"/>
      <c r="G86" s="1548"/>
      <c r="H86" s="1548"/>
      <c r="I86" s="1548"/>
      <c r="J86" s="1548"/>
      <c r="K86" s="1548"/>
      <c r="L86" s="1705"/>
      <c r="M86" s="1706"/>
      <c r="N86" s="1791"/>
      <c r="O86" s="1791"/>
      <c r="P86" s="1862"/>
      <c r="Q86" s="1788"/>
    </row>
    <row r="87" spans="1:17" s="1293" customFormat="1" ht="15">
      <c r="A87" s="1340"/>
      <c r="B87" s="1542"/>
      <c r="C87" s="1559">
        <v>100</v>
      </c>
      <c r="D87" s="1543">
        <f t="shared" ref="D87:M87" si="23">$C$87-($C$86-D86)*$K$25</f>
        <v>100</v>
      </c>
      <c r="E87" s="1543">
        <f t="shared" si="23"/>
        <v>100</v>
      </c>
      <c r="F87" s="1543">
        <f t="shared" si="23"/>
        <v>100</v>
      </c>
      <c r="G87" s="1543">
        <f t="shared" si="23"/>
        <v>100</v>
      </c>
      <c r="H87" s="1543">
        <f t="shared" si="23"/>
        <v>100</v>
      </c>
      <c r="I87" s="1543">
        <f t="shared" si="23"/>
        <v>100</v>
      </c>
      <c r="J87" s="1543">
        <f t="shared" si="23"/>
        <v>100</v>
      </c>
      <c r="K87" s="1543">
        <f t="shared" si="23"/>
        <v>100</v>
      </c>
      <c r="L87" s="1543">
        <f t="shared" si="23"/>
        <v>100</v>
      </c>
      <c r="M87" s="1543">
        <f t="shared" si="23"/>
        <v>100</v>
      </c>
      <c r="N87" s="1795"/>
      <c r="O87" s="1795"/>
      <c r="P87" s="1862"/>
      <c r="Q87" s="1788"/>
    </row>
    <row r="88" spans="1:17" s="1293" customFormat="1" ht="15">
      <c r="A88" s="1340"/>
      <c r="B88" s="1540" t="s">
        <v>1690</v>
      </c>
      <c r="C88" s="1548"/>
      <c r="D88" s="1548"/>
      <c r="E88" s="1548"/>
      <c r="F88" s="1823"/>
      <c r="G88" s="1548"/>
      <c r="H88" s="1548"/>
      <c r="I88" s="1548"/>
      <c r="J88" s="1548"/>
      <c r="K88" s="1548"/>
      <c r="L88" s="1548"/>
      <c r="M88" s="1706"/>
      <c r="N88" s="1791"/>
      <c r="O88" s="1791"/>
      <c r="P88" s="1862"/>
      <c r="Q88" s="1788"/>
    </row>
    <row r="89" spans="1:17" s="1293" customFormat="1" ht="15">
      <c r="A89" s="1340"/>
      <c r="B89" s="1542"/>
      <c r="C89" s="1559">
        <v>100</v>
      </c>
      <c r="D89" s="1543">
        <f t="shared" ref="D89:M89" si="24">C89-$K26</f>
        <v>100</v>
      </c>
      <c r="E89" s="1543">
        <f t="shared" si="24"/>
        <v>100</v>
      </c>
      <c r="F89" s="1543">
        <f t="shared" si="24"/>
        <v>100</v>
      </c>
      <c r="G89" s="1543">
        <f t="shared" si="24"/>
        <v>100</v>
      </c>
      <c r="H89" s="1543">
        <f t="shared" si="24"/>
        <v>100</v>
      </c>
      <c r="I89" s="1543">
        <f t="shared" si="24"/>
        <v>100</v>
      </c>
      <c r="J89" s="1543">
        <f t="shared" si="24"/>
        <v>100</v>
      </c>
      <c r="K89" s="1543">
        <f t="shared" si="24"/>
        <v>100</v>
      </c>
      <c r="L89" s="1543">
        <f t="shared" si="24"/>
        <v>100</v>
      </c>
      <c r="M89" s="1543">
        <f t="shared" si="24"/>
        <v>100</v>
      </c>
      <c r="N89" s="1795"/>
      <c r="O89" s="1795"/>
      <c r="P89" s="1862"/>
      <c r="Q89" s="1788"/>
    </row>
    <row r="90" spans="1:17" s="1295" customFormat="1" ht="15">
      <c r="A90" s="1547"/>
      <c r="B90" s="1540">
        <f>B27</f>
        <v>111</v>
      </c>
      <c r="C90" s="1548"/>
      <c r="D90" s="1548"/>
      <c r="E90" s="1548"/>
      <c r="F90" s="1548"/>
      <c r="G90" s="1548"/>
      <c r="H90" s="1549"/>
      <c r="I90" s="1549"/>
      <c r="J90" s="1549"/>
      <c r="K90" s="1549"/>
      <c r="L90" s="1589"/>
      <c r="M90" s="1590"/>
      <c r="N90" s="1796"/>
      <c r="O90" s="1796"/>
      <c r="P90" s="1865"/>
      <c r="Q90" s="1798"/>
    </row>
    <row r="91" spans="1:17" s="1295" customFormat="1" ht="15">
      <c r="A91" s="1547"/>
      <c r="B91" s="1542"/>
      <c r="C91" s="1550"/>
      <c r="D91" s="1550"/>
      <c r="E91" s="1550"/>
      <c r="F91" s="1550"/>
      <c r="G91" s="1550"/>
      <c r="H91" s="1551"/>
      <c r="I91" s="1551"/>
      <c r="J91" s="1551"/>
      <c r="K91" s="1551"/>
      <c r="L91" s="1551"/>
      <c r="M91" s="1592"/>
      <c r="N91" s="1796"/>
      <c r="O91" s="1796"/>
      <c r="P91" s="1865"/>
      <c r="Q91" s="1798"/>
    </row>
    <row r="92" spans="1:17" ht="15">
      <c r="A92" s="1337"/>
      <c r="B92" s="1540">
        <f>B28</f>
        <v>111</v>
      </c>
      <c r="C92" s="1548"/>
      <c r="D92" s="1548"/>
      <c r="E92" s="1548"/>
      <c r="F92" s="1548"/>
      <c r="G92" s="1562"/>
      <c r="H92" s="1562"/>
      <c r="I92" s="1562"/>
      <c r="J92" s="1562"/>
      <c r="K92" s="1607"/>
      <c r="L92" s="1608"/>
      <c r="M92" s="1609"/>
      <c r="N92" s="1793"/>
      <c r="O92" s="1793"/>
      <c r="P92" s="1862"/>
      <c r="Q92" s="1788"/>
    </row>
    <row r="93" spans="1:17" ht="15">
      <c r="A93" s="1337"/>
      <c r="B93" s="1542"/>
      <c r="C93" s="1550"/>
      <c r="D93" s="1539"/>
      <c r="E93" s="1539"/>
      <c r="F93" s="1539"/>
      <c r="G93" s="1539"/>
      <c r="H93" s="1539"/>
      <c r="I93" s="1539"/>
      <c r="J93" s="1539"/>
      <c r="K93" s="1539"/>
      <c r="L93" s="1539"/>
      <c r="M93" s="1580"/>
      <c r="N93" s="1795"/>
      <c r="O93" s="1795"/>
      <c r="P93" s="1862"/>
      <c r="Q93" s="1788"/>
    </row>
    <row r="94" spans="1:17" ht="15">
      <c r="A94" s="1337"/>
      <c r="B94" s="1540">
        <f>B29</f>
        <v>111</v>
      </c>
      <c r="C94" s="1548"/>
      <c r="D94" s="1548"/>
      <c r="E94" s="1548"/>
      <c r="F94" s="1548"/>
      <c r="G94" s="1562"/>
      <c r="H94" s="1562"/>
      <c r="I94" s="1562"/>
      <c r="J94" s="1562"/>
      <c r="K94" s="1607"/>
      <c r="L94" s="1608"/>
      <c r="M94" s="1609"/>
      <c r="N94" s="1793"/>
      <c r="O94" s="1793"/>
      <c r="P94" s="1862"/>
      <c r="Q94" s="1788"/>
    </row>
    <row r="95" spans="1:17" ht="15">
      <c r="A95" s="1337"/>
      <c r="B95" s="1542"/>
      <c r="C95" s="1550"/>
      <c r="D95" s="1550"/>
      <c r="E95" s="1550"/>
      <c r="F95" s="1550"/>
      <c r="G95" s="1539"/>
      <c r="H95" s="1539"/>
      <c r="I95" s="1539"/>
      <c r="J95" s="1539"/>
      <c r="K95" s="1539"/>
      <c r="L95" s="1539"/>
      <c r="M95" s="1580"/>
      <c r="N95" s="1795"/>
      <c r="O95" s="1795"/>
      <c r="P95" s="1862"/>
      <c r="Q95" s="1788"/>
    </row>
    <row r="96" spans="1:17" ht="15">
      <c r="A96" s="1337"/>
      <c r="B96" s="1540">
        <f>B30</f>
        <v>111</v>
      </c>
      <c r="C96" s="1548"/>
      <c r="D96" s="1548"/>
      <c r="E96" s="1548"/>
      <c r="F96" s="1548"/>
      <c r="G96" s="1562"/>
      <c r="H96" s="1562"/>
      <c r="I96" s="1562"/>
      <c r="J96" s="1562"/>
      <c r="K96" s="1607"/>
      <c r="L96" s="1608"/>
      <c r="M96" s="1609"/>
      <c r="N96" s="1793"/>
      <c r="O96" s="1793"/>
      <c r="P96" s="1862"/>
      <c r="Q96" s="1788"/>
    </row>
    <row r="97" spans="1:17" ht="15">
      <c r="A97" s="1337"/>
      <c r="B97" s="1542"/>
      <c r="C97" s="1555"/>
      <c r="D97" s="1555"/>
      <c r="E97" s="1555"/>
      <c r="F97" s="1555"/>
      <c r="G97" s="1539"/>
      <c r="H97" s="1539"/>
      <c r="I97" s="1539"/>
      <c r="J97" s="1539"/>
      <c r="K97" s="1539"/>
      <c r="L97" s="1539"/>
      <c r="M97" s="1580"/>
      <c r="N97" s="1795"/>
      <c r="O97" s="1795"/>
      <c r="P97" s="1862"/>
      <c r="Q97" s="1788"/>
    </row>
    <row r="98" spans="1:17" ht="15">
      <c r="A98" s="1337"/>
      <c r="B98" s="1544">
        <f>B31</f>
        <v>111</v>
      </c>
      <c r="C98" s="1563"/>
      <c r="D98" s="1563"/>
      <c r="E98" s="1563"/>
      <c r="F98" s="1563"/>
      <c r="G98" s="1563"/>
      <c r="H98" s="1563"/>
      <c r="I98" s="1563"/>
      <c r="J98" s="1563"/>
      <c r="K98" s="1610"/>
      <c r="L98" s="1611"/>
      <c r="M98" s="1612"/>
      <c r="N98" s="1793"/>
      <c r="O98" s="1793"/>
      <c r="P98" s="1862"/>
      <c r="Q98" s="1788"/>
    </row>
    <row r="99" spans="1:17" ht="15">
      <c r="A99" s="1346"/>
      <c r="B99" s="1554"/>
      <c r="C99" s="1564"/>
      <c r="D99" s="1564"/>
      <c r="E99" s="1564"/>
      <c r="F99" s="1564"/>
      <c r="G99" s="1564"/>
      <c r="H99" s="1564"/>
      <c r="I99" s="1564"/>
      <c r="J99" s="1564"/>
      <c r="K99" s="1564"/>
      <c r="L99" s="1564"/>
      <c r="M99" s="1613"/>
      <c r="N99" s="1795"/>
      <c r="O99" s="1795"/>
      <c r="P99" s="1862"/>
      <c r="Q99" s="1788"/>
    </row>
    <row r="100" spans="1:17">
      <c r="A100" s="1350" t="s">
        <v>1691</v>
      </c>
      <c r="B100" s="1537" t="s">
        <v>1692</v>
      </c>
      <c r="C100" s="1484"/>
      <c r="D100" s="1484"/>
      <c r="E100" s="1484"/>
      <c r="F100" s="1484"/>
      <c r="G100" s="1484"/>
      <c r="H100" s="1484"/>
      <c r="I100" s="1484"/>
      <c r="J100" s="1484"/>
      <c r="K100" s="1576"/>
      <c r="L100" s="1577"/>
      <c r="M100" s="1578"/>
      <c r="N100" s="1793"/>
      <c r="O100" s="1793"/>
      <c r="P100" s="1862"/>
      <c r="Q100" s="1788"/>
    </row>
    <row r="101" spans="1:17" ht="15">
      <c r="A101" s="1337"/>
      <c r="B101" s="1542"/>
      <c r="C101" s="1543">
        <v>100</v>
      </c>
      <c r="D101" s="1543">
        <f t="shared" ref="D101:M101" si="25">C101-$K32</f>
        <v>100</v>
      </c>
      <c r="E101" s="1543">
        <f t="shared" si="25"/>
        <v>100</v>
      </c>
      <c r="F101" s="1543">
        <f t="shared" si="25"/>
        <v>100</v>
      </c>
      <c r="G101" s="1543">
        <f t="shared" si="25"/>
        <v>100</v>
      </c>
      <c r="H101" s="1543">
        <f t="shared" si="25"/>
        <v>100</v>
      </c>
      <c r="I101" s="1543">
        <f t="shared" si="25"/>
        <v>100</v>
      </c>
      <c r="J101" s="1543">
        <f t="shared" si="25"/>
        <v>100</v>
      </c>
      <c r="K101" s="1543">
        <f t="shared" si="25"/>
        <v>100</v>
      </c>
      <c r="L101" s="1543">
        <f t="shared" si="25"/>
        <v>100</v>
      </c>
      <c r="M101" s="1543">
        <f t="shared" si="25"/>
        <v>100</v>
      </c>
      <c r="N101" s="1795"/>
      <c r="O101" s="1795"/>
      <c r="P101" s="1862"/>
      <c r="Q101" s="1788"/>
    </row>
    <row r="102" spans="1:17" ht="15">
      <c r="A102" s="1337"/>
      <c r="B102" s="1540" t="s">
        <v>1695</v>
      </c>
      <c r="C102" s="1558" t="str">
        <f>C103&amp;"(含)"&amp;"-"&amp;D103</f>
        <v>(含)-</v>
      </c>
      <c r="D102" s="1558" t="str">
        <f t="shared" ref="D102:L102" si="26">D103&amp;"(含)"&amp;"-"&amp;E103</f>
        <v>(含)-</v>
      </c>
      <c r="E102" s="1558" t="str">
        <f t="shared" si="26"/>
        <v>(含)-</v>
      </c>
      <c r="F102" s="1558" t="str">
        <f t="shared" si="26"/>
        <v>(含)-</v>
      </c>
      <c r="G102" s="1558" t="str">
        <f t="shared" si="26"/>
        <v>(含)-</v>
      </c>
      <c r="H102" s="1558" t="str">
        <f t="shared" si="26"/>
        <v>(含)-</v>
      </c>
      <c r="I102" s="1558" t="str">
        <f t="shared" si="26"/>
        <v>(含)-</v>
      </c>
      <c r="J102" s="1558" t="str">
        <f t="shared" si="26"/>
        <v>(含)-</v>
      </c>
      <c r="K102" s="1558" t="str">
        <f t="shared" si="26"/>
        <v>(含)-</v>
      </c>
      <c r="L102" s="1558" t="str">
        <f t="shared" si="26"/>
        <v>(含)-</v>
      </c>
      <c r="M102" s="1558" t="str">
        <f>M103&amp;"(含)"&amp;"-"&amp;P103</f>
        <v>(含)-</v>
      </c>
      <c r="N102" s="1791"/>
      <c r="O102" s="1791"/>
      <c r="P102" s="1862"/>
      <c r="Q102" s="1788"/>
    </row>
    <row r="103" spans="1:17" s="1295" customFormat="1">
      <c r="A103" s="1390"/>
      <c r="B103" s="1565"/>
      <c r="C103" s="1526"/>
      <c r="D103" s="1526"/>
      <c r="E103" s="1526"/>
      <c r="F103" s="1526"/>
      <c r="G103" s="1526"/>
      <c r="H103" s="1526"/>
      <c r="I103" s="1526"/>
      <c r="J103" s="1614"/>
      <c r="K103" s="1614"/>
      <c r="L103" s="1615"/>
      <c r="M103" s="1616"/>
      <c r="N103" s="1796"/>
      <c r="O103" s="1796"/>
      <c r="P103" s="1865"/>
      <c r="Q103" s="1798"/>
    </row>
    <row r="104" spans="1:17" s="1295" customFormat="1" ht="15">
      <c r="A104" s="1547"/>
      <c r="B104" s="1542"/>
      <c r="C104" s="1550"/>
      <c r="D104" s="1539"/>
      <c r="E104" s="1539"/>
      <c r="F104" s="1539"/>
      <c r="G104" s="1539"/>
      <c r="H104" s="1539"/>
      <c r="I104" s="1539"/>
      <c r="J104" s="1539"/>
      <c r="K104" s="1539"/>
      <c r="L104" s="1539"/>
      <c r="M104" s="1539"/>
      <c r="N104" s="1795"/>
      <c r="O104" s="1795"/>
      <c r="P104" s="1865"/>
      <c r="Q104" s="1798"/>
    </row>
    <row r="105" spans="1:17">
      <c r="A105" s="1385"/>
      <c r="B105" s="1540" t="s">
        <v>1696</v>
      </c>
      <c r="C105" s="1548"/>
      <c r="D105" s="1548"/>
      <c r="E105" s="1562"/>
      <c r="F105" s="1562"/>
      <c r="G105" s="1562"/>
      <c r="H105" s="1562"/>
      <c r="I105" s="1562"/>
      <c r="J105" s="1562"/>
      <c r="K105" s="1607"/>
      <c r="L105" s="1608"/>
      <c r="M105" s="1609"/>
      <c r="N105" s="1793"/>
      <c r="O105" s="1793"/>
      <c r="P105" s="1862"/>
      <c r="Q105" s="1788"/>
    </row>
    <row r="106" spans="1:17" ht="15">
      <c r="A106" s="1337"/>
      <c r="B106" s="1542"/>
      <c r="C106" s="1543">
        <v>100</v>
      </c>
      <c r="D106" s="1543">
        <f t="shared" ref="D106:M106" si="27">C106-$K34</f>
        <v>100</v>
      </c>
      <c r="E106" s="1543">
        <f t="shared" si="27"/>
        <v>100</v>
      </c>
      <c r="F106" s="1543">
        <f t="shared" si="27"/>
        <v>100</v>
      </c>
      <c r="G106" s="1543">
        <f t="shared" si="27"/>
        <v>100</v>
      </c>
      <c r="H106" s="1543">
        <f t="shared" si="27"/>
        <v>100</v>
      </c>
      <c r="I106" s="1543">
        <f t="shared" si="27"/>
        <v>100</v>
      </c>
      <c r="J106" s="1543">
        <f t="shared" si="27"/>
        <v>100</v>
      </c>
      <c r="K106" s="1543">
        <f t="shared" si="27"/>
        <v>100</v>
      </c>
      <c r="L106" s="1543">
        <f t="shared" si="27"/>
        <v>100</v>
      </c>
      <c r="M106" s="1543">
        <f t="shared" si="27"/>
        <v>100</v>
      </c>
      <c r="N106" s="1795"/>
      <c r="O106" s="1795"/>
      <c r="P106" s="1862"/>
      <c r="Q106" s="1788"/>
    </row>
    <row r="107" spans="1:17">
      <c r="A107" s="1385"/>
      <c r="B107" s="1540" t="s">
        <v>2206</v>
      </c>
      <c r="C107" s="1562"/>
      <c r="D107" s="1562"/>
      <c r="E107" s="1562"/>
      <c r="F107" s="1562"/>
      <c r="G107" s="1562"/>
      <c r="H107" s="1562"/>
      <c r="I107" s="1562"/>
      <c r="J107" s="1562"/>
      <c r="K107" s="1607"/>
      <c r="L107" s="1608"/>
      <c r="M107" s="1609"/>
      <c r="N107" s="1793"/>
      <c r="O107" s="1793"/>
      <c r="P107" s="1862"/>
      <c r="Q107" s="1788"/>
    </row>
    <row r="108" spans="1:17" ht="15">
      <c r="A108" s="1337"/>
      <c r="B108" s="1542"/>
      <c r="C108" s="1543">
        <v>100</v>
      </c>
      <c r="D108" s="1543">
        <f t="shared" ref="D108:M108" si="28">C108-$K35</f>
        <v>100</v>
      </c>
      <c r="E108" s="1543">
        <f t="shared" si="28"/>
        <v>100</v>
      </c>
      <c r="F108" s="1543">
        <f t="shared" si="28"/>
        <v>100</v>
      </c>
      <c r="G108" s="1543">
        <f t="shared" si="28"/>
        <v>100</v>
      </c>
      <c r="H108" s="1543">
        <f t="shared" si="28"/>
        <v>100</v>
      </c>
      <c r="I108" s="1543">
        <f t="shared" si="28"/>
        <v>100</v>
      </c>
      <c r="J108" s="1543">
        <f t="shared" si="28"/>
        <v>100</v>
      </c>
      <c r="K108" s="1543">
        <f t="shared" si="28"/>
        <v>100</v>
      </c>
      <c r="L108" s="1543">
        <f t="shared" si="28"/>
        <v>100</v>
      </c>
      <c r="M108" s="1543">
        <f t="shared" si="28"/>
        <v>100</v>
      </c>
      <c r="N108" s="1795"/>
      <c r="O108" s="1795"/>
      <c r="P108" s="1862"/>
      <c r="Q108" s="1788"/>
    </row>
    <row r="109" spans="1:17">
      <c r="A109" s="1385"/>
      <c r="B109" s="1540" t="s">
        <v>1698</v>
      </c>
      <c r="C109" s="1548"/>
      <c r="D109" s="1548"/>
      <c r="E109" s="1548"/>
      <c r="F109" s="1562"/>
      <c r="G109" s="1562"/>
      <c r="H109" s="1562"/>
      <c r="I109" s="1562"/>
      <c r="J109" s="1562"/>
      <c r="K109" s="1607"/>
      <c r="L109" s="1608"/>
      <c r="M109" s="1609"/>
      <c r="N109" s="1793"/>
      <c r="O109" s="1793"/>
      <c r="P109" s="1862"/>
      <c r="Q109" s="1788"/>
    </row>
    <row r="110" spans="1:17" ht="15">
      <c r="A110" s="1337"/>
      <c r="B110" s="1542"/>
      <c r="C110" s="1543">
        <v>100</v>
      </c>
      <c r="D110" s="1543">
        <f t="shared" ref="D110:M110" si="29">C110-$K36</f>
        <v>100</v>
      </c>
      <c r="E110" s="1543">
        <f t="shared" si="29"/>
        <v>100</v>
      </c>
      <c r="F110" s="1543">
        <f t="shared" si="29"/>
        <v>100</v>
      </c>
      <c r="G110" s="1543">
        <f t="shared" si="29"/>
        <v>100</v>
      </c>
      <c r="H110" s="1543">
        <f t="shared" si="29"/>
        <v>100</v>
      </c>
      <c r="I110" s="1543">
        <f t="shared" si="29"/>
        <v>100</v>
      </c>
      <c r="J110" s="1543">
        <f t="shared" si="29"/>
        <v>100</v>
      </c>
      <c r="K110" s="1543">
        <f t="shared" si="29"/>
        <v>100</v>
      </c>
      <c r="L110" s="1543">
        <f t="shared" si="29"/>
        <v>100</v>
      </c>
      <c r="M110" s="1543">
        <f t="shared" si="29"/>
        <v>100</v>
      </c>
      <c r="N110" s="1795"/>
      <c r="O110" s="1795"/>
      <c r="P110" s="1862"/>
      <c r="Q110" s="1788"/>
    </row>
    <row r="111" spans="1:17" s="1295" customFormat="1">
      <c r="A111" s="1390"/>
      <c r="B111" s="1540" t="s">
        <v>687</v>
      </c>
      <c r="C111" s="1558" t="str">
        <f>C112&amp;"(含)"&amp;"-"&amp;D112</f>
        <v>0.5(含)-0.6</v>
      </c>
      <c r="D111" s="1558" t="str">
        <f>D112&amp;"(含)"&amp;"-"&amp;E112</f>
        <v>0.6(含)-0.7</v>
      </c>
      <c r="E111" s="1558" t="str">
        <f>E112&amp;"(含)"&amp;"-"&amp;F112</f>
        <v>0.7(含)-0.8</v>
      </c>
      <c r="F111" s="1558" t="str">
        <f>F112&amp;"(含)"&amp;"-"&amp;G112</f>
        <v>0.8(含)-0.9</v>
      </c>
      <c r="G111" s="1558" t="str">
        <f>G112&amp;"(含)"&amp;"-"&amp;ROUND(H112,0)&amp;"(含)"</f>
        <v>0.9(含)-1(含)</v>
      </c>
      <c r="H111" s="1558" t="str">
        <f>ROUND(H112,0)&amp;"(含)"&amp;"-"&amp;I112</f>
        <v>1(含)-</v>
      </c>
      <c r="I111" s="1558"/>
      <c r="J111" s="1560"/>
      <c r="K111" s="1560"/>
      <c r="L111" s="1603"/>
      <c r="M111" s="1604"/>
      <c r="N111" s="1796"/>
      <c r="O111" s="1796"/>
      <c r="P111" s="1865"/>
      <c r="Q111" s="1798"/>
    </row>
    <row r="112" spans="1:17" s="1295" customFormat="1">
      <c r="A112" s="1390"/>
      <c r="B112" s="1544"/>
      <c r="C112" s="794">
        <v>0.5</v>
      </c>
      <c r="D112" s="794">
        <v>0.6</v>
      </c>
      <c r="E112" s="794">
        <v>0.7</v>
      </c>
      <c r="F112" s="794">
        <v>0.8</v>
      </c>
      <c r="G112" s="794">
        <v>0.9</v>
      </c>
      <c r="H112" s="794">
        <v>1.0001</v>
      </c>
      <c r="I112" s="794"/>
      <c r="J112" s="1700"/>
      <c r="K112" s="1700"/>
      <c r="L112" s="1869"/>
      <c r="M112" s="1870"/>
      <c r="N112" s="1796"/>
      <c r="O112" s="1796"/>
      <c r="P112" s="1865"/>
      <c r="Q112" s="1798"/>
    </row>
    <row r="113" spans="1:17" s="1295" customFormat="1" ht="15">
      <c r="A113" s="1547"/>
      <c r="B113" s="1542"/>
      <c r="C113" s="1559">
        <v>100</v>
      </c>
      <c r="D113" s="1543">
        <f>C113+$K37</f>
        <v>100</v>
      </c>
      <c r="E113" s="1543">
        <f>D113+$K37</f>
        <v>100</v>
      </c>
      <c r="F113" s="1543">
        <f>E113+$K37</f>
        <v>100</v>
      </c>
      <c r="G113" s="1543">
        <f>F113+$K37</f>
        <v>100</v>
      </c>
      <c r="H113" s="1543">
        <f>G113+$K37</f>
        <v>100</v>
      </c>
      <c r="I113" s="1559"/>
      <c r="J113" s="1561"/>
      <c r="K113" s="1561"/>
      <c r="L113" s="1561"/>
      <c r="M113" s="1605"/>
      <c r="N113" s="1796"/>
      <c r="O113" s="1796"/>
      <c r="P113" s="1865"/>
      <c r="Q113" s="1798"/>
    </row>
    <row r="114" spans="1:17">
      <c r="A114" s="1385"/>
      <c r="B114" s="1540" t="s">
        <v>1702</v>
      </c>
      <c r="C114" s="1548"/>
      <c r="D114" s="1548"/>
      <c r="E114" s="1562"/>
      <c r="F114" s="1562"/>
      <c r="G114" s="1562"/>
      <c r="H114" s="1562"/>
      <c r="I114" s="1562"/>
      <c r="J114" s="1562"/>
      <c r="K114" s="1607"/>
      <c r="L114" s="1608"/>
      <c r="M114" s="1609"/>
      <c r="N114" s="1793"/>
      <c r="O114" s="1793"/>
      <c r="P114" s="1862"/>
      <c r="Q114" s="1788"/>
    </row>
    <row r="115" spans="1:17" ht="15">
      <c r="A115" s="1337"/>
      <c r="B115" s="1542"/>
      <c r="C115" s="1543">
        <v>100</v>
      </c>
      <c r="D115" s="1543">
        <f t="shared" ref="D115:M115" si="30">C115-$K38</f>
        <v>100</v>
      </c>
      <c r="E115" s="1543">
        <f t="shared" si="30"/>
        <v>100</v>
      </c>
      <c r="F115" s="1543">
        <f t="shared" si="30"/>
        <v>100</v>
      </c>
      <c r="G115" s="1543">
        <f t="shared" si="30"/>
        <v>100</v>
      </c>
      <c r="H115" s="1543">
        <f t="shared" si="30"/>
        <v>100</v>
      </c>
      <c r="I115" s="1543">
        <f t="shared" si="30"/>
        <v>100</v>
      </c>
      <c r="J115" s="1543">
        <f t="shared" si="30"/>
        <v>100</v>
      </c>
      <c r="K115" s="1543">
        <f t="shared" si="30"/>
        <v>100</v>
      </c>
      <c r="L115" s="1543">
        <f t="shared" si="30"/>
        <v>100</v>
      </c>
      <c r="M115" s="1543">
        <f t="shared" si="30"/>
        <v>100</v>
      </c>
      <c r="N115" s="1795"/>
      <c r="O115" s="1795"/>
      <c r="P115" s="1862"/>
      <c r="Q115" s="1788"/>
    </row>
    <row r="116" spans="1:17">
      <c r="A116" s="1385"/>
      <c r="B116" s="1540" t="s">
        <v>1704</v>
      </c>
      <c r="C116" s="1548"/>
      <c r="D116" s="1548"/>
      <c r="E116" s="1548"/>
      <c r="F116" s="1548"/>
      <c r="G116" s="1548"/>
      <c r="H116" s="1562"/>
      <c r="I116" s="1562"/>
      <c r="J116" s="1562"/>
      <c r="K116" s="1607"/>
      <c r="L116" s="1608"/>
      <c r="M116" s="1609"/>
      <c r="N116" s="1793"/>
      <c r="O116" s="1793"/>
      <c r="P116" s="1862"/>
      <c r="Q116" s="1788"/>
    </row>
    <row r="117" spans="1:17" ht="15">
      <c r="A117" s="1337"/>
      <c r="B117" s="1542"/>
      <c r="C117" s="1543">
        <v>100</v>
      </c>
      <c r="D117" s="1543">
        <f>C117-$K39</f>
        <v>100</v>
      </c>
      <c r="E117" s="1543">
        <f>D117-$K39</f>
        <v>100</v>
      </c>
      <c r="F117" s="1543">
        <f>E117-$K39</f>
        <v>100</v>
      </c>
      <c r="G117" s="1543">
        <f>F117-$K39</f>
        <v>100</v>
      </c>
      <c r="H117" s="1543"/>
      <c r="I117" s="1543"/>
      <c r="J117" s="1543"/>
      <c r="K117" s="1543"/>
      <c r="L117" s="1543"/>
      <c r="M117" s="1585"/>
      <c r="N117" s="1795"/>
      <c r="O117" s="1795"/>
      <c r="P117" s="1862"/>
      <c r="Q117" s="1788"/>
    </row>
    <row r="118" spans="1:17">
      <c r="A118" s="1385"/>
      <c r="B118" s="1540" t="s">
        <v>2207</v>
      </c>
      <c r="C118" s="1562"/>
      <c r="D118" s="1562"/>
      <c r="E118" s="1562"/>
      <c r="F118" s="1562"/>
      <c r="G118" s="1562"/>
      <c r="H118" s="1562"/>
      <c r="I118" s="1562"/>
      <c r="J118" s="1562"/>
      <c r="K118" s="1607"/>
      <c r="L118" s="1608"/>
      <c r="M118" s="1609"/>
      <c r="N118" s="1793"/>
      <c r="O118" s="1793"/>
      <c r="P118" s="1862"/>
      <c r="Q118" s="1788"/>
    </row>
    <row r="119" spans="1:17" ht="15">
      <c r="A119" s="1337"/>
      <c r="B119" s="1542"/>
      <c r="C119" s="1543">
        <v>100</v>
      </c>
      <c r="D119" s="1543">
        <f t="shared" ref="D119:M119" si="31">C119-$K40</f>
        <v>100</v>
      </c>
      <c r="E119" s="1543">
        <f t="shared" si="31"/>
        <v>100</v>
      </c>
      <c r="F119" s="1543">
        <f t="shared" si="31"/>
        <v>100</v>
      </c>
      <c r="G119" s="1543">
        <f t="shared" si="31"/>
        <v>100</v>
      </c>
      <c r="H119" s="1543">
        <f t="shared" si="31"/>
        <v>100</v>
      </c>
      <c r="I119" s="1543">
        <f t="shared" si="31"/>
        <v>100</v>
      </c>
      <c r="J119" s="1543">
        <f t="shared" si="31"/>
        <v>100</v>
      </c>
      <c r="K119" s="1543">
        <f t="shared" si="31"/>
        <v>100</v>
      </c>
      <c r="L119" s="1543">
        <f t="shared" si="31"/>
        <v>100</v>
      </c>
      <c r="M119" s="1543">
        <f t="shared" si="31"/>
        <v>100</v>
      </c>
      <c r="N119" s="1795"/>
      <c r="O119" s="1795"/>
      <c r="P119" s="1862"/>
      <c r="Q119" s="1788"/>
    </row>
    <row r="120" spans="1:17" s="1295" customFormat="1" ht="27.75">
      <c r="A120" s="1390"/>
      <c r="B120" s="1540" t="s">
        <v>2208</v>
      </c>
      <c r="C120" s="1548"/>
      <c r="D120" s="1548"/>
      <c r="E120" s="1548"/>
      <c r="F120" s="1548"/>
      <c r="G120" s="1548"/>
      <c r="H120" s="1548"/>
      <c r="I120" s="1548"/>
      <c r="J120" s="1548"/>
      <c r="K120" s="1548"/>
      <c r="L120" s="1705"/>
      <c r="M120" s="1706"/>
      <c r="N120" s="1796"/>
      <c r="O120" s="1796"/>
      <c r="P120" s="1865"/>
      <c r="Q120" s="1798"/>
    </row>
    <row r="121" spans="1:17" s="1295" customFormat="1" ht="15">
      <c r="A121" s="1547"/>
      <c r="B121" s="1538"/>
      <c r="C121" s="1550"/>
      <c r="D121" s="1539"/>
      <c r="E121" s="1539"/>
      <c r="F121" s="1539"/>
      <c r="G121" s="1539"/>
      <c r="H121" s="1539"/>
      <c r="I121" s="1539"/>
      <c r="J121" s="1539"/>
      <c r="K121" s="1539"/>
      <c r="L121" s="1539"/>
      <c r="M121" s="1539"/>
      <c r="N121" s="1796"/>
      <c r="O121" s="1796"/>
      <c r="P121" s="1865"/>
      <c r="Q121" s="1798"/>
    </row>
    <row r="122" spans="1:17">
      <c r="A122" s="1385"/>
      <c r="B122" s="1540" t="s">
        <v>1708</v>
      </c>
      <c r="C122" s="1548"/>
      <c r="D122" s="1548"/>
      <c r="E122" s="1548"/>
      <c r="F122" s="1562"/>
      <c r="G122" s="1562"/>
      <c r="H122" s="1562"/>
      <c r="I122" s="1562"/>
      <c r="J122" s="1562"/>
      <c r="K122" s="1607"/>
      <c r="L122" s="1608"/>
      <c r="M122" s="1609"/>
      <c r="N122" s="1793"/>
      <c r="O122" s="1793"/>
      <c r="P122" s="1862"/>
      <c r="Q122" s="1788"/>
    </row>
    <row r="123" spans="1:17" ht="15">
      <c r="A123" s="1337"/>
      <c r="B123" s="1542"/>
      <c r="C123" s="1543">
        <v>100</v>
      </c>
      <c r="D123" s="1543">
        <f t="shared" ref="D123:M123" si="32">C123-$K42</f>
        <v>100</v>
      </c>
      <c r="E123" s="1543">
        <f t="shared" si="32"/>
        <v>100</v>
      </c>
      <c r="F123" s="1543">
        <f t="shared" si="32"/>
        <v>100</v>
      </c>
      <c r="G123" s="1543">
        <f t="shared" si="32"/>
        <v>100</v>
      </c>
      <c r="H123" s="1543">
        <f t="shared" si="32"/>
        <v>100</v>
      </c>
      <c r="I123" s="1543">
        <f t="shared" si="32"/>
        <v>100</v>
      </c>
      <c r="J123" s="1543">
        <f t="shared" si="32"/>
        <v>100</v>
      </c>
      <c r="K123" s="1543">
        <f t="shared" si="32"/>
        <v>100</v>
      </c>
      <c r="L123" s="1543">
        <f t="shared" si="32"/>
        <v>100</v>
      </c>
      <c r="M123" s="1543">
        <f t="shared" si="32"/>
        <v>100</v>
      </c>
      <c r="N123" s="1795"/>
      <c r="O123" s="1795"/>
      <c r="P123" s="1862"/>
      <c r="Q123" s="1788"/>
    </row>
    <row r="124" spans="1:17">
      <c r="A124" s="1385"/>
      <c r="B124" s="1540" t="s">
        <v>1709</v>
      </c>
      <c r="C124" s="1558" t="s">
        <v>1722</v>
      </c>
      <c r="D124" s="1558" t="s">
        <v>1723</v>
      </c>
      <c r="E124" s="1558" t="s">
        <v>1724</v>
      </c>
      <c r="F124" s="1558" t="s">
        <v>1725</v>
      </c>
      <c r="G124" s="1558" t="s">
        <v>1726</v>
      </c>
      <c r="H124" s="1541"/>
      <c r="I124" s="1541"/>
      <c r="J124" s="1541"/>
      <c r="K124" s="1582"/>
      <c r="L124" s="1583"/>
      <c r="M124" s="1584"/>
      <c r="N124" s="1793"/>
      <c r="O124" s="1793"/>
      <c r="P124" s="1865"/>
      <c r="Q124" s="1788"/>
    </row>
    <row r="125" spans="1:17" ht="15">
      <c r="A125" s="1337"/>
      <c r="B125" s="1542"/>
      <c r="C125" s="1543">
        <v>100</v>
      </c>
      <c r="D125" s="1543">
        <f>C125-$K43</f>
        <v>100</v>
      </c>
      <c r="E125" s="1543">
        <f>D125-$K43</f>
        <v>100</v>
      </c>
      <c r="F125" s="1543">
        <f>E125-$K43</f>
        <v>100</v>
      </c>
      <c r="G125" s="1543">
        <f>F125-$K43</f>
        <v>100</v>
      </c>
      <c r="H125" s="1543"/>
      <c r="I125" s="1543"/>
      <c r="J125" s="1543"/>
      <c r="K125" s="1543"/>
      <c r="L125" s="1543"/>
      <c r="M125" s="1585"/>
      <c r="N125" s="1795"/>
      <c r="O125" s="1795"/>
      <c r="P125" s="1862"/>
      <c r="Q125" s="1788"/>
    </row>
    <row r="126" spans="1:17" s="1295" customFormat="1">
      <c r="A126" s="1390"/>
      <c r="B126" s="1540">
        <f>B44</f>
        <v>111</v>
      </c>
      <c r="C126" s="1548"/>
      <c r="D126" s="1548"/>
      <c r="E126" s="1548"/>
      <c r="F126" s="1548"/>
      <c r="G126" s="1548"/>
      <c r="H126" s="1549"/>
      <c r="I126" s="1549"/>
      <c r="J126" s="1549"/>
      <c r="K126" s="1549"/>
      <c r="L126" s="1589"/>
      <c r="M126" s="1590"/>
      <c r="N126" s="1796"/>
      <c r="O126" s="1796"/>
      <c r="P126" s="1865"/>
      <c r="Q126" s="1798"/>
    </row>
    <row r="127" spans="1:17" s="1295" customFormat="1" ht="15">
      <c r="A127" s="1547"/>
      <c r="B127" s="1542"/>
      <c r="C127" s="1550"/>
      <c r="D127" s="1539"/>
      <c r="E127" s="1539"/>
      <c r="F127" s="1539"/>
      <c r="G127" s="1550"/>
      <c r="H127" s="1551"/>
      <c r="I127" s="1551"/>
      <c r="J127" s="1551"/>
      <c r="K127" s="1551"/>
      <c r="L127" s="1551"/>
      <c r="M127" s="1592"/>
      <c r="N127" s="1796"/>
      <c r="O127" s="1796"/>
      <c r="P127" s="1865"/>
      <c r="Q127" s="1798"/>
    </row>
    <row r="128" spans="1:17">
      <c r="A128" s="1385"/>
      <c r="B128" s="1540">
        <f>B45</f>
        <v>111</v>
      </c>
      <c r="C128" s="1548"/>
      <c r="D128" s="1548"/>
      <c r="E128" s="1548"/>
      <c r="F128" s="1548"/>
      <c r="G128" s="1562"/>
      <c r="H128" s="1562"/>
      <c r="I128" s="1562"/>
      <c r="J128" s="1562"/>
      <c r="K128" s="1607"/>
      <c r="L128" s="1608"/>
      <c r="M128" s="1609"/>
      <c r="N128" s="1793"/>
      <c r="O128" s="1793"/>
      <c r="P128" s="1862"/>
      <c r="Q128" s="1788"/>
    </row>
    <row r="129" spans="1:17" ht="15">
      <c r="A129" s="1337"/>
      <c r="B129" s="1542"/>
      <c r="C129" s="1550"/>
      <c r="D129" s="1550"/>
      <c r="E129" s="1550"/>
      <c r="F129" s="1550"/>
      <c r="G129" s="1539"/>
      <c r="H129" s="1539"/>
      <c r="I129" s="1539"/>
      <c r="J129" s="1539"/>
      <c r="K129" s="1539"/>
      <c r="L129" s="1539"/>
      <c r="M129" s="1580"/>
      <c r="N129" s="1795"/>
      <c r="O129" s="1795"/>
      <c r="P129" s="1862"/>
      <c r="Q129" s="1788"/>
    </row>
    <row r="130" spans="1:17">
      <c r="A130" s="1385"/>
      <c r="B130" s="1544">
        <f>B46</f>
        <v>111</v>
      </c>
      <c r="C130" s="1548"/>
      <c r="D130" s="1548"/>
      <c r="E130" s="1548"/>
      <c r="F130" s="1548"/>
      <c r="G130" s="1563"/>
      <c r="H130" s="1563"/>
      <c r="I130" s="1563"/>
      <c r="J130" s="1563"/>
      <c r="K130" s="1534"/>
      <c r="L130" s="1572"/>
      <c r="M130" s="1612"/>
      <c r="N130" s="1793"/>
      <c r="O130" s="1793"/>
      <c r="P130" s="1862"/>
      <c r="Q130" s="1788"/>
    </row>
    <row r="131" spans="1:17" ht="15">
      <c r="A131" s="1346"/>
      <c r="B131" s="1554"/>
      <c r="C131" s="1555"/>
      <c r="D131" s="1555"/>
      <c r="E131" s="1555"/>
      <c r="F131" s="1555"/>
      <c r="G131" s="1564"/>
      <c r="H131" s="1564"/>
      <c r="I131" s="1564"/>
      <c r="J131" s="1564"/>
      <c r="K131" s="1564"/>
      <c r="L131" s="1564"/>
      <c r="M131" s="1613"/>
      <c r="N131" s="1795"/>
      <c r="O131" s="1795"/>
      <c r="P131" s="1862"/>
      <c r="Q131" s="1788"/>
    </row>
    <row r="136" spans="1:17">
      <c r="B136" s="1871" t="s">
        <v>2209</v>
      </c>
    </row>
    <row r="137" spans="1:17" ht="15">
      <c r="B137" s="1872" t="s">
        <v>2210</v>
      </c>
      <c r="C137" s="1873"/>
      <c r="D137" s="1873"/>
      <c r="E137" s="1873"/>
      <c r="F137" s="1873"/>
      <c r="G137" s="1874"/>
      <c r="H137" s="1875"/>
      <c r="I137" s="1899" t="s">
        <v>2211</v>
      </c>
      <c r="J137" s="1873"/>
      <c r="K137" s="1900"/>
    </row>
    <row r="138" spans="1:17" ht="15">
      <c r="B138" s="1876"/>
      <c r="C138" s="1877" t="s">
        <v>2212</v>
      </c>
      <c r="D138" s="1877" t="s">
        <v>2213</v>
      </c>
      <c r="E138" s="1878" t="s">
        <v>2214</v>
      </c>
      <c r="F138" s="1879" t="s">
        <v>2215</v>
      </c>
      <c r="G138" s="1877" t="s">
        <v>2213</v>
      </c>
      <c r="H138" s="1880" t="s">
        <v>2214</v>
      </c>
      <c r="I138" s="1901"/>
      <c r="J138" s="1877" t="s">
        <v>2216</v>
      </c>
      <c r="K138" s="1880" t="s">
        <v>2217</v>
      </c>
    </row>
    <row r="139" spans="1:17" ht="15">
      <c r="B139" s="1881">
        <v>6</v>
      </c>
      <c r="C139" s="1882">
        <v>96</v>
      </c>
      <c r="D139" s="1883" t="s">
        <v>2218</v>
      </c>
      <c r="E139" s="1884">
        <v>100</v>
      </c>
      <c r="F139" s="1885">
        <v>102.5</v>
      </c>
      <c r="G139" s="1883" t="s">
        <v>2218</v>
      </c>
      <c r="H139" s="1886">
        <v>105</v>
      </c>
      <c r="I139" s="1902" t="s">
        <v>2219</v>
      </c>
      <c r="J139" s="1882">
        <v>20</v>
      </c>
      <c r="K139" s="1903">
        <f>C145/(J139-2)</f>
        <v>4.0555555555555553E-3</v>
      </c>
    </row>
    <row r="140" spans="1:17" ht="15">
      <c r="B140" s="1887">
        <v>5</v>
      </c>
      <c r="C140" s="1888">
        <v>100</v>
      </c>
      <c r="D140" s="1888"/>
      <c r="E140" s="1889"/>
      <c r="F140" s="1890">
        <v>102</v>
      </c>
      <c r="G140" s="1888"/>
      <c r="H140" s="1891"/>
      <c r="I140" s="1904" t="s">
        <v>2220</v>
      </c>
      <c r="J140" s="417">
        <f>ROUNDUP((J139-1)/2,0)</f>
        <v>10</v>
      </c>
      <c r="K140" s="1905">
        <v>100</v>
      </c>
    </row>
    <row r="141" spans="1:17" ht="15">
      <c r="B141" s="1887">
        <v>4</v>
      </c>
      <c r="C141" s="1888">
        <v>102</v>
      </c>
      <c r="D141" s="1888"/>
      <c r="E141" s="1889"/>
      <c r="F141" s="1890">
        <v>101.5</v>
      </c>
      <c r="G141" s="1888"/>
      <c r="H141" s="1891"/>
      <c r="I141" s="1904" t="s">
        <v>2221</v>
      </c>
      <c r="J141" s="417">
        <v>1</v>
      </c>
      <c r="K141" s="1906">
        <f>ROUND(100+(J141-J140)*K139*100,1)</f>
        <v>96.4</v>
      </c>
    </row>
    <row r="142" spans="1:17" ht="15">
      <c r="B142" s="1887">
        <v>3</v>
      </c>
      <c r="C142" s="1888">
        <v>103</v>
      </c>
      <c r="D142" s="1888"/>
      <c r="E142" s="1889"/>
      <c r="F142" s="1890">
        <v>101</v>
      </c>
      <c r="G142" s="1888"/>
      <c r="H142" s="1891"/>
      <c r="I142" s="1904" t="s">
        <v>2222</v>
      </c>
      <c r="J142" s="417">
        <f>J139</f>
        <v>20</v>
      </c>
      <c r="K142" s="1907">
        <v>95</v>
      </c>
    </row>
    <row r="143" spans="1:17" ht="15">
      <c r="B143" s="1887">
        <v>2</v>
      </c>
      <c r="C143" s="1888">
        <v>100</v>
      </c>
      <c r="D143" s="1888"/>
      <c r="E143" s="1889"/>
      <c r="F143" s="1890">
        <v>100.5</v>
      </c>
      <c r="G143" s="1888"/>
      <c r="H143" s="1891"/>
      <c r="I143" s="1904" t="s">
        <v>2223</v>
      </c>
      <c r="J143" s="1888">
        <v>15</v>
      </c>
      <c r="K143" s="1906">
        <f>ROUND(100+(J143-J140)*K139*100,1)</f>
        <v>102</v>
      </c>
    </row>
    <row r="144" spans="1:17" ht="15">
      <c r="B144" s="1887">
        <v>1</v>
      </c>
      <c r="C144" s="1888">
        <v>98</v>
      </c>
      <c r="D144" s="1892" t="s">
        <v>2224</v>
      </c>
      <c r="E144" s="1889">
        <v>102</v>
      </c>
      <c r="F144" s="1893">
        <v>100</v>
      </c>
      <c r="G144" s="1892" t="s">
        <v>2224</v>
      </c>
      <c r="H144" s="1891">
        <v>105</v>
      </c>
      <c r="I144" s="1904" t="s">
        <v>2223</v>
      </c>
      <c r="J144" s="1888">
        <v>18</v>
      </c>
      <c r="K144" s="1906">
        <f>ROUND(100+(J144-J140)*K139*100,1)</f>
        <v>103.2</v>
      </c>
    </row>
    <row r="145" spans="2:11" ht="15">
      <c r="B145" s="723" t="s">
        <v>2225</v>
      </c>
      <c r="C145" s="1894">
        <f>ROUND(MAX(C139:C144)/MIN(C139:C144)-1,3)</f>
        <v>7.2999999999999995E-2</v>
      </c>
      <c r="D145" s="1895"/>
      <c r="E145" s="1895"/>
      <c r="F145" s="1896" t="s">
        <v>2226</v>
      </c>
      <c r="G145" s="1897"/>
      <c r="H145" s="1898"/>
      <c r="I145" s="1908" t="s">
        <v>2223</v>
      </c>
      <c r="J145" s="1909">
        <v>8</v>
      </c>
      <c r="K145" s="1910">
        <f>ROUND(100+(J145-J140)*K139*100,1)</f>
        <v>99.2</v>
      </c>
    </row>
    <row r="147" spans="2:11">
      <c r="B147" s="1871" t="s">
        <v>2227</v>
      </c>
    </row>
    <row r="148" spans="2:11">
      <c r="B148" s="1871" t="s">
        <v>2228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299" customWidth="1"/>
    <col min="2" max="2" width="15.75" style="1299" customWidth="1"/>
    <col min="3" max="3" width="15.12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80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1642</v>
      </c>
      <c r="B1" s="1804" t="s">
        <v>2229</v>
      </c>
      <c r="C1" s="1696" t="s">
        <v>1644</v>
      </c>
      <c r="D1" s="1655"/>
      <c r="E1" s="1805"/>
      <c r="F1" s="1657"/>
      <c r="G1" s="1658" t="s">
        <v>1647</v>
      </c>
      <c r="H1" s="1659"/>
      <c r="I1" s="1659"/>
      <c r="J1" s="1659"/>
      <c r="K1" s="1694"/>
      <c r="L1" s="1695"/>
      <c r="M1" s="1696"/>
      <c r="N1" s="1696"/>
      <c r="O1" s="1696"/>
      <c r="P1" s="1812"/>
      <c r="Q1" s="1821"/>
      <c r="R1" s="1821"/>
      <c r="S1" s="1821"/>
      <c r="T1" s="1821"/>
      <c r="U1" s="1821"/>
      <c r="V1" s="1821"/>
      <c r="W1" s="1821"/>
      <c r="X1" s="1821"/>
      <c r="Y1" s="1821"/>
      <c r="Z1" s="1821"/>
      <c r="AA1" s="1821"/>
      <c r="AB1" s="1821"/>
      <c r="AC1" s="1822"/>
    </row>
    <row r="2" spans="1:29" s="1292" customFormat="1" ht="28.5" customHeight="1">
      <c r="A2" s="1660" t="s">
        <v>1648</v>
      </c>
      <c r="B2" s="1661" t="b">
        <f>IF(E1="项目模式",IF(C2="——",ROUND(C49*D3/10000,0),ROUND(C49*D3/10000,0)-D2),IF(E1="单套模式",IF(C2="——",ROUND(C49*D3/10000,4),ROUND(C49*D3/10000,4)-D2)))</f>
        <v>0</v>
      </c>
      <c r="C2" s="1662"/>
      <c r="D2" s="1806" t="e">
        <f ca="1">IF(E1="项目模式",SUMIF(INDIRECT("'"&amp;F2&amp;"'"&amp;"!A:A"),"承租人权益价值",INDIRECT("'"&amp;F2&amp;"'"&amp;"!c:c")),SUMIF(INDIRECT("'"&amp;F2&amp;"'"&amp;"!A:A"),"承租人权益价值（单套）",INDIRECT("'"&amp;F2&amp;"'"&amp;"!c:c")))</f>
        <v>#REF!</v>
      </c>
      <c r="E2" s="1663" t="s">
        <v>1649</v>
      </c>
      <c r="F2" s="1664"/>
      <c r="G2" s="1308"/>
      <c r="H2" s="1308"/>
      <c r="I2" s="1308"/>
      <c r="J2" s="1308"/>
      <c r="K2" s="1308"/>
      <c r="L2" s="1455"/>
      <c r="M2" s="1456"/>
      <c r="N2" s="1456"/>
      <c r="O2" s="1456"/>
      <c r="P2" s="1813"/>
      <c r="Q2" s="1771"/>
      <c r="R2" s="1771"/>
      <c r="S2" s="1771"/>
      <c r="T2" s="1771"/>
      <c r="U2" s="1771"/>
      <c r="V2" s="1771"/>
      <c r="W2" s="1771"/>
      <c r="X2" s="1771"/>
      <c r="Y2" s="1771"/>
      <c r="Z2" s="1771"/>
      <c r="AA2" s="1771"/>
      <c r="AB2" s="1771"/>
      <c r="AC2" s="1807"/>
    </row>
    <row r="3" spans="1:29" s="1292" customFormat="1" ht="28.5" customHeight="1">
      <c r="A3" s="346" t="s">
        <v>1650</v>
      </c>
      <c r="B3" s="1310">
        <f>IF(C2="——",C49,ROUND(B2*10000/D3,0))</f>
        <v>0</v>
      </c>
      <c r="C3" s="1665" t="s">
        <v>1651</v>
      </c>
      <c r="D3" s="1666">
        <f>IF(D1="",'数据-汇总表'!E3,SUMIF('数据-汇总表'!$C19:$C33,D1,'数据-汇总表'!$E19:$E33))</f>
        <v>65221.919999999998</v>
      </c>
      <c r="E3" s="1807"/>
      <c r="F3" s="1309"/>
      <c r="G3" s="1308"/>
      <c r="H3" s="1308"/>
      <c r="I3" s="1308"/>
      <c r="J3" s="1308"/>
      <c r="K3" s="1454"/>
      <c r="L3" s="1455"/>
      <c r="M3" s="1456"/>
      <c r="N3" s="1456"/>
      <c r="O3" s="1456"/>
      <c r="P3" s="1813"/>
      <c r="Q3" s="1771"/>
      <c r="R3" s="1771"/>
      <c r="S3" s="1771"/>
      <c r="T3" s="1771"/>
      <c r="U3" s="1771"/>
      <c r="V3" s="1771"/>
      <c r="W3" s="1771"/>
      <c r="X3" s="1771"/>
      <c r="Y3" s="1771"/>
      <c r="Z3" s="1771"/>
      <c r="AA3" s="1771"/>
      <c r="AB3" s="1771"/>
      <c r="AC3" s="1807"/>
    </row>
    <row r="4" spans="1:29" ht="15">
      <c r="A4" s="1312" t="s">
        <v>1652</v>
      </c>
      <c r="B4" s="1313"/>
      <c r="C4" s="3469" t="s">
        <v>1653</v>
      </c>
      <c r="D4" s="3470"/>
      <c r="E4" s="3471" t="s">
        <v>1654</v>
      </c>
      <c r="F4" s="3472"/>
      <c r="G4" s="3469" t="s">
        <v>1655</v>
      </c>
      <c r="H4" s="3470"/>
      <c r="I4" s="3469" t="s">
        <v>1656</v>
      </c>
      <c r="J4" s="3470"/>
      <c r="K4" s="1457" t="s">
        <v>1657</v>
      </c>
      <c r="L4" s="1458"/>
      <c r="M4" s="1409"/>
      <c r="N4" s="1409"/>
      <c r="O4" s="1409"/>
      <c r="P4" s="3508" t="s">
        <v>1658</v>
      </c>
      <c r="Q4" s="3509"/>
      <c r="R4" s="3512" t="s">
        <v>1654</v>
      </c>
      <c r="S4" s="3513"/>
      <c r="T4" s="3512" t="s">
        <v>1655</v>
      </c>
      <c r="U4" s="3513"/>
      <c r="V4" s="3446" t="s">
        <v>1656</v>
      </c>
      <c r="W4" s="3446"/>
      <c r="X4" s="1506"/>
      <c r="Y4" s="3512" t="s">
        <v>1658</v>
      </c>
      <c r="Z4" s="3513"/>
      <c r="AA4" s="3507" t="s">
        <v>1654</v>
      </c>
      <c r="AB4" s="3446" t="s">
        <v>1655</v>
      </c>
      <c r="AC4" s="3507" t="s">
        <v>1656</v>
      </c>
    </row>
    <row r="5" spans="1:29" ht="15">
      <c r="A5" s="1316"/>
      <c r="B5" s="1317"/>
      <c r="C5" s="3473" t="s">
        <v>1659</v>
      </c>
      <c r="D5" s="3474"/>
      <c r="E5" s="3475" t="s">
        <v>2200</v>
      </c>
      <c r="F5" s="3476"/>
      <c r="G5" s="3473" t="s">
        <v>2201</v>
      </c>
      <c r="H5" s="3474"/>
      <c r="I5" s="3473" t="s">
        <v>2202</v>
      </c>
      <c r="J5" s="3474"/>
      <c r="K5" s="1457"/>
      <c r="L5" s="1458"/>
      <c r="M5" s="1409"/>
      <c r="N5" s="1409"/>
      <c r="O5" s="1409"/>
      <c r="P5" s="3510"/>
      <c r="Q5" s="3436"/>
      <c r="R5" s="3441"/>
      <c r="S5" s="3442"/>
      <c r="T5" s="3441"/>
      <c r="U5" s="3442"/>
      <c r="V5" s="3446"/>
      <c r="W5" s="3446"/>
      <c r="X5" s="1506"/>
      <c r="Y5" s="3441"/>
      <c r="Z5" s="3442"/>
      <c r="AA5" s="3428"/>
      <c r="AB5" s="3446"/>
      <c r="AC5" s="3428"/>
    </row>
    <row r="6" spans="1:29" ht="15">
      <c r="A6" s="1318"/>
      <c r="B6" s="1319"/>
      <c r="C6" s="3464" t="s">
        <v>1660</v>
      </c>
      <c r="D6" s="3465"/>
      <c r="E6" s="3466" t="s">
        <v>1660</v>
      </c>
      <c r="F6" s="3467"/>
      <c r="G6" s="3464" t="s">
        <v>1660</v>
      </c>
      <c r="H6" s="3465"/>
      <c r="I6" s="3464" t="s">
        <v>1660</v>
      </c>
      <c r="J6" s="3465"/>
      <c r="K6" s="1457" t="s">
        <v>1661</v>
      </c>
      <c r="L6" s="1458"/>
      <c r="M6" s="1409"/>
      <c r="N6" s="1409"/>
      <c r="O6" s="1409"/>
      <c r="P6" s="3511"/>
      <c r="Q6" s="3438"/>
      <c r="R6" s="3441"/>
      <c r="S6" s="3442"/>
      <c r="T6" s="3443"/>
      <c r="U6" s="3444"/>
      <c r="V6" s="3446"/>
      <c r="W6" s="3446"/>
      <c r="X6" s="1506"/>
      <c r="Y6" s="3443"/>
      <c r="Z6" s="3444"/>
      <c r="AA6" s="3429"/>
      <c r="AB6" s="3446"/>
      <c r="AC6" s="3429"/>
    </row>
    <row r="7" spans="1:29" s="1293" customFormat="1" ht="15">
      <c r="A7" s="1321" t="s">
        <v>1662</v>
      </c>
      <c r="B7" s="1322"/>
      <c r="C7" s="1323">
        <f>'数据-取费表'!B2</f>
        <v>45882</v>
      </c>
      <c r="D7" s="1324">
        <v>100</v>
      </c>
      <c r="E7" s="1325"/>
      <c r="F7" s="1326">
        <f>SUMIF(58:58,YEAR(E7)&amp;"-"&amp;MONTH(E7),59:59)</f>
        <v>0</v>
      </c>
      <c r="G7" s="1325"/>
      <c r="H7" s="1324">
        <f>SUMIF(58:58,YEAR(G7)&amp;"-"&amp;MONTH(G7),59:59)</f>
        <v>0</v>
      </c>
      <c r="I7" s="1325"/>
      <c r="J7" s="1324">
        <f>SUMIF(58:58,YEAR(I7)&amp;"-"&amp;MONTH(I7),59:59)</f>
        <v>0</v>
      </c>
      <c r="K7" s="1462"/>
      <c r="L7" s="1463"/>
      <c r="M7" s="1464"/>
      <c r="N7" s="1464"/>
      <c r="O7" s="1464"/>
      <c r="P7" s="3452" t="s">
        <v>1663</v>
      </c>
      <c r="Q7" s="3468"/>
      <c r="R7" s="1507" t="s">
        <v>1664</v>
      </c>
      <c r="S7" s="1508">
        <f t="shared" ref="S7:S15" si="0">F7</f>
        <v>0</v>
      </c>
      <c r="T7" s="1507" t="s">
        <v>1664</v>
      </c>
      <c r="U7" s="1508">
        <f t="shared" ref="U7:U15" si="1">H7</f>
        <v>0</v>
      </c>
      <c r="V7" s="1507" t="s">
        <v>1664</v>
      </c>
      <c r="W7" s="1508">
        <f t="shared" ref="W7:W15" si="2">J7</f>
        <v>0</v>
      </c>
      <c r="X7" s="1509"/>
      <c r="Y7" s="3452" t="s">
        <v>1663</v>
      </c>
      <c r="Z7" s="3453"/>
      <c r="AA7" s="1518" t="e">
        <f>D7/F7</f>
        <v>#DIV/0!</v>
      </c>
      <c r="AB7" s="1518" t="e">
        <f>D7/H7</f>
        <v>#DIV/0!</v>
      </c>
      <c r="AC7" s="1518" t="e">
        <f>D7/J7</f>
        <v>#DIV/0!</v>
      </c>
    </row>
    <row r="8" spans="1:29" s="1293" customFormat="1" ht="15">
      <c r="A8" s="1321" t="s">
        <v>1665</v>
      </c>
      <c r="B8" s="1322"/>
      <c r="C8" s="1328"/>
      <c r="D8" s="1324">
        <v>100</v>
      </c>
      <c r="E8" s="1328"/>
      <c r="F8" s="1326">
        <f>SUMIF(61:61,E8,62:62)-SUMIF(61:61,C8,62:62)+100</f>
        <v>100</v>
      </c>
      <c r="G8" s="1328"/>
      <c r="H8" s="1324">
        <f>SUMIF(61:61,G8,62:62)-SUMIF(61:61,C8,62:62)+100</f>
        <v>100</v>
      </c>
      <c r="I8" s="1328"/>
      <c r="J8" s="1324">
        <f>SUMIF(61:61,I8,62:62)-SUMIF(61:61,C8,62:62)+100</f>
        <v>100</v>
      </c>
      <c r="K8" s="1462"/>
      <c r="L8" s="1463"/>
      <c r="M8" s="1464"/>
      <c r="N8" s="1464"/>
      <c r="O8" s="1464"/>
      <c r="P8" s="3452" t="s">
        <v>1667</v>
      </c>
      <c r="Q8" s="3453"/>
      <c r="R8" s="1507" t="s">
        <v>1664</v>
      </c>
      <c r="S8" s="1508">
        <f t="shared" si="0"/>
        <v>100</v>
      </c>
      <c r="T8" s="1507" t="s">
        <v>1664</v>
      </c>
      <c r="U8" s="1508">
        <f t="shared" si="1"/>
        <v>100</v>
      </c>
      <c r="V8" s="1507" t="s">
        <v>1664</v>
      </c>
      <c r="W8" s="1508">
        <f t="shared" si="2"/>
        <v>100</v>
      </c>
      <c r="X8" s="1509"/>
      <c r="Y8" s="3452" t="s">
        <v>1667</v>
      </c>
      <c r="Z8" s="3453"/>
      <c r="AA8" s="1518">
        <f t="shared" ref="AA8:AA46" si="3">D8/F8</f>
        <v>1</v>
      </c>
      <c r="AB8" s="1518">
        <f t="shared" ref="AB8:AB46" si="4">D8/H8</f>
        <v>1</v>
      </c>
      <c r="AC8" s="1518">
        <f t="shared" ref="AC8:AC46" si="5">D8/J8</f>
        <v>1</v>
      </c>
    </row>
    <row r="9" spans="1:29" s="1293" customFormat="1">
      <c r="A9" s="1329" t="s">
        <v>1668</v>
      </c>
      <c r="B9" s="1330" t="s">
        <v>1669</v>
      </c>
      <c r="C9" s="1667"/>
      <c r="D9" s="1332">
        <v>100</v>
      </c>
      <c r="E9" s="1718"/>
      <c r="F9" s="1330">
        <f>SUMIF(63:63,E9,64:64)-SUMIF(63:63,C9,64:64)+100</f>
        <v>100</v>
      </c>
      <c r="G9" s="1718"/>
      <c r="H9" s="1332">
        <f>SUMIF(63:63,G9,64:64)-SUMIF(63:63,C9,64:64)+100</f>
        <v>100</v>
      </c>
      <c r="I9" s="1718"/>
      <c r="J9" s="1332">
        <f>SUMIF(63:63,I9,64:64)-SUMIF(63:63,C9,64:64)+100</f>
        <v>100</v>
      </c>
      <c r="K9" s="1462"/>
      <c r="L9" s="1463"/>
      <c r="M9" s="1464"/>
      <c r="N9" s="1464"/>
      <c r="O9" s="1464"/>
      <c r="P9" s="3447" t="s">
        <v>1670</v>
      </c>
      <c r="Q9" s="794" t="str">
        <f t="shared" ref="Q9:Q15" si="6">B9</f>
        <v>用途</v>
      </c>
      <c r="R9" s="1507" t="s">
        <v>1664</v>
      </c>
      <c r="S9" s="1508">
        <f t="shared" si="0"/>
        <v>100</v>
      </c>
      <c r="T9" s="1507" t="s">
        <v>1664</v>
      </c>
      <c r="U9" s="1508">
        <f t="shared" si="1"/>
        <v>100</v>
      </c>
      <c r="V9" s="1507" t="s">
        <v>1664</v>
      </c>
      <c r="W9" s="1508">
        <f t="shared" si="2"/>
        <v>100</v>
      </c>
      <c r="X9" s="1509"/>
      <c r="Y9" s="3342" t="s">
        <v>1671</v>
      </c>
      <c r="Z9" s="1518" t="str">
        <f t="shared" ref="Z9:Z15" si="7">Q9</f>
        <v>用途</v>
      </c>
      <c r="AA9" s="1518">
        <f t="shared" si="3"/>
        <v>1</v>
      </c>
      <c r="AB9" s="1518">
        <f t="shared" si="4"/>
        <v>1</v>
      </c>
      <c r="AC9" s="1518">
        <f t="shared" si="5"/>
        <v>1</v>
      </c>
    </row>
    <row r="10" spans="1:29" s="1294" customFormat="1" ht="27">
      <c r="A10" s="1333"/>
      <c r="B10" s="1334" t="s">
        <v>1672</v>
      </c>
      <c r="C10" s="1669"/>
      <c r="D10" s="1336">
        <v>100</v>
      </c>
      <c r="E10" s="1721"/>
      <c r="F10" s="1334">
        <f>SUMIF(65:65,E10,66:66)-SUMIF(65:65,C10,66:66)+100</f>
        <v>100</v>
      </c>
      <c r="G10" s="1669"/>
      <c r="H10" s="1336">
        <f>SUMIF(65:65,G10,66:66)-SUMIF(65:65,C10,66:66)+100</f>
        <v>100</v>
      </c>
      <c r="I10" s="1669"/>
      <c r="J10" s="1336">
        <f>SUMIF(65:65,I10,66:66)-SUMIF(65:65,C10,66:66)+100</f>
        <v>100</v>
      </c>
      <c r="K10" s="1462"/>
      <c r="L10" s="1468"/>
      <c r="M10" s="1469"/>
      <c r="N10" s="1469"/>
      <c r="O10" s="1469"/>
      <c r="P10" s="3447"/>
      <c r="Q10" s="794" t="str">
        <f t="shared" si="6"/>
        <v>土地使用年限（年）</v>
      </c>
      <c r="R10" s="1507" t="s">
        <v>1664</v>
      </c>
      <c r="S10" s="1508">
        <f t="shared" si="0"/>
        <v>100</v>
      </c>
      <c r="T10" s="1507" t="s">
        <v>1664</v>
      </c>
      <c r="U10" s="1508">
        <f t="shared" si="1"/>
        <v>100</v>
      </c>
      <c r="V10" s="1507" t="s">
        <v>1664</v>
      </c>
      <c r="W10" s="1508">
        <f t="shared" si="2"/>
        <v>100</v>
      </c>
      <c r="X10" s="1509"/>
      <c r="Y10" s="3342"/>
      <c r="Z10" s="1518" t="str">
        <f t="shared" si="7"/>
        <v>土地使用年限（年）</v>
      </c>
      <c r="AA10" s="1518">
        <f t="shared" si="3"/>
        <v>1</v>
      </c>
      <c r="AB10" s="1518">
        <f t="shared" si="4"/>
        <v>1</v>
      </c>
      <c r="AC10" s="1518">
        <f t="shared" si="5"/>
        <v>1</v>
      </c>
    </row>
    <row r="11" spans="1:29" ht="15">
      <c r="A11" s="1337"/>
      <c r="B11" s="1334" t="s">
        <v>1675</v>
      </c>
      <c r="C11" s="1338"/>
      <c r="D11" s="1336">
        <v>100</v>
      </c>
      <c r="E11" s="1339"/>
      <c r="F11" s="1334" t="e">
        <f>LOOKUP(E11,68:68,69:69)-LOOKUP(C11,68:68,69:69)+100</f>
        <v>#N/A</v>
      </c>
      <c r="G11" s="1338"/>
      <c r="H11" s="1336" t="e">
        <f>LOOKUP(G11,68:68,69:69)-LOOKUP(C11,68:68,69:69)+100</f>
        <v>#N/A</v>
      </c>
      <c r="I11" s="1338"/>
      <c r="J11" s="1336" t="e">
        <f>LOOKUP(I11,68:68,69:69)-LOOKUP(C11,68:68,69:69)+100</f>
        <v>#N/A</v>
      </c>
      <c r="K11" s="1481"/>
      <c r="L11" s="1472"/>
      <c r="M11" s="1409"/>
      <c r="N11" s="1409"/>
      <c r="O11" s="1409"/>
      <c r="P11" s="3447"/>
      <c r="Q11" s="794" t="str">
        <f t="shared" si="6"/>
        <v>容积率</v>
      </c>
      <c r="R11" s="1507" t="s">
        <v>1664</v>
      </c>
      <c r="S11" s="1508" t="e">
        <f t="shared" si="0"/>
        <v>#N/A</v>
      </c>
      <c r="T11" s="1507" t="s">
        <v>1664</v>
      </c>
      <c r="U11" s="1508" t="e">
        <f t="shared" si="1"/>
        <v>#N/A</v>
      </c>
      <c r="V11" s="1507" t="s">
        <v>1664</v>
      </c>
      <c r="W11" s="1508" t="e">
        <f t="shared" si="2"/>
        <v>#N/A</v>
      </c>
      <c r="X11" s="1509"/>
      <c r="Y11" s="3342"/>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5"/>
      <c r="F12" s="1334">
        <f>SUMIF(70:70,E12,71:71)-SUMIF(70:70,C12,71:71)+100</f>
        <v>100</v>
      </c>
      <c r="G12" s="1345"/>
      <c r="H12" s="1336">
        <f>SUMIF(70:70,G12,71:71)-SUMIF(70:70,C12,71:71)+100</f>
        <v>100</v>
      </c>
      <c r="I12" s="1345"/>
      <c r="J12" s="1336">
        <f>SUMIF(70:70,I12,71:71)-SUMIF(70:70,C12,71:71)+100</f>
        <v>100</v>
      </c>
      <c r="K12" s="1480"/>
      <c r="L12" s="1463"/>
      <c r="M12" s="1464"/>
      <c r="N12" s="1464"/>
      <c r="O12" s="1464"/>
      <c r="P12" s="3447"/>
      <c r="Q12" s="794">
        <f t="shared" si="6"/>
        <v>111</v>
      </c>
      <c r="R12" s="1507" t="s">
        <v>1664</v>
      </c>
      <c r="S12" s="1508">
        <f t="shared" si="0"/>
        <v>100</v>
      </c>
      <c r="T12" s="1507" t="s">
        <v>1664</v>
      </c>
      <c r="U12" s="1508">
        <f t="shared" si="1"/>
        <v>100</v>
      </c>
      <c r="V12" s="1507" t="s">
        <v>1664</v>
      </c>
      <c r="W12" s="1508">
        <f t="shared" si="2"/>
        <v>100</v>
      </c>
      <c r="X12" s="1509"/>
      <c r="Y12" s="3342"/>
      <c r="Z12" s="1518">
        <f t="shared" si="7"/>
        <v>111</v>
      </c>
      <c r="AA12" s="1518">
        <f t="shared" si="3"/>
        <v>1</v>
      </c>
      <c r="AB12" s="1518">
        <f t="shared" si="4"/>
        <v>1</v>
      </c>
      <c r="AC12" s="1518">
        <f t="shared" si="5"/>
        <v>1</v>
      </c>
    </row>
    <row r="13" spans="1:29" ht="15">
      <c r="A13" s="1337"/>
      <c r="B13" s="1341">
        <v>111</v>
      </c>
      <c r="C13" s="1345"/>
      <c r="D13" s="759">
        <v>100</v>
      </c>
      <c r="E13" s="1345"/>
      <c r="F13" s="1334">
        <f>SUMIF(72:72,E13,73:73)-SUMIF(72:72,C13,73:73)+100</f>
        <v>100</v>
      </c>
      <c r="G13" s="1345"/>
      <c r="H13" s="759">
        <f>SUMIF(72:72,G13,73:73)-SUMIF(72:72,C13,73:73)+100</f>
        <v>100</v>
      </c>
      <c r="I13" s="1345"/>
      <c r="J13" s="759">
        <f>SUMIF(72:72,I13,73:73)-SUMIF(72:72,C13,73:73)+100</f>
        <v>100</v>
      </c>
      <c r="K13" s="1480"/>
      <c r="L13" s="1474"/>
      <c r="M13" s="1409"/>
      <c r="N13" s="1409"/>
      <c r="O13" s="1409"/>
      <c r="P13" s="3447"/>
      <c r="Q13" s="794">
        <f t="shared" si="6"/>
        <v>111</v>
      </c>
      <c r="R13" s="1507" t="s">
        <v>1664</v>
      </c>
      <c r="S13" s="1508">
        <f t="shared" si="0"/>
        <v>100</v>
      </c>
      <c r="T13" s="1507" t="s">
        <v>1664</v>
      </c>
      <c r="U13" s="1508">
        <f t="shared" si="1"/>
        <v>100</v>
      </c>
      <c r="V13" s="1507" t="s">
        <v>1664</v>
      </c>
      <c r="W13" s="1508">
        <f t="shared" si="2"/>
        <v>100</v>
      </c>
      <c r="X13" s="1509"/>
      <c r="Y13" s="3342"/>
      <c r="Z13" s="1518">
        <f t="shared" si="7"/>
        <v>111</v>
      </c>
      <c r="AA13" s="1518">
        <f t="shared" si="3"/>
        <v>1</v>
      </c>
      <c r="AB13" s="1518">
        <f t="shared" si="4"/>
        <v>1</v>
      </c>
      <c r="AC13" s="1518">
        <f t="shared" si="5"/>
        <v>1</v>
      </c>
    </row>
    <row r="14" spans="1:29" ht="15">
      <c r="A14" s="1346"/>
      <c r="B14" s="1347">
        <v>111</v>
      </c>
      <c r="C14" s="1348"/>
      <c r="D14" s="1349">
        <v>100</v>
      </c>
      <c r="E14" s="1345"/>
      <c r="F14" s="1682">
        <f>SUMIF(74:74,E14,75:75)-SUMIF(74:74,C14,75:75)+100</f>
        <v>100</v>
      </c>
      <c r="G14" s="1345"/>
      <c r="H14" s="1349">
        <f>SUMIF(74:74,G14,75:75)-SUMIF(74:74,C14,75:75)+100</f>
        <v>100</v>
      </c>
      <c r="I14" s="1345"/>
      <c r="J14" s="1349">
        <f>SUMIF(74:74,I14,75:75)-SUMIF(74:74,C14,75:75)+100</f>
        <v>100</v>
      </c>
      <c r="K14" s="1480"/>
      <c r="L14" s="1474"/>
      <c r="M14" s="1409"/>
      <c r="N14" s="1409"/>
      <c r="O14" s="1409"/>
      <c r="P14" s="3447"/>
      <c r="Q14" s="794">
        <f t="shared" si="6"/>
        <v>111</v>
      </c>
      <c r="R14" s="1507" t="s">
        <v>1664</v>
      </c>
      <c r="S14" s="1508">
        <f t="shared" si="0"/>
        <v>100</v>
      </c>
      <c r="T14" s="1507" t="s">
        <v>1664</v>
      </c>
      <c r="U14" s="1508">
        <f t="shared" si="1"/>
        <v>100</v>
      </c>
      <c r="V14" s="1507" t="s">
        <v>1664</v>
      </c>
      <c r="W14" s="1508">
        <f t="shared" si="2"/>
        <v>100</v>
      </c>
      <c r="X14" s="1509"/>
      <c r="Y14" s="3342"/>
      <c r="Z14" s="1518">
        <f t="shared" si="7"/>
        <v>111</v>
      </c>
      <c r="AA14" s="1518">
        <f t="shared" si="3"/>
        <v>1</v>
      </c>
      <c r="AB14" s="1518">
        <f t="shared" si="4"/>
        <v>1</v>
      </c>
      <c r="AC14" s="1518">
        <f t="shared" si="5"/>
        <v>1</v>
      </c>
    </row>
    <row r="15" spans="1:29" ht="15">
      <c r="A15" s="1350" t="s">
        <v>1676</v>
      </c>
      <c r="B15" s="1624" t="s">
        <v>2230</v>
      </c>
      <c r="C15" s="1625">
        <f>估价对象房地状况!C4</f>
        <v>0</v>
      </c>
      <c r="D15" s="1353">
        <v>100</v>
      </c>
      <c r="E15" s="1354"/>
      <c r="F15" s="1672">
        <f>SUMIF(76:76,E16,77:77)-SUMIF(76:76,C16,77:77)+100</f>
        <v>100</v>
      </c>
      <c r="G15" s="1475"/>
      <c r="H15" s="1353">
        <f>SUMIF(76:76,G16,77:77)-SUMIF(76:76,C16,77:77)+100</f>
        <v>100</v>
      </c>
      <c r="I15" s="1354"/>
      <c r="J15" s="1353">
        <f>SUMIF(76:76,I16,77:77)-SUMIF(76:76,C16,77:77)+100</f>
        <v>100</v>
      </c>
      <c r="K15" s="1697"/>
      <c r="L15" s="1474"/>
      <c r="M15" s="1409"/>
      <c r="N15" s="1409"/>
      <c r="O15" s="1409"/>
      <c r="P15" s="3455" t="s">
        <v>1678</v>
      </c>
      <c r="Q15" s="625" t="str">
        <f t="shared" si="6"/>
        <v>商业繁华度</v>
      </c>
      <c r="R15" s="1511" t="s">
        <v>1664</v>
      </c>
      <c r="S15" s="1512">
        <f t="shared" si="0"/>
        <v>100</v>
      </c>
      <c r="T15" s="1511" t="s">
        <v>1664</v>
      </c>
      <c r="U15" s="1512">
        <f t="shared" si="1"/>
        <v>100</v>
      </c>
      <c r="V15" s="1511" t="s">
        <v>1664</v>
      </c>
      <c r="W15" s="1512">
        <f t="shared" si="2"/>
        <v>100</v>
      </c>
      <c r="X15" s="1506"/>
      <c r="Y15" s="3460" t="s">
        <v>1678</v>
      </c>
      <c r="Z15" s="1495" t="str">
        <f t="shared" si="7"/>
        <v>商业繁华度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474"/>
      <c r="M16" s="1409"/>
      <c r="N16" s="1409"/>
      <c r="O16" s="1409"/>
      <c r="P16" s="3456"/>
      <c r="Q16" s="625"/>
      <c r="R16" s="1511"/>
      <c r="S16" s="1512"/>
      <c r="T16" s="1511"/>
      <c r="U16" s="1512"/>
      <c r="V16" s="1511"/>
      <c r="W16" s="1512"/>
      <c r="X16" s="1506"/>
      <c r="Y16" s="3461"/>
      <c r="Z16" s="1495"/>
      <c r="AA16" s="1495">
        <v>1</v>
      </c>
      <c r="AB16" s="1495">
        <v>1</v>
      </c>
      <c r="AC16" s="1495">
        <v>1</v>
      </c>
    </row>
    <row r="17" spans="1:29" ht="15">
      <c r="A17" s="1337"/>
      <c r="B17" s="1626" t="s">
        <v>1682</v>
      </c>
      <c r="C17" s="1361">
        <f>估价对象房地状况!C6</f>
        <v>0</v>
      </c>
      <c r="D17" s="1359">
        <v>100</v>
      </c>
      <c r="E17" s="1362"/>
      <c r="F17" s="1460">
        <f>SUMIF(78:78,E18,79:79)-SUMIF(78:78,C18,79:79)+100</f>
        <v>100</v>
      </c>
      <c r="G17" s="1477"/>
      <c r="H17" s="1363">
        <f>SUMIF(78:78,G18,79:79)-SUMIF(78:78,C18,79:79)+100</f>
        <v>100</v>
      </c>
      <c r="I17" s="1362"/>
      <c r="J17" s="1363">
        <f>SUMIF(78:78,I18,79:79)-SUMIF(78:78,C18,79:79)+100</f>
        <v>100</v>
      </c>
      <c r="K17" s="1697"/>
      <c r="L17" s="1474"/>
      <c r="M17" s="1409"/>
      <c r="N17" s="1409"/>
      <c r="O17" s="1409"/>
      <c r="P17" s="3456"/>
      <c r="Q17" s="625" t="str">
        <f>B17</f>
        <v>交通便捷度</v>
      </c>
      <c r="R17" s="1511" t="s">
        <v>1664</v>
      </c>
      <c r="S17" s="1512">
        <f>F17</f>
        <v>100</v>
      </c>
      <c r="T17" s="1511" t="s">
        <v>1664</v>
      </c>
      <c r="U17" s="1512">
        <f>H17</f>
        <v>100</v>
      </c>
      <c r="V17" s="1511" t="s">
        <v>1664</v>
      </c>
      <c r="W17" s="1512">
        <f>J17</f>
        <v>100</v>
      </c>
      <c r="X17" s="1506"/>
      <c r="Y17" s="3461"/>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474"/>
      <c r="M18" s="1409"/>
      <c r="N18" s="1409"/>
      <c r="O18" s="1409"/>
      <c r="P18" s="3456"/>
      <c r="Q18" s="625"/>
      <c r="R18" s="1511"/>
      <c r="S18" s="1512"/>
      <c r="T18" s="1511"/>
      <c r="U18" s="1512"/>
      <c r="V18" s="1511"/>
      <c r="W18" s="1512"/>
      <c r="X18" s="1506"/>
      <c r="Y18" s="3461"/>
      <c r="Z18" s="1495"/>
      <c r="AA18" s="1495">
        <v>1</v>
      </c>
      <c r="AB18" s="1495">
        <v>1</v>
      </c>
      <c r="AC18" s="1495">
        <v>1</v>
      </c>
    </row>
    <row r="19" spans="1:29" ht="15">
      <c r="A19" s="1337"/>
      <c r="B19" s="1626" t="s">
        <v>1683</v>
      </c>
      <c r="C19" s="1361">
        <f>估价对象房地状况!C7</f>
        <v>0</v>
      </c>
      <c r="D19" s="1363">
        <v>100</v>
      </c>
      <c r="E19" s="1629"/>
      <c r="F19" s="1459">
        <f>SUMIF(80:80,E20,81:81)-SUMIF(80:80,C20,81:81)+100</f>
        <v>100</v>
      </c>
      <c r="G19" s="1636"/>
      <c r="H19" s="1359">
        <f>SUMIF(80:80,G20,81:81)-SUMIF(80:80,C20,81:81)+100</f>
        <v>100</v>
      </c>
      <c r="I19" s="1629"/>
      <c r="J19" s="1359">
        <f>SUMIF(80:80,I20,81:81)-SUMIF(80:80,C20,81:81)+100</f>
        <v>100</v>
      </c>
      <c r="K19" s="1697"/>
      <c r="L19" s="1474"/>
      <c r="M19" s="1409"/>
      <c r="N19" s="1409"/>
      <c r="O19" s="1409"/>
      <c r="P19" s="3456"/>
      <c r="Q19" s="625" t="str">
        <f>B19</f>
        <v>公共配套设施</v>
      </c>
      <c r="R19" s="1511" t="s">
        <v>1664</v>
      </c>
      <c r="S19" s="1512">
        <f>F19</f>
        <v>100</v>
      </c>
      <c r="T19" s="1511" t="s">
        <v>1664</v>
      </c>
      <c r="U19" s="1512">
        <f>H19</f>
        <v>100</v>
      </c>
      <c r="V19" s="1511" t="s">
        <v>1664</v>
      </c>
      <c r="W19" s="1512">
        <f>J19</f>
        <v>100</v>
      </c>
      <c r="X19" s="1506"/>
      <c r="Y19" s="3461"/>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474"/>
      <c r="M20" s="1409"/>
      <c r="N20" s="1409"/>
      <c r="O20" s="1409"/>
      <c r="P20" s="3456"/>
      <c r="Q20" s="625"/>
      <c r="R20" s="1511"/>
      <c r="S20" s="1512"/>
      <c r="T20" s="1511"/>
      <c r="U20" s="1512"/>
      <c r="V20" s="1511"/>
      <c r="W20" s="1512"/>
      <c r="X20" s="1506"/>
      <c r="Y20" s="3461"/>
      <c r="Z20" s="1495"/>
      <c r="AA20" s="1495">
        <v>1</v>
      </c>
      <c r="AB20" s="1495">
        <v>1</v>
      </c>
      <c r="AC20" s="1495">
        <v>1</v>
      </c>
    </row>
    <row r="21" spans="1:29" ht="15">
      <c r="A21" s="1337"/>
      <c r="B21" s="1630" t="s">
        <v>1684</v>
      </c>
      <c r="C21" s="1361">
        <f>估价对象房地状况!C8</f>
        <v>0</v>
      </c>
      <c r="D21" s="1363">
        <v>100</v>
      </c>
      <c r="E21" s="1629"/>
      <c r="F21" s="1459">
        <f>SUMIF(82:82,E22,83:83)-SUMIF(82:82,C22,83:83)+100</f>
        <v>100</v>
      </c>
      <c r="G21" s="1636"/>
      <c r="H21" s="1359">
        <f>SUMIF(82:82,G22,83:83)-SUMIF(82:82,C22,83:83)+100</f>
        <v>100</v>
      </c>
      <c r="I21" s="1629"/>
      <c r="J21" s="1359">
        <f>SUMIF(82:82,I22,83:83)-SUMIF(82:82,C22,83:83)+100</f>
        <v>100</v>
      </c>
      <c r="K21" s="1697"/>
      <c r="L21" s="1474"/>
      <c r="M21" s="1409"/>
      <c r="N21" s="1409"/>
      <c r="O21" s="1409"/>
      <c r="P21" s="3456"/>
      <c r="Q21" s="625" t="str">
        <f>B21</f>
        <v>基础设施水平</v>
      </c>
      <c r="R21" s="1511" t="s">
        <v>1664</v>
      </c>
      <c r="S21" s="1512">
        <f>F21</f>
        <v>100</v>
      </c>
      <c r="T21" s="1511" t="s">
        <v>1664</v>
      </c>
      <c r="U21" s="1512">
        <f>H21</f>
        <v>100</v>
      </c>
      <c r="V21" s="1511" t="s">
        <v>1664</v>
      </c>
      <c r="W21" s="1512">
        <f>J21</f>
        <v>100</v>
      </c>
      <c r="X21" s="1506"/>
      <c r="Y21" s="3461"/>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474"/>
      <c r="M22" s="1409"/>
      <c r="N22" s="1409"/>
      <c r="O22" s="1409"/>
      <c r="P22" s="3456"/>
      <c r="Q22" s="625"/>
      <c r="R22" s="1511"/>
      <c r="S22" s="1512"/>
      <c r="T22" s="1511"/>
      <c r="U22" s="1512"/>
      <c r="V22" s="1511"/>
      <c r="W22" s="1512"/>
      <c r="X22" s="1506"/>
      <c r="Y22" s="3461"/>
      <c r="Z22" s="1495"/>
      <c r="AA22" s="1495">
        <v>1</v>
      </c>
      <c r="AB22" s="1495">
        <v>1</v>
      </c>
      <c r="AC22" s="1495">
        <v>1</v>
      </c>
    </row>
    <row r="23" spans="1:29" ht="15">
      <c r="A23" s="1337"/>
      <c r="B23" s="1626" t="s">
        <v>2204</v>
      </c>
      <c r="C23" s="623">
        <f>估价对象房地状况!C9</f>
        <v>0</v>
      </c>
      <c r="D23" s="1359">
        <v>100</v>
      </c>
      <c r="E23" s="1362"/>
      <c r="F23" s="1460">
        <f>SUMIF(84:84,E24,85:85)-SUMIF(84:84,C24,85:85)+100</f>
        <v>100</v>
      </c>
      <c r="G23" s="1477"/>
      <c r="H23" s="1359">
        <f>SUMIF(84:84,G24,85:85)-SUMIF(84:84,C24,85:85)+100</f>
        <v>100</v>
      </c>
      <c r="I23" s="1362"/>
      <c r="J23" s="1359">
        <f>SUMIF(84:84,I24,85:85)-SUMIF(84:84,C24,85:85)+100</f>
        <v>100</v>
      </c>
      <c r="K23" s="1697"/>
      <c r="L23" s="1474"/>
      <c r="M23" s="1409"/>
      <c r="N23" s="1409"/>
      <c r="O23" s="1409"/>
      <c r="P23" s="3456"/>
      <c r="Q23" s="625" t="str">
        <f>B23</f>
        <v>自然及人文环境</v>
      </c>
      <c r="R23" s="1511" t="s">
        <v>1664</v>
      </c>
      <c r="S23" s="1512">
        <f>F23</f>
        <v>100</v>
      </c>
      <c r="T23" s="1511" t="s">
        <v>1664</v>
      </c>
      <c r="U23" s="1512">
        <f>H23</f>
        <v>100</v>
      </c>
      <c r="V23" s="1511" t="s">
        <v>1664</v>
      </c>
      <c r="W23" s="1512">
        <f>J23</f>
        <v>100</v>
      </c>
      <c r="X23" s="1506"/>
      <c r="Y23" s="3461"/>
      <c r="Z23" s="1495" t="str">
        <f>Q23</f>
        <v>自然及人文环境</v>
      </c>
      <c r="AA23" s="1495">
        <f t="shared" si="3"/>
        <v>1</v>
      </c>
      <c r="AB23" s="1495">
        <f t="shared" si="4"/>
        <v>1</v>
      </c>
      <c r="AC23" s="1495">
        <f t="shared" si="5"/>
        <v>1</v>
      </c>
    </row>
    <row r="24" spans="1:29" ht="15">
      <c r="A24" s="1337"/>
      <c r="B24" s="1383"/>
      <c r="C24" s="1356"/>
      <c r="D24" s="1357"/>
      <c r="E24" s="1365"/>
      <c r="F24" s="1461"/>
      <c r="G24" s="1478"/>
      <c r="H24" s="1357"/>
      <c r="I24" s="1365"/>
      <c r="J24" s="1357"/>
      <c r="K24" s="1698"/>
      <c r="L24" s="1474"/>
      <c r="M24" s="1409"/>
      <c r="N24" s="1409"/>
      <c r="O24" s="1409"/>
      <c r="P24" s="3456"/>
      <c r="Q24" s="625"/>
      <c r="R24" s="1511"/>
      <c r="S24" s="1512"/>
      <c r="T24" s="1511"/>
      <c r="U24" s="1512"/>
      <c r="V24" s="1511"/>
      <c r="W24" s="1512"/>
      <c r="X24" s="1506"/>
      <c r="Y24" s="3461"/>
      <c r="Z24" s="1495"/>
      <c r="AA24" s="1495">
        <v>1</v>
      </c>
      <c r="AB24" s="1495">
        <v>1</v>
      </c>
      <c r="AC24" s="1495">
        <v>1</v>
      </c>
    </row>
    <row r="25" spans="1:29" ht="15">
      <c r="A25" s="1337"/>
      <c r="B25" s="1334" t="s">
        <v>2231</v>
      </c>
      <c r="C25" s="1370"/>
      <c r="D25" s="759">
        <v>100</v>
      </c>
      <c r="E25" s="1370"/>
      <c r="F25" s="1490">
        <f>SUMIF(86:86,E25,87:87)-SUMIF(86:86,C25,87:87)+100</f>
        <v>100</v>
      </c>
      <c r="G25" s="1370"/>
      <c r="H25" s="759">
        <f>SUMIF(86:86,G25,87:87)-SUMIF(86:86,C25,87:87)+100</f>
        <v>100</v>
      </c>
      <c r="I25" s="1370"/>
      <c r="J25" s="759">
        <f>SUMIF(86:86,I25,87:87)-SUMIF(86:86,C25,87:87)+100</f>
        <v>100</v>
      </c>
      <c r="K25" s="1481"/>
      <c r="L25" s="1474"/>
      <c r="M25" s="1409"/>
      <c r="N25" s="1409"/>
      <c r="O25" s="1409"/>
      <c r="P25" s="3456"/>
      <c r="Q25" s="625" t="str">
        <f t="shared" ref="Q25:Q46" si="11">B25</f>
        <v>临街状况</v>
      </c>
      <c r="R25" s="1511" t="s">
        <v>1664</v>
      </c>
      <c r="S25" s="1512">
        <f>F25</f>
        <v>100</v>
      </c>
      <c r="T25" s="1511" t="s">
        <v>1664</v>
      </c>
      <c r="U25" s="1512">
        <f>H25</f>
        <v>100</v>
      </c>
      <c r="V25" s="1511" t="s">
        <v>1664</v>
      </c>
      <c r="W25" s="1512">
        <f>J25</f>
        <v>100</v>
      </c>
      <c r="X25" s="1506"/>
      <c r="Y25" s="3461"/>
      <c r="Z25" s="1495" t="str">
        <f>Q25</f>
        <v>临街状况</v>
      </c>
      <c r="AA25" s="1495">
        <f t="shared" si="3"/>
        <v>1</v>
      </c>
      <c r="AB25" s="1495">
        <f t="shared" si="4"/>
        <v>1</v>
      </c>
      <c r="AC25" s="1495">
        <f t="shared" si="5"/>
        <v>1</v>
      </c>
    </row>
    <row r="26" spans="1:29" ht="15">
      <c r="A26" s="1337"/>
      <c r="B26" s="1569" t="s">
        <v>2232</v>
      </c>
      <c r="C26" s="1345"/>
      <c r="D26" s="759">
        <v>100</v>
      </c>
      <c r="E26" s="1345"/>
      <c r="F26" s="1490">
        <f>SUMIF(88:88,E26,89:89)-SUMIF(88:88,C26,89:89)+100</f>
        <v>100</v>
      </c>
      <c r="G26" s="1345"/>
      <c r="H26" s="759">
        <f>SUMIF(88:88,G26,89:89)-SUMIF(88:88,C26,89:89)+100</f>
        <v>100</v>
      </c>
      <c r="I26" s="1345"/>
      <c r="J26" s="759">
        <f>SUMIF(88:88,I26,89:89)-SUMIF(88:88,C26,89:89)+100</f>
        <v>100</v>
      </c>
      <c r="K26" s="1480"/>
      <c r="L26" s="1474"/>
      <c r="M26" s="1409"/>
      <c r="N26" s="1409"/>
      <c r="O26" s="1409"/>
      <c r="P26" s="3456"/>
      <c r="Q26" s="625" t="str">
        <f t="shared" si="11"/>
        <v>平面位置/可视性</v>
      </c>
      <c r="R26" s="1511" t="s">
        <v>1664</v>
      </c>
      <c r="S26" s="1512">
        <f>F26</f>
        <v>100</v>
      </c>
      <c r="T26" s="1511" t="s">
        <v>1664</v>
      </c>
      <c r="U26" s="1512">
        <f>H26</f>
        <v>100</v>
      </c>
      <c r="V26" s="1511" t="s">
        <v>1664</v>
      </c>
      <c r="W26" s="1512">
        <f>J26</f>
        <v>100</v>
      </c>
      <c r="X26" s="1506"/>
      <c r="Y26" s="3461"/>
      <c r="Z26" s="1495" t="str">
        <f>Q26</f>
        <v>平面位置/可视性</v>
      </c>
      <c r="AA26" s="1495">
        <f t="shared" si="3"/>
        <v>1</v>
      </c>
      <c r="AB26" s="1495">
        <f t="shared" si="4"/>
        <v>1</v>
      </c>
      <c r="AC26" s="1495">
        <f t="shared" si="5"/>
        <v>1</v>
      </c>
    </row>
    <row r="27" spans="1:29" s="1293" customFormat="1" ht="15">
      <c r="A27" s="1340"/>
      <c r="B27" s="1626" t="s">
        <v>2233</v>
      </c>
      <c r="C27" s="1808"/>
      <c r="D27" s="1364">
        <v>100</v>
      </c>
      <c r="E27" s="1808"/>
      <c r="F27" s="1383">
        <f>SUMIF(90:90,E27,91:91)-SUMIF(90:90,C27,91:91)+100</f>
        <v>100</v>
      </c>
      <c r="G27" s="1808"/>
      <c r="H27" s="1364">
        <f>SUMIF(90:90,G27,91:91)-SUMIF(90:90,C27,91:91)+100</f>
        <v>100</v>
      </c>
      <c r="I27" s="1808"/>
      <c r="J27" s="1364">
        <f>SUMIF(90:90,I27,91:91)-SUMIF(90:90,C27,91:91)+100</f>
        <v>100</v>
      </c>
      <c r="K27" s="1481"/>
      <c r="L27" s="1463"/>
      <c r="M27" s="1464"/>
      <c r="N27" s="1464"/>
      <c r="O27" s="1464"/>
      <c r="P27" s="3456"/>
      <c r="Q27" s="794" t="str">
        <f t="shared" si="11"/>
        <v>人流量</v>
      </c>
      <c r="R27" s="1507" t="s">
        <v>1664</v>
      </c>
      <c r="S27" s="1508">
        <f>F27</f>
        <v>100</v>
      </c>
      <c r="T27" s="1507" t="s">
        <v>1664</v>
      </c>
      <c r="U27" s="1508">
        <f>H27</f>
        <v>100</v>
      </c>
      <c r="V27" s="1507" t="s">
        <v>1664</v>
      </c>
      <c r="W27" s="1508">
        <f>J27</f>
        <v>100</v>
      </c>
      <c r="X27" s="1509"/>
      <c r="Y27" s="3461"/>
      <c r="Z27" s="1518" t="str">
        <f>Q27</f>
        <v>人流量</v>
      </c>
      <c r="AA27" s="1495">
        <f t="shared" si="3"/>
        <v>1</v>
      </c>
      <c r="AB27" s="1495">
        <f t="shared" si="4"/>
        <v>1</v>
      </c>
      <c r="AC27" s="1495">
        <f t="shared" si="5"/>
        <v>1</v>
      </c>
    </row>
    <row r="28" spans="1:29" ht="15">
      <c r="A28" s="1337"/>
      <c r="B28" s="1334" t="s">
        <v>1689</v>
      </c>
      <c r="C28" s="1370"/>
      <c r="D28" s="759">
        <v>100</v>
      </c>
      <c r="E28" s="1370"/>
      <c r="F28" s="1490">
        <f>SUMIF(92:92,E28,93:93)-SUMIF(92:92,C28,93:93)+100</f>
        <v>100</v>
      </c>
      <c r="G28" s="1370"/>
      <c r="H28" s="759">
        <f>SUMIF(92:92,G28,93:93)-SUMIF(92:92,C28,93:93)+100</f>
        <v>100</v>
      </c>
      <c r="I28" s="1370"/>
      <c r="J28" s="759">
        <f>SUMIF(92:92,I28,93:93)-SUMIF(92:92,C28,93:93)+100</f>
        <v>100</v>
      </c>
      <c r="K28" s="1480"/>
      <c r="L28" s="1474"/>
      <c r="M28" s="1409"/>
      <c r="N28" s="1409"/>
      <c r="O28" s="1409"/>
      <c r="P28" s="3456"/>
      <c r="Q28" s="625" t="str">
        <f t="shared" si="11"/>
        <v>楼层</v>
      </c>
      <c r="R28" s="1511" t="s">
        <v>1664</v>
      </c>
      <c r="S28" s="1512">
        <f t="shared" ref="S28:S46" si="12">F28</f>
        <v>100</v>
      </c>
      <c r="T28" s="1511" t="s">
        <v>1664</v>
      </c>
      <c r="U28" s="1512">
        <f t="shared" ref="U28:U46" si="13">H28</f>
        <v>100</v>
      </c>
      <c r="V28" s="1511" t="s">
        <v>1664</v>
      </c>
      <c r="W28" s="1512">
        <f t="shared" ref="W28:W46" si="14">J28</f>
        <v>100</v>
      </c>
      <c r="X28" s="1506"/>
      <c r="Y28" s="3461"/>
      <c r="Z28" s="1495" t="str">
        <f t="shared" ref="Z28:Z46" si="15">Q28</f>
        <v>楼层</v>
      </c>
      <c r="AA28" s="1495">
        <f t="shared" si="3"/>
        <v>1</v>
      </c>
      <c r="AB28" s="1495">
        <f t="shared" si="4"/>
        <v>1</v>
      </c>
      <c r="AC28" s="1495">
        <f t="shared" si="5"/>
        <v>1</v>
      </c>
    </row>
    <row r="29" spans="1:29" ht="15">
      <c r="A29" s="1337"/>
      <c r="B29" s="1569">
        <v>111</v>
      </c>
      <c r="C29" s="1345"/>
      <c r="D29" s="759">
        <v>100</v>
      </c>
      <c r="E29" s="1345"/>
      <c r="F29" s="1490">
        <f>SUMIF(94:94,E29,95:95)-SUMIF(94:94,C29,95:95)+100</f>
        <v>100</v>
      </c>
      <c r="G29" s="1345"/>
      <c r="H29" s="759">
        <f>SUMIF(94:94,G29,95:95)-SUMIF(94:94,C29,95:95)+100</f>
        <v>100</v>
      </c>
      <c r="I29" s="1345"/>
      <c r="J29" s="759">
        <f>SUMIF(94:94,I29,95:95)-SUMIF(94:94,C29,95:95)+100</f>
        <v>100</v>
      </c>
      <c r="K29" s="1480"/>
      <c r="L29" s="1474"/>
      <c r="M29" s="1409"/>
      <c r="N29" s="1409"/>
      <c r="O29" s="1409"/>
      <c r="P29" s="3456"/>
      <c r="Q29" s="625">
        <f t="shared" si="11"/>
        <v>111</v>
      </c>
      <c r="R29" s="1511" t="s">
        <v>1664</v>
      </c>
      <c r="S29" s="1512">
        <f t="shared" si="12"/>
        <v>100</v>
      </c>
      <c r="T29" s="1511" t="s">
        <v>1664</v>
      </c>
      <c r="U29" s="1512">
        <f t="shared" si="13"/>
        <v>100</v>
      </c>
      <c r="V29" s="1511" t="s">
        <v>1664</v>
      </c>
      <c r="W29" s="1512">
        <f t="shared" si="14"/>
        <v>100</v>
      </c>
      <c r="X29" s="1506"/>
      <c r="Y29" s="3461"/>
      <c r="Z29" s="1495">
        <f t="shared" si="15"/>
        <v>111</v>
      </c>
      <c r="AA29" s="1495">
        <f t="shared" si="3"/>
        <v>1</v>
      </c>
      <c r="AB29" s="1495">
        <f t="shared" si="4"/>
        <v>1</v>
      </c>
      <c r="AC29" s="1495">
        <f t="shared" si="5"/>
        <v>1</v>
      </c>
    </row>
    <row r="30" spans="1:29" ht="15">
      <c r="A30" s="1337"/>
      <c r="B30" s="1569">
        <v>111</v>
      </c>
      <c r="C30" s="1345"/>
      <c r="D30" s="759">
        <v>100</v>
      </c>
      <c r="E30" s="1345"/>
      <c r="F30" s="1490">
        <f>SUMIF(96:96,E30,97:97)-SUMIF(96:96,C30,97:97)+100</f>
        <v>100</v>
      </c>
      <c r="G30" s="1345"/>
      <c r="H30" s="759">
        <f>SUMIF(96:96,G30,97:97)-SUMIF(96:96,C30,97:97)+100</f>
        <v>100</v>
      </c>
      <c r="I30" s="1345"/>
      <c r="J30" s="759">
        <f>SUMIF(96:96,I30,97:97)-SUMIF(96:96,C30,97:97)+100</f>
        <v>100</v>
      </c>
      <c r="K30" s="1480"/>
      <c r="L30" s="1474"/>
      <c r="M30" s="1409"/>
      <c r="N30" s="1409"/>
      <c r="O30" s="1409"/>
      <c r="P30" s="3456"/>
      <c r="Q30" s="625">
        <f t="shared" si="11"/>
        <v>111</v>
      </c>
      <c r="R30" s="1511" t="s">
        <v>1664</v>
      </c>
      <c r="S30" s="1512">
        <f t="shared" si="12"/>
        <v>100</v>
      </c>
      <c r="T30" s="1511" t="s">
        <v>1664</v>
      </c>
      <c r="U30" s="1512">
        <f t="shared" si="13"/>
        <v>100</v>
      </c>
      <c r="V30" s="1511" t="s">
        <v>1664</v>
      </c>
      <c r="W30" s="1512">
        <f t="shared" si="14"/>
        <v>100</v>
      </c>
      <c r="X30" s="1506"/>
      <c r="Y30" s="3461"/>
      <c r="Z30" s="1495">
        <f t="shared" si="15"/>
        <v>111</v>
      </c>
      <c r="AA30" s="1495">
        <f t="shared" si="3"/>
        <v>1</v>
      </c>
      <c r="AB30" s="1495">
        <f t="shared" si="4"/>
        <v>1</v>
      </c>
      <c r="AC30" s="1495">
        <f t="shared" si="5"/>
        <v>1</v>
      </c>
    </row>
    <row r="31" spans="1:29" ht="15">
      <c r="A31" s="1346"/>
      <c r="B31" s="1569">
        <v>111</v>
      </c>
      <c r="C31" s="1348"/>
      <c r="D31" s="1349">
        <v>100</v>
      </c>
      <c r="E31" s="1345"/>
      <c r="F31" s="1682">
        <f>SUMIF(98:98,E31,99:99)-SUMIF(98:98,C31,99:99)+100</f>
        <v>100</v>
      </c>
      <c r="G31" s="1345"/>
      <c r="H31" s="1349">
        <f>SUMIF(98:98,G31,99:99)-SUMIF(98:98,C31,99:99)+100</f>
        <v>100</v>
      </c>
      <c r="I31" s="1345"/>
      <c r="J31" s="1349">
        <f>SUMIF(98:98,I31,99:99)-SUMIF(98:98,C31,99:99)+100</f>
        <v>100</v>
      </c>
      <c r="K31" s="1480"/>
      <c r="L31" s="1474"/>
      <c r="M31" s="1409"/>
      <c r="N31" s="1409"/>
      <c r="O31" s="1409"/>
      <c r="P31" s="3456"/>
      <c r="Q31" s="625">
        <f t="shared" si="11"/>
        <v>111</v>
      </c>
      <c r="R31" s="1511" t="s">
        <v>1664</v>
      </c>
      <c r="S31" s="1512">
        <f t="shared" si="12"/>
        <v>100</v>
      </c>
      <c r="T31" s="1511" t="s">
        <v>1664</v>
      </c>
      <c r="U31" s="1512">
        <f t="shared" si="13"/>
        <v>100</v>
      </c>
      <c r="V31" s="1511" t="s">
        <v>1664</v>
      </c>
      <c r="W31" s="1512">
        <f t="shared" si="14"/>
        <v>100</v>
      </c>
      <c r="X31" s="1506"/>
      <c r="Y31" s="3461"/>
      <c r="Z31" s="1495">
        <f t="shared" si="15"/>
        <v>111</v>
      </c>
      <c r="AA31" s="1495">
        <f t="shared" si="3"/>
        <v>1</v>
      </c>
      <c r="AB31" s="1495">
        <f t="shared" si="4"/>
        <v>1</v>
      </c>
      <c r="AC31" s="1495">
        <f t="shared" si="5"/>
        <v>1</v>
      </c>
    </row>
    <row r="32" spans="1:29" ht="15">
      <c r="A32" s="1350" t="s">
        <v>1691</v>
      </c>
      <c r="B32" s="1330" t="s">
        <v>2234</v>
      </c>
      <c r="C32" s="1675"/>
      <c r="D32" s="1314">
        <v>100</v>
      </c>
      <c r="E32" s="1675"/>
      <c r="F32" s="1490">
        <f>SUMIF(100:100,E32,101:101)-SUMIF(100:100,C32,101:101)+100</f>
        <v>100</v>
      </c>
      <c r="G32" s="1675"/>
      <c r="H32" s="759">
        <f>SUMIF(100:100,G32,101:101)-SUMIF(100:100,C32,101:101)+100</f>
        <v>100</v>
      </c>
      <c r="I32" s="1675"/>
      <c r="J32" s="1314">
        <f>SUMIF(100:100,I32,101:101)-SUMIF(100:100,C32,101:101)+100</f>
        <v>100</v>
      </c>
      <c r="K32" s="1481"/>
      <c r="L32" s="1474"/>
      <c r="M32" s="1409"/>
      <c r="N32" s="1409"/>
      <c r="O32" s="1409"/>
      <c r="P32" s="3457" t="s">
        <v>1694</v>
      </c>
      <c r="Q32" s="625" t="str">
        <f t="shared" si="11"/>
        <v>商业类型</v>
      </c>
      <c r="R32" s="1511" t="s">
        <v>1664</v>
      </c>
      <c r="S32" s="1512">
        <f t="shared" si="12"/>
        <v>100</v>
      </c>
      <c r="T32" s="1511" t="s">
        <v>1664</v>
      </c>
      <c r="U32" s="1512">
        <f t="shared" si="13"/>
        <v>100</v>
      </c>
      <c r="V32" s="1511" t="s">
        <v>1664</v>
      </c>
      <c r="W32" s="1512">
        <f t="shared" si="14"/>
        <v>100</v>
      </c>
      <c r="X32" s="1506"/>
      <c r="Y32" s="3462" t="s">
        <v>1694</v>
      </c>
      <c r="Z32" s="1495" t="str">
        <f t="shared" si="15"/>
        <v>商业类型</v>
      </c>
      <c r="AA32" s="1495">
        <f t="shared" si="3"/>
        <v>1</v>
      </c>
      <c r="AB32" s="1495">
        <f t="shared" si="4"/>
        <v>1</v>
      </c>
      <c r="AC32" s="1495">
        <f t="shared" si="5"/>
        <v>1</v>
      </c>
    </row>
    <row r="33" spans="1:29" s="1295" customFormat="1" ht="15">
      <c r="A33" s="1390"/>
      <c r="B33" s="1334" t="s">
        <v>1695</v>
      </c>
      <c r="C33" s="1670"/>
      <c r="D33" s="1336">
        <v>100</v>
      </c>
      <c r="E33" s="1339"/>
      <c r="F33" s="1334" t="e">
        <f>LOOKUP(E33,103:103,104:104)-LOOKUP(C33,103:103,104:104)+100</f>
        <v>#N/A</v>
      </c>
      <c r="G33" s="1338"/>
      <c r="H33" s="1336" t="e">
        <f>LOOKUP(G33,103:103,104:104)-LOOKUP(C33,103:103,104:104)+100</f>
        <v>#N/A</v>
      </c>
      <c r="I33" s="1338"/>
      <c r="J33" s="1336" t="e">
        <f>LOOKUP(I33,103:103,104:104)-LOOKUP(C33,103:103,104:104)+100</f>
        <v>#N/A</v>
      </c>
      <c r="K33" s="1480"/>
      <c r="L33" s="1472"/>
      <c r="M33" s="1482"/>
      <c r="N33" s="1482"/>
      <c r="O33" s="1482"/>
      <c r="P33" s="3458"/>
      <c r="Q33" s="1700" t="str">
        <f t="shared" si="11"/>
        <v>项目建筑规模</v>
      </c>
      <c r="R33" s="1513" t="s">
        <v>1664</v>
      </c>
      <c r="S33" s="1514" t="e">
        <f t="shared" si="12"/>
        <v>#N/A</v>
      </c>
      <c r="T33" s="1513" t="s">
        <v>1664</v>
      </c>
      <c r="U33" s="1514" t="e">
        <f t="shared" si="13"/>
        <v>#N/A</v>
      </c>
      <c r="V33" s="1513" t="s">
        <v>1664</v>
      </c>
      <c r="W33" s="1514" t="e">
        <f t="shared" si="14"/>
        <v>#N/A</v>
      </c>
      <c r="X33" s="1515"/>
      <c r="Y33" s="3462"/>
      <c r="Z33" s="1519" t="str">
        <f t="shared" si="15"/>
        <v>项目建筑规模</v>
      </c>
      <c r="AA33" s="1495" t="e">
        <f t="shared" si="3"/>
        <v>#N/A</v>
      </c>
      <c r="AB33" s="1495" t="e">
        <f t="shared" si="4"/>
        <v>#N/A</v>
      </c>
      <c r="AC33" s="1495" t="e">
        <f t="shared" si="5"/>
        <v>#N/A</v>
      </c>
    </row>
    <row r="34" spans="1:29" ht="15">
      <c r="A34" s="1385"/>
      <c r="B34" s="1334" t="s">
        <v>1696</v>
      </c>
      <c r="C34" s="1679"/>
      <c r="D34" s="759">
        <v>100</v>
      </c>
      <c r="E34" s="1679"/>
      <c r="F34" s="1490">
        <f>SUMIF(105:105,E34,106:106)-SUMIF(105:105,C34,106:106)+100</f>
        <v>100</v>
      </c>
      <c r="G34" s="1679"/>
      <c r="H34" s="759">
        <f>SUMIF(105:105,G34,106:106)-SUMIF(105:105,C34,106:106)+100</f>
        <v>100</v>
      </c>
      <c r="I34" s="1679"/>
      <c r="J34" s="759">
        <f>SUMIF(105:105,I34,106:106)-SUMIF(105:105,C34,106:106)+100</f>
        <v>100</v>
      </c>
      <c r="K34" s="1481"/>
      <c r="L34" s="1474"/>
      <c r="M34" s="1409"/>
      <c r="N34" s="1409"/>
      <c r="O34" s="1409"/>
      <c r="P34" s="3458"/>
      <c r="Q34" s="625" t="str">
        <f t="shared" si="11"/>
        <v>建筑结构</v>
      </c>
      <c r="R34" s="1511" t="s">
        <v>1664</v>
      </c>
      <c r="S34" s="1512">
        <f t="shared" si="12"/>
        <v>100</v>
      </c>
      <c r="T34" s="1511" t="s">
        <v>1664</v>
      </c>
      <c r="U34" s="1512">
        <f t="shared" si="13"/>
        <v>100</v>
      </c>
      <c r="V34" s="1511" t="s">
        <v>1664</v>
      </c>
      <c r="W34" s="1512">
        <f t="shared" si="14"/>
        <v>100</v>
      </c>
      <c r="X34" s="1506"/>
      <c r="Y34" s="3462"/>
      <c r="Z34" s="1495" t="str">
        <f t="shared" si="15"/>
        <v>建筑结构</v>
      </c>
      <c r="AA34" s="1495">
        <f t="shared" si="3"/>
        <v>1</v>
      </c>
      <c r="AB34" s="1495">
        <f t="shared" si="4"/>
        <v>1</v>
      </c>
      <c r="AC34" s="1495">
        <f t="shared" si="5"/>
        <v>1</v>
      </c>
    </row>
    <row r="35" spans="1:29" ht="15">
      <c r="A35" s="1385"/>
      <c r="B35" s="1334" t="s">
        <v>1698</v>
      </c>
      <c r="C35" s="1386"/>
      <c r="D35" s="759">
        <v>100</v>
      </c>
      <c r="E35" s="1386"/>
      <c r="F35" s="1490">
        <f>SUMIF(107:107,E35,108:108)-SUMIF(107:107,C35,108:108)+100</f>
        <v>100</v>
      </c>
      <c r="G35" s="1386"/>
      <c r="H35" s="759">
        <f>SUMIF(107:107,G35,108:108)-SUMIF(107:107,C35,108:108)+100</f>
        <v>100</v>
      </c>
      <c r="I35" s="1386"/>
      <c r="J35" s="759">
        <f>SUMIF(107:107,I35,108:108)-SUMIF(107:107,C35,108:108)+100</f>
        <v>100</v>
      </c>
      <c r="K35" s="1481"/>
      <c r="L35" s="1474"/>
      <c r="M35" s="1409"/>
      <c r="N35" s="1409"/>
      <c r="O35" s="1409"/>
      <c r="P35" s="3458"/>
      <c r="Q35" s="625" t="str">
        <f t="shared" si="11"/>
        <v>公共部分装修</v>
      </c>
      <c r="R35" s="1511" t="s">
        <v>1664</v>
      </c>
      <c r="S35" s="1512">
        <f t="shared" si="12"/>
        <v>100</v>
      </c>
      <c r="T35" s="1511" t="s">
        <v>1664</v>
      </c>
      <c r="U35" s="1512">
        <f t="shared" si="13"/>
        <v>100</v>
      </c>
      <c r="V35" s="1511" t="s">
        <v>1664</v>
      </c>
      <c r="W35" s="1512">
        <f t="shared" si="14"/>
        <v>100</v>
      </c>
      <c r="X35" s="1506"/>
      <c r="Y35" s="3462"/>
      <c r="Z35" s="1495" t="str">
        <f t="shared" si="15"/>
        <v>公共部分装修</v>
      </c>
      <c r="AA35" s="1495">
        <f t="shared" si="3"/>
        <v>1</v>
      </c>
      <c r="AB35" s="1495">
        <f t="shared" si="4"/>
        <v>1</v>
      </c>
      <c r="AC35" s="1495">
        <f t="shared" si="5"/>
        <v>1</v>
      </c>
    </row>
    <row r="36" spans="1:29" ht="15">
      <c r="A36" s="1385"/>
      <c r="B36" s="1334" t="s">
        <v>687</v>
      </c>
      <c r="C36" s="1676"/>
      <c r="D36" s="759">
        <v>100</v>
      </c>
      <c r="E36" s="1676"/>
      <c r="F36" s="1490" t="e">
        <f>LOOKUP(E36,110:110,111:111)-LOOKUP(C36,110:110,111:111)+100</f>
        <v>#N/A</v>
      </c>
      <c r="G36" s="1676"/>
      <c r="H36" s="1490" t="e">
        <f>LOOKUP(G36,110:110,111:111)-LOOKUP(C36,110:110,111:111)+100</f>
        <v>#N/A</v>
      </c>
      <c r="I36" s="1676"/>
      <c r="J36" s="759" t="e">
        <f>LOOKUP(I36,110:110,111:111)-LOOKUP(C36,110:110,111:111)+100</f>
        <v>#N/A</v>
      </c>
      <c r="K36" s="1481"/>
      <c r="L36" s="1474"/>
      <c r="M36" s="1409"/>
      <c r="N36" s="1409"/>
      <c r="O36" s="1409"/>
      <c r="P36" s="3458"/>
      <c r="Q36" s="625" t="str">
        <f t="shared" si="11"/>
        <v>成新度</v>
      </c>
      <c r="R36" s="1511" t="s">
        <v>1664</v>
      </c>
      <c r="S36" s="1512" t="e">
        <f t="shared" si="12"/>
        <v>#N/A</v>
      </c>
      <c r="T36" s="1511" t="s">
        <v>1664</v>
      </c>
      <c r="U36" s="1512" t="e">
        <f t="shared" si="13"/>
        <v>#N/A</v>
      </c>
      <c r="V36" s="1511" t="s">
        <v>1664</v>
      </c>
      <c r="W36" s="1512" t="e">
        <f t="shared" si="14"/>
        <v>#N/A</v>
      </c>
      <c r="X36" s="1506"/>
      <c r="Y36" s="3462"/>
      <c r="Z36" s="1495" t="str">
        <f t="shared" si="15"/>
        <v>成新度</v>
      </c>
      <c r="AA36" s="1495" t="e">
        <f t="shared" si="3"/>
        <v>#N/A</v>
      </c>
      <c r="AB36" s="1495" t="e">
        <f t="shared" si="4"/>
        <v>#N/A</v>
      </c>
      <c r="AC36" s="1495" t="e">
        <f t="shared" si="5"/>
        <v>#N/A</v>
      </c>
    </row>
    <row r="37" spans="1:29" s="1293" customFormat="1" ht="15">
      <c r="A37" s="1387"/>
      <c r="B37" s="1334" t="s">
        <v>1704</v>
      </c>
      <c r="C37" s="1386"/>
      <c r="D37" s="1336">
        <v>100</v>
      </c>
      <c r="E37" s="1386"/>
      <c r="F37" s="1490">
        <f>SUMIF(112:112,E37,113:113)-SUMIF(112:112,C37,113:113)+100</f>
        <v>100</v>
      </c>
      <c r="G37" s="1386"/>
      <c r="H37" s="759">
        <f>SUMIF(112:112,G37,113:113)-SUMIF(112:112,C37,113:113)+100</f>
        <v>100</v>
      </c>
      <c r="I37" s="1386"/>
      <c r="J37" s="759">
        <f>SUMIF(112:112,I37,113:113)-SUMIF(112:112,C37,113:113)+100</f>
        <v>100</v>
      </c>
      <c r="K37" s="1481"/>
      <c r="L37" s="1463"/>
      <c r="M37" s="1464"/>
      <c r="N37" s="1464"/>
      <c r="O37" s="1464"/>
      <c r="P37" s="3458"/>
      <c r="Q37" s="794" t="str">
        <f t="shared" si="11"/>
        <v>市政基础设施</v>
      </c>
      <c r="R37" s="1507" t="s">
        <v>1664</v>
      </c>
      <c r="S37" s="1508">
        <f t="shared" si="12"/>
        <v>100</v>
      </c>
      <c r="T37" s="1507" t="s">
        <v>1664</v>
      </c>
      <c r="U37" s="1508">
        <f t="shared" si="13"/>
        <v>100</v>
      </c>
      <c r="V37" s="1507" t="s">
        <v>1664</v>
      </c>
      <c r="W37" s="1508">
        <f t="shared" si="14"/>
        <v>100</v>
      </c>
      <c r="X37" s="1509"/>
      <c r="Y37" s="3462"/>
      <c r="Z37" s="1518" t="str">
        <f t="shared" si="15"/>
        <v>市政基础设施</v>
      </c>
      <c r="AA37" s="1518">
        <f t="shared" si="3"/>
        <v>1</v>
      </c>
      <c r="AB37" s="1518">
        <f t="shared" si="4"/>
        <v>1</v>
      </c>
      <c r="AC37" s="1518">
        <f t="shared" si="5"/>
        <v>1</v>
      </c>
    </row>
    <row r="38" spans="1:29" ht="15">
      <c r="A38" s="1385"/>
      <c r="B38" s="1334" t="s">
        <v>2235</v>
      </c>
      <c r="C38" s="1386"/>
      <c r="D38" s="759">
        <v>100</v>
      </c>
      <c r="E38" s="1386"/>
      <c r="F38" s="1490">
        <f>SUMIF(114:114,E38,115:115)-SUMIF(114:114,C38,115:115)+100</f>
        <v>100</v>
      </c>
      <c r="G38" s="1386"/>
      <c r="H38" s="759">
        <f>SUMIF(114:114,G38,115:115)-SUMIF(114:114,C38,115:115)+100</f>
        <v>100</v>
      </c>
      <c r="I38" s="1386"/>
      <c r="J38" s="759">
        <f>SUMIF(114:114,I38,115:115)-SUMIF(114:114,C38,115:115)+100</f>
        <v>100</v>
      </c>
      <c r="K38" s="1481"/>
      <c r="L38" s="1474"/>
      <c r="M38" s="1409"/>
      <c r="N38" s="1409"/>
      <c r="O38" s="1409"/>
      <c r="P38" s="3458" t="s">
        <v>1694</v>
      </c>
      <c r="Q38" s="625" t="str">
        <f t="shared" si="11"/>
        <v>业态</v>
      </c>
      <c r="R38" s="1511" t="s">
        <v>1664</v>
      </c>
      <c r="S38" s="1512">
        <f t="shared" si="12"/>
        <v>100</v>
      </c>
      <c r="T38" s="1511" t="s">
        <v>1664</v>
      </c>
      <c r="U38" s="1512">
        <f t="shared" si="13"/>
        <v>100</v>
      </c>
      <c r="V38" s="1511" t="s">
        <v>1664</v>
      </c>
      <c r="W38" s="1512">
        <f t="shared" si="14"/>
        <v>100</v>
      </c>
      <c r="X38" s="1506"/>
      <c r="Y38" s="3462" t="s">
        <v>1694</v>
      </c>
      <c r="Z38" s="1495" t="str">
        <f t="shared" si="15"/>
        <v>业态</v>
      </c>
      <c r="AA38" s="1495">
        <f t="shared" si="3"/>
        <v>1</v>
      </c>
      <c r="AB38" s="1495">
        <f t="shared" si="4"/>
        <v>1</v>
      </c>
      <c r="AC38" s="1495">
        <f t="shared" si="5"/>
        <v>1</v>
      </c>
    </row>
    <row r="39" spans="1:29" ht="15">
      <c r="A39" s="1385"/>
      <c r="B39" s="1334" t="s">
        <v>1705</v>
      </c>
      <c r="C39" s="1386"/>
      <c r="D39" s="759">
        <v>100</v>
      </c>
      <c r="E39" s="1386"/>
      <c r="F39" s="1490">
        <f>SUMIF(116:116,E39,117:117)-SUMIF(116:116,C39,117:117)+100</f>
        <v>100</v>
      </c>
      <c r="G39" s="1386"/>
      <c r="H39" s="759">
        <f>SUMIF(116:116,G39,117:117)-SUMIF(116:116,C39,117:117)+100</f>
        <v>100</v>
      </c>
      <c r="I39" s="1386"/>
      <c r="J39" s="759">
        <f>SUMIF(116:116,I39,117:117)-SUMIF(116:116,C39,117:117)+100</f>
        <v>100</v>
      </c>
      <c r="K39" s="1481"/>
      <c r="L39" s="1474"/>
      <c r="M39" s="1409"/>
      <c r="N39" s="1409"/>
      <c r="O39" s="1409"/>
      <c r="P39" s="3458"/>
      <c r="Q39" s="625" t="str">
        <f t="shared" si="11"/>
        <v>层高</v>
      </c>
      <c r="R39" s="1511" t="s">
        <v>1664</v>
      </c>
      <c r="S39" s="1512">
        <f t="shared" si="12"/>
        <v>100</v>
      </c>
      <c r="T39" s="1511" t="s">
        <v>1664</v>
      </c>
      <c r="U39" s="1512">
        <f t="shared" si="13"/>
        <v>100</v>
      </c>
      <c r="V39" s="1511" t="s">
        <v>1664</v>
      </c>
      <c r="W39" s="1512">
        <f t="shared" si="14"/>
        <v>100</v>
      </c>
      <c r="X39" s="1506"/>
      <c r="Y39" s="3462"/>
      <c r="Z39" s="1495" t="str">
        <f t="shared" si="15"/>
        <v>层高</v>
      </c>
      <c r="AA39" s="1495">
        <f t="shared" si="3"/>
        <v>1</v>
      </c>
      <c r="AB39" s="1495">
        <f t="shared" si="4"/>
        <v>1</v>
      </c>
      <c r="AC39" s="1495">
        <f t="shared" si="5"/>
        <v>1</v>
      </c>
    </row>
    <row r="40" spans="1:29" ht="15">
      <c r="A40" s="1385"/>
      <c r="B40" s="1334" t="s">
        <v>1738</v>
      </c>
      <c r="C40" s="1809"/>
      <c r="D40" s="759">
        <v>100</v>
      </c>
      <c r="E40" s="1810"/>
      <c r="F40" s="1490">
        <f>SUMIF(118:118,E40,119:119)-SUMIF(118:118,C40,119:119)+100</f>
        <v>100</v>
      </c>
      <c r="G40" s="1810"/>
      <c r="H40" s="759">
        <f>SUMIF(118:118,G40,119:119)-SUMIF(118:118,C40,119:119)+100</f>
        <v>100</v>
      </c>
      <c r="I40" s="1810"/>
      <c r="J40" s="759">
        <f>SUMIF(118:118,I40,119:119)-SUMIF(118:118,C40,119:119)+100</f>
        <v>100</v>
      </c>
      <c r="K40" s="1480"/>
      <c r="L40" s="1474"/>
      <c r="M40" s="1409"/>
      <c r="N40" s="1409"/>
      <c r="O40" s="1409"/>
      <c r="P40" s="3458"/>
      <c r="Q40" s="625" t="str">
        <f t="shared" si="11"/>
        <v>单套建筑面积</v>
      </c>
      <c r="R40" s="1511" t="s">
        <v>1664</v>
      </c>
      <c r="S40" s="1512">
        <f t="shared" si="12"/>
        <v>100</v>
      </c>
      <c r="T40" s="1511" t="s">
        <v>1664</v>
      </c>
      <c r="U40" s="1512">
        <f t="shared" si="13"/>
        <v>100</v>
      </c>
      <c r="V40" s="1511" t="s">
        <v>1664</v>
      </c>
      <c r="W40" s="1512">
        <f t="shared" si="14"/>
        <v>100</v>
      </c>
      <c r="X40" s="1506"/>
      <c r="Y40" s="3462"/>
      <c r="Z40" s="1495" t="str">
        <f t="shared" si="15"/>
        <v>单套建筑面积</v>
      </c>
      <c r="AA40" s="1495">
        <f t="shared" si="3"/>
        <v>1</v>
      </c>
      <c r="AB40" s="1495">
        <f t="shared" si="4"/>
        <v>1</v>
      </c>
      <c r="AC40" s="1495">
        <f t="shared" si="5"/>
        <v>1</v>
      </c>
    </row>
    <row r="41" spans="1:29" s="1295" customFormat="1" ht="15">
      <c r="A41" s="1390"/>
      <c r="B41" s="1490" t="s">
        <v>2236</v>
      </c>
      <c r="C41" s="1370"/>
      <c r="D41" s="759">
        <v>100</v>
      </c>
      <c r="E41" s="1370"/>
      <c r="F41" s="1490">
        <f>SUMIF(120:120,E41,121:121)-SUMIF(120:120,C41,121:121)+100</f>
        <v>100</v>
      </c>
      <c r="G41" s="1370"/>
      <c r="H41" s="759">
        <f>SUMIF(120:120,G41,121:121)-SUMIF(120:120,C41,121:121)+100</f>
        <v>100</v>
      </c>
      <c r="I41" s="1370"/>
      <c r="J41" s="759">
        <f>SUMIF(120:120,I41,121:121)-SUMIF(120:120,C41,121:121)+100</f>
        <v>100</v>
      </c>
      <c r="K41" s="1481"/>
      <c r="L41" s="1472"/>
      <c r="M41" s="1482"/>
      <c r="N41" s="1482"/>
      <c r="O41" s="1482"/>
      <c r="P41" s="3458"/>
      <c r="Q41" s="1700" t="str">
        <f t="shared" si="11"/>
        <v>进深比</v>
      </c>
      <c r="R41" s="1513" t="s">
        <v>1664</v>
      </c>
      <c r="S41" s="1514">
        <f t="shared" si="12"/>
        <v>100</v>
      </c>
      <c r="T41" s="1513" t="s">
        <v>1664</v>
      </c>
      <c r="U41" s="1514">
        <f t="shared" si="13"/>
        <v>100</v>
      </c>
      <c r="V41" s="1513" t="s">
        <v>1664</v>
      </c>
      <c r="W41" s="1514">
        <f t="shared" si="14"/>
        <v>100</v>
      </c>
      <c r="X41" s="1515"/>
      <c r="Y41" s="3462"/>
      <c r="Z41" s="1519" t="str">
        <f t="shared" si="15"/>
        <v>进深比</v>
      </c>
      <c r="AA41" s="1495">
        <f t="shared" si="3"/>
        <v>1</v>
      </c>
      <c r="AB41" s="1495">
        <f t="shared" si="4"/>
        <v>1</v>
      </c>
      <c r="AC41" s="1495">
        <f t="shared" si="5"/>
        <v>1</v>
      </c>
    </row>
    <row r="42" spans="1:29" ht="15">
      <c r="A42" s="1385"/>
      <c r="B42" s="1334" t="s">
        <v>1708</v>
      </c>
      <c r="C42" s="1386"/>
      <c r="D42" s="759">
        <v>100</v>
      </c>
      <c r="E42" s="1386"/>
      <c r="F42" s="1490">
        <f>SUMIF(122:122,E42,123:123)-SUMIF(122:122,C42,123:123)+100</f>
        <v>100</v>
      </c>
      <c r="G42" s="1386"/>
      <c r="H42" s="759">
        <f>SUMIF(122:122,G42,123:123)-SUMIF(122:122,C42,123:123)+100</f>
        <v>100</v>
      </c>
      <c r="I42" s="1386"/>
      <c r="J42" s="759">
        <f>SUMIF(122:122,I42,123:123)-SUMIF(122:122,C42,123:123)+100</f>
        <v>100</v>
      </c>
      <c r="K42" s="1481"/>
      <c r="L42" s="1474"/>
      <c r="M42" s="1409"/>
      <c r="N42" s="1409"/>
      <c r="O42" s="1409"/>
      <c r="P42" s="3458"/>
      <c r="Q42" s="625" t="str">
        <f t="shared" si="11"/>
        <v>内部装修</v>
      </c>
      <c r="R42" s="1511" t="s">
        <v>1664</v>
      </c>
      <c r="S42" s="1512">
        <f t="shared" si="12"/>
        <v>100</v>
      </c>
      <c r="T42" s="1511" t="s">
        <v>1664</v>
      </c>
      <c r="U42" s="1512">
        <f t="shared" si="13"/>
        <v>100</v>
      </c>
      <c r="V42" s="1511" t="s">
        <v>1664</v>
      </c>
      <c r="W42" s="1512">
        <f t="shared" si="14"/>
        <v>100</v>
      </c>
      <c r="X42" s="1506"/>
      <c r="Y42" s="3462"/>
      <c r="Z42" s="1495" t="str">
        <f t="shared" si="15"/>
        <v>内部装修</v>
      </c>
      <c r="AA42" s="1495">
        <f t="shared" si="3"/>
        <v>1</v>
      </c>
      <c r="AB42" s="1495">
        <f t="shared" si="4"/>
        <v>1</v>
      </c>
      <c r="AC42" s="1495">
        <f t="shared" si="5"/>
        <v>1</v>
      </c>
    </row>
    <row r="43" spans="1:29" ht="15">
      <c r="A43" s="1385"/>
      <c r="B43" s="1334" t="s">
        <v>1709</v>
      </c>
      <c r="C43" s="1386"/>
      <c r="D43" s="759">
        <v>100</v>
      </c>
      <c r="E43" s="1386"/>
      <c r="F43" s="1490">
        <f>SUMIF(124:124,E43,125:125)-SUMIF(124:124,C43,125:125)+100</f>
        <v>100</v>
      </c>
      <c r="G43" s="1386"/>
      <c r="H43" s="759">
        <f>SUMIF(124:124,G43,125:125)-SUMIF(124:124,C43,125:125)+100</f>
        <v>100</v>
      </c>
      <c r="I43" s="1386"/>
      <c r="J43" s="759">
        <f>SUMIF(124:124,I43,125:125)-SUMIF(124:124,C43,125:125)+100</f>
        <v>100</v>
      </c>
      <c r="K43" s="1481"/>
      <c r="L43" s="1474"/>
      <c r="M43" s="1409"/>
      <c r="N43" s="1409"/>
      <c r="O43" s="1409"/>
      <c r="P43" s="3458"/>
      <c r="Q43" s="625" t="str">
        <f t="shared" si="11"/>
        <v>内部装修维护情况</v>
      </c>
      <c r="R43" s="1511" t="s">
        <v>1664</v>
      </c>
      <c r="S43" s="1512">
        <f t="shared" si="12"/>
        <v>100</v>
      </c>
      <c r="T43" s="1511" t="s">
        <v>1664</v>
      </c>
      <c r="U43" s="1512">
        <f t="shared" si="13"/>
        <v>100</v>
      </c>
      <c r="V43" s="1511" t="s">
        <v>1664</v>
      </c>
      <c r="W43" s="1512">
        <f t="shared" si="14"/>
        <v>100</v>
      </c>
      <c r="X43" s="1506"/>
      <c r="Y43" s="3462"/>
      <c r="Z43" s="1495" t="str">
        <f t="shared" si="15"/>
        <v>内部装修维护情况</v>
      </c>
      <c r="AA43" s="1495">
        <f t="shared" si="3"/>
        <v>1</v>
      </c>
      <c r="AB43" s="1495">
        <f t="shared" si="4"/>
        <v>1</v>
      </c>
      <c r="AC43" s="1495">
        <f t="shared" si="5"/>
        <v>1</v>
      </c>
    </row>
    <row r="44" spans="1:29" s="1293" customFormat="1" ht="15">
      <c r="A44" s="1387"/>
      <c r="B44" s="1569">
        <v>111</v>
      </c>
      <c r="C44" s="1670"/>
      <c r="D44" s="1336">
        <v>100</v>
      </c>
      <c r="E44" s="1345"/>
      <c r="F44" s="1334">
        <f>SUMIF(126:126,E44,127:127)-SUMIF(126:126,C44,127:127)+100</f>
        <v>100</v>
      </c>
      <c r="G44" s="1345"/>
      <c r="H44" s="1336">
        <f>SUMIF(126:126,G44,127:127)-SUMIF(126:126,C44,127:127)+100</f>
        <v>100</v>
      </c>
      <c r="I44" s="1345"/>
      <c r="J44" s="1336">
        <f>SUMIF(126:126,I44,127:127)-SUMIF(126:126,C44,127:127)+100</f>
        <v>100</v>
      </c>
      <c r="K44" s="1480"/>
      <c r="L44" s="1463"/>
      <c r="M44" s="1464"/>
      <c r="N44" s="1464"/>
      <c r="O44" s="1464"/>
      <c r="P44" s="3458"/>
      <c r="Q44" s="794">
        <f t="shared" si="11"/>
        <v>111</v>
      </c>
      <c r="R44" s="1507" t="s">
        <v>1664</v>
      </c>
      <c r="S44" s="1508">
        <f t="shared" si="12"/>
        <v>100</v>
      </c>
      <c r="T44" s="1507" t="s">
        <v>1664</v>
      </c>
      <c r="U44" s="1508">
        <f t="shared" si="13"/>
        <v>100</v>
      </c>
      <c r="V44" s="1507" t="s">
        <v>1664</v>
      </c>
      <c r="W44" s="1508">
        <f t="shared" si="14"/>
        <v>100</v>
      </c>
      <c r="X44" s="1509"/>
      <c r="Y44" s="3462"/>
      <c r="Z44" s="1518">
        <f t="shared" si="15"/>
        <v>111</v>
      </c>
      <c r="AA44" s="1518">
        <f t="shared" si="3"/>
        <v>1</v>
      </c>
      <c r="AB44" s="1518">
        <f t="shared" si="4"/>
        <v>1</v>
      </c>
      <c r="AC44" s="1518">
        <f t="shared" si="5"/>
        <v>1</v>
      </c>
    </row>
    <row r="45" spans="1:29" ht="15">
      <c r="A45" s="1385"/>
      <c r="B45" s="1569">
        <v>111</v>
      </c>
      <c r="C45" s="1345"/>
      <c r="D45" s="759">
        <v>100</v>
      </c>
      <c r="E45" s="1345"/>
      <c r="F45" s="1490">
        <f>SUMIF(128:128,E45,129:129)-SUMIF(128:128,C45,129:129)+100</f>
        <v>100</v>
      </c>
      <c r="G45" s="1345"/>
      <c r="H45" s="759">
        <f>SUMIF(128:128,G45,129:129)-SUMIF(128:128,C45,129:129)+100</f>
        <v>100</v>
      </c>
      <c r="I45" s="1345"/>
      <c r="J45" s="759">
        <f>SUMIF(128:128,I45,129:129)-SUMIF(128:128,C45,129:129)+100</f>
        <v>100</v>
      </c>
      <c r="K45" s="1480"/>
      <c r="L45" s="1474"/>
      <c r="M45" s="1409"/>
      <c r="N45" s="1409"/>
      <c r="O45" s="1409"/>
      <c r="P45" s="3458"/>
      <c r="Q45" s="625">
        <f t="shared" si="11"/>
        <v>111</v>
      </c>
      <c r="R45" s="1511" t="s">
        <v>1664</v>
      </c>
      <c r="S45" s="1512">
        <f t="shared" si="12"/>
        <v>100</v>
      </c>
      <c r="T45" s="1511" t="s">
        <v>1664</v>
      </c>
      <c r="U45" s="1512">
        <f t="shared" si="13"/>
        <v>100</v>
      </c>
      <c r="V45" s="1511" t="s">
        <v>1664</v>
      </c>
      <c r="W45" s="1512">
        <f t="shared" si="14"/>
        <v>100</v>
      </c>
      <c r="X45" s="1506"/>
      <c r="Y45" s="3462"/>
      <c r="Z45" s="1495">
        <f t="shared" si="15"/>
        <v>111</v>
      </c>
      <c r="AA45" s="1495">
        <f t="shared" si="3"/>
        <v>1</v>
      </c>
      <c r="AB45" s="1495">
        <f t="shared" si="4"/>
        <v>1</v>
      </c>
      <c r="AC45" s="1495">
        <f t="shared" si="5"/>
        <v>1</v>
      </c>
    </row>
    <row r="46" spans="1:29" ht="15">
      <c r="A46" s="1681"/>
      <c r="B46" s="1347">
        <v>111</v>
      </c>
      <c r="C46" s="1348"/>
      <c r="D46" s="1349">
        <v>100</v>
      </c>
      <c r="E46" s="1345"/>
      <c r="F46" s="1682">
        <f>SUMIF(130:130,E46,131:131)-SUMIF(130:130,C46,131:131)+100</f>
        <v>100</v>
      </c>
      <c r="G46" s="1345"/>
      <c r="H46" s="1349">
        <f>SUMIF(130:130,G46,131:131)-SUMIF(130:130,C46,131:131)+100</f>
        <v>100</v>
      </c>
      <c r="I46" s="1345"/>
      <c r="J46" s="1349">
        <f>SUMIF(130:130,I46,131:131)-SUMIF(130:130,C46,131:131)+100</f>
        <v>100</v>
      </c>
      <c r="K46" s="1480"/>
      <c r="L46" s="1474"/>
      <c r="M46" s="1409"/>
      <c r="N46" s="1409"/>
      <c r="O46" s="1409"/>
      <c r="P46" s="3459"/>
      <c r="Q46" s="625">
        <f t="shared" si="11"/>
        <v>111</v>
      </c>
      <c r="R46" s="1511" t="s">
        <v>1664</v>
      </c>
      <c r="S46" s="1512">
        <f t="shared" si="12"/>
        <v>100</v>
      </c>
      <c r="T46" s="1511" t="s">
        <v>1664</v>
      </c>
      <c r="U46" s="1512">
        <f t="shared" si="13"/>
        <v>100</v>
      </c>
      <c r="V46" s="1511" t="s">
        <v>1664</v>
      </c>
      <c r="W46" s="1512">
        <f t="shared" si="14"/>
        <v>100</v>
      </c>
      <c r="X46" s="1506"/>
      <c r="Y46" s="3463"/>
      <c r="Z46" s="1495">
        <f t="shared" si="15"/>
        <v>111</v>
      </c>
      <c r="AA46" s="1495">
        <f t="shared" si="3"/>
        <v>1</v>
      </c>
      <c r="AB46" s="1495">
        <f t="shared" si="4"/>
        <v>1</v>
      </c>
      <c r="AC46" s="1495">
        <f t="shared" si="5"/>
        <v>1</v>
      </c>
    </row>
    <row r="47" spans="1:29" ht="15">
      <c r="A47" s="1392" t="s">
        <v>1711</v>
      </c>
      <c r="B47" s="1683"/>
      <c r="C47" s="1684" t="s">
        <v>124</v>
      </c>
      <c r="D47" s="1395"/>
      <c r="E47" s="1396"/>
      <c r="F47" s="1397"/>
      <c r="G47" s="1398"/>
      <c r="H47" s="1399"/>
      <c r="I47" s="1396"/>
      <c r="J47" s="1399"/>
      <c r="K47" s="1486"/>
      <c r="L47" s="1487"/>
      <c r="M47" s="1409"/>
      <c r="N47" s="1409"/>
      <c r="O47" s="1409"/>
      <c r="P47" s="3448" t="str">
        <f>A47</f>
        <v>成交单价（元/平方米）</v>
      </c>
      <c r="Q47" s="3448"/>
      <c r="R47" s="3446">
        <f>E47</f>
        <v>0</v>
      </c>
      <c r="S47" s="3446"/>
      <c r="T47" s="3446">
        <f>G47</f>
        <v>0</v>
      </c>
      <c r="U47" s="3446"/>
      <c r="V47" s="3446">
        <f>I47</f>
        <v>0</v>
      </c>
      <c r="W47" s="3446"/>
      <c r="X47" s="1448"/>
      <c r="Y47" s="1520"/>
      <c r="Z47" s="1448"/>
      <c r="AA47" s="1448"/>
      <c r="AB47" s="1448"/>
      <c r="AC47" s="1448"/>
    </row>
    <row r="48" spans="1:29" ht="15">
      <c r="A48" s="1400" t="s">
        <v>1712</v>
      </c>
      <c r="B48" s="1685"/>
      <c r="C48" s="1686" t="e">
        <f>R49</f>
        <v>#DIV/0!</v>
      </c>
      <c r="D48" s="1403" t="s">
        <v>1713</v>
      </c>
      <c r="E48" s="1687" t="e">
        <f>R48</f>
        <v>#DIV/0!</v>
      </c>
      <c r="F48" s="1404"/>
      <c r="G48" s="1686" t="e">
        <f>T48</f>
        <v>#DIV/0!</v>
      </c>
      <c r="H48" s="1404"/>
      <c r="I48" s="1687" t="e">
        <f>V48</f>
        <v>#DIV/0!</v>
      </c>
      <c r="J48" s="1404"/>
      <c r="K48" s="1488">
        <f>F48+H48+J48</f>
        <v>0</v>
      </c>
      <c r="L48" s="1487"/>
      <c r="M48" s="1409"/>
      <c r="N48" s="1409"/>
      <c r="O48" s="1409"/>
      <c r="P48" s="3448" t="str">
        <f>A48</f>
        <v>比较价值（元/平方米）</v>
      </c>
      <c r="Q48" s="3448"/>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1448"/>
      <c r="Y48" s="1448"/>
      <c r="Z48" s="1448"/>
      <c r="AA48" s="1448"/>
      <c r="AB48" s="1448"/>
      <c r="AC48" s="1448"/>
    </row>
    <row r="49" spans="1:29" ht="15">
      <c r="A49" s="1406" t="s">
        <v>1714</v>
      </c>
      <c r="B49" s="1407"/>
      <c r="C49" s="1319" t="e">
        <f>R49</f>
        <v>#DIV/0!</v>
      </c>
      <c r="D49" s="1319"/>
      <c r="E49" s="1319"/>
      <c r="F49" s="1319"/>
      <c r="G49" s="1319"/>
      <c r="H49" s="1319"/>
      <c r="I49" s="1319"/>
      <c r="J49" s="1319"/>
      <c r="K49" s="1489"/>
      <c r="L49" s="1487"/>
      <c r="M49" s="1409"/>
      <c r="N49" s="1409"/>
      <c r="O49" s="1409"/>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1448"/>
      <c r="Y49" s="1448"/>
      <c r="Z49" s="1448"/>
      <c r="AA49" s="1448"/>
      <c r="AB49" s="1448"/>
      <c r="AC49" s="1448"/>
    </row>
    <row r="50" spans="1:29">
      <c r="A50" s="1409"/>
      <c r="B50" s="1409"/>
      <c r="C50" s="1409"/>
      <c r="D50" s="1409"/>
      <c r="E50" s="1409"/>
      <c r="F50" s="1409"/>
      <c r="G50" s="1410"/>
      <c r="H50" s="1409"/>
      <c r="I50" s="1409"/>
      <c r="J50" s="1409"/>
      <c r="K50" s="1491"/>
      <c r="L50" s="1492"/>
      <c r="M50" s="1409"/>
      <c r="N50" s="1409"/>
      <c r="O50" s="1409"/>
      <c r="P50" s="1814"/>
      <c r="Q50" s="1409"/>
      <c r="R50" s="1409"/>
      <c r="S50" s="1409"/>
      <c r="T50" s="1409"/>
      <c r="U50" s="1409"/>
      <c r="V50" s="1409"/>
      <c r="W50" s="1409"/>
      <c r="X50" s="1409"/>
      <c r="Y50" s="1409"/>
      <c r="Z50" s="1409"/>
      <c r="AA50" s="1409"/>
      <c r="AB50" s="1409"/>
      <c r="AC50" s="1409"/>
    </row>
    <row r="51" spans="1:29">
      <c r="A51" s="1409"/>
      <c r="B51" s="1409"/>
      <c r="C51" s="1409"/>
      <c r="D51" s="1409"/>
      <c r="E51" s="1409"/>
      <c r="F51" s="1409"/>
      <c r="G51" s="1409"/>
      <c r="H51" s="1409"/>
      <c r="I51" s="1409"/>
      <c r="J51" s="1409"/>
      <c r="K51" s="1491"/>
      <c r="L51" s="1492"/>
      <c r="M51" s="1409"/>
      <c r="N51" s="1409"/>
      <c r="O51" s="1409"/>
      <c r="P51" s="1814"/>
      <c r="Q51" s="1409"/>
      <c r="R51" s="1409"/>
      <c r="S51" s="1409"/>
      <c r="T51" s="1409"/>
      <c r="U51" s="1409"/>
      <c r="V51" s="1409"/>
      <c r="W51" s="1409"/>
      <c r="X51" s="1409"/>
      <c r="Y51" s="1409"/>
      <c r="Z51" s="1409"/>
      <c r="AA51" s="1409"/>
      <c r="AB51" s="1409"/>
      <c r="AC51" s="1409"/>
    </row>
    <row r="52" spans="1:29" ht="13.5" customHeight="1">
      <c r="A52" s="1409"/>
      <c r="B52" s="1409"/>
      <c r="C52" s="1411" t="s">
        <v>1715</v>
      </c>
      <c r="D52" s="667"/>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1"/>
      <c r="L52" s="1492"/>
      <c r="M52" s="1409"/>
      <c r="N52" s="1409"/>
      <c r="O52" s="1409"/>
      <c r="P52" s="1814"/>
      <c r="Q52" s="1409"/>
      <c r="R52" s="1409"/>
      <c r="S52" s="1409"/>
      <c r="T52" s="1409"/>
      <c r="U52" s="1409"/>
      <c r="V52" s="1409"/>
      <c r="W52" s="1409"/>
      <c r="X52" s="1409"/>
      <c r="Y52" s="1409"/>
      <c r="Z52" s="1409"/>
      <c r="AA52" s="1409"/>
      <c r="AB52" s="1409"/>
      <c r="AC52" s="1409"/>
    </row>
    <row r="53" spans="1:29" ht="13.5" customHeight="1">
      <c r="A53" s="1409"/>
      <c r="B53" s="1409"/>
      <c r="C53" s="1411" t="s">
        <v>1716</v>
      </c>
      <c r="D53" s="666"/>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1"/>
      <c r="L53" s="1492"/>
      <c r="M53" s="1409"/>
      <c r="N53" s="1409"/>
      <c r="O53" s="1409"/>
      <c r="P53" s="1814"/>
      <c r="Q53" s="1409"/>
      <c r="R53" s="1409"/>
      <c r="S53" s="1409"/>
      <c r="T53" s="1409"/>
      <c r="U53" s="1409"/>
      <c r="V53" s="1409"/>
      <c r="W53" s="1409"/>
      <c r="X53" s="1409"/>
      <c r="Y53" s="1409"/>
      <c r="Z53" s="1409"/>
      <c r="AA53" s="1409"/>
      <c r="AB53" s="1409"/>
      <c r="AC53" s="1409"/>
    </row>
    <row r="54" spans="1:29" s="1296" customFormat="1" ht="13.5" customHeight="1">
      <c r="A54" s="1414"/>
      <c r="B54" s="1414"/>
      <c r="C54" s="1411" t="s">
        <v>1717</v>
      </c>
      <c r="D54" s="666"/>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493"/>
      <c r="L54" s="1494"/>
      <c r="M54" s="1414"/>
      <c r="N54" s="1414"/>
      <c r="O54" s="1414"/>
      <c r="P54" s="1815"/>
      <c r="Q54" s="1414"/>
      <c r="R54" s="1414"/>
      <c r="S54" s="1414"/>
      <c r="T54" s="1414"/>
      <c r="U54" s="1414"/>
      <c r="V54" s="1414"/>
      <c r="W54" s="1414"/>
      <c r="X54" s="1414"/>
      <c r="Y54" s="1414"/>
      <c r="Z54" s="1414"/>
      <c r="AA54" s="1414"/>
      <c r="AB54" s="1414"/>
      <c r="AC54" s="1414"/>
    </row>
    <row r="55" spans="1:29" s="1296" customFormat="1">
      <c r="A55" s="1414"/>
      <c r="B55" s="1415"/>
      <c r="C55" s="1688"/>
      <c r="D55" s="1414"/>
      <c r="E55" s="1414"/>
      <c r="F55" s="1414"/>
      <c r="G55" s="1414"/>
      <c r="H55" s="1414"/>
      <c r="I55" s="1414"/>
      <c r="J55" s="1414"/>
      <c r="K55" s="1493"/>
      <c r="L55" s="1494"/>
      <c r="M55" s="1414"/>
      <c r="N55" s="1414"/>
      <c r="O55" s="1414"/>
      <c r="P55" s="1815"/>
      <c r="Q55" s="1414"/>
      <c r="R55" s="1414"/>
      <c r="S55" s="1414"/>
      <c r="T55" s="1414"/>
      <c r="U55" s="1414"/>
      <c r="V55" s="1414"/>
      <c r="W55" s="1414"/>
      <c r="X55" s="1414"/>
      <c r="Y55" s="1414"/>
      <c r="Z55" s="1414"/>
      <c r="AA55" s="1414"/>
      <c r="AB55" s="1414"/>
      <c r="AC55" s="1414"/>
    </row>
    <row r="56" spans="1:29">
      <c r="A56" s="1409"/>
      <c r="B56" s="1415"/>
      <c r="C56" s="1688"/>
      <c r="D56" s="1409"/>
      <c r="E56" s="1409"/>
      <c r="F56" s="1409"/>
      <c r="G56" s="1409"/>
      <c r="H56" s="1409"/>
      <c r="I56" s="1409"/>
      <c r="J56" s="1409"/>
      <c r="K56" s="1491"/>
      <c r="L56" s="1492"/>
      <c r="M56" s="1409"/>
      <c r="N56" s="1409"/>
      <c r="O56" s="1409"/>
      <c r="P56" s="1814"/>
      <c r="Q56" s="1409"/>
      <c r="R56" s="1409"/>
      <c r="S56" s="1409"/>
      <c r="T56" s="1409"/>
      <c r="U56" s="1409"/>
      <c r="V56" s="1409"/>
      <c r="W56" s="1409"/>
      <c r="X56" s="1409"/>
      <c r="Y56" s="1409"/>
      <c r="Z56" s="1409"/>
      <c r="AA56" s="1409"/>
      <c r="AB56" s="1409"/>
      <c r="AC56" s="1409"/>
    </row>
    <row r="57" spans="1:29" ht="21">
      <c r="A57" s="1447" t="s">
        <v>1718</v>
      </c>
      <c r="B57" s="1448"/>
      <c r="C57" s="1449"/>
      <c r="D57" s="1449"/>
      <c r="E57" s="1449"/>
      <c r="F57" s="1450"/>
      <c r="G57" s="1450"/>
      <c r="H57" s="1449"/>
      <c r="I57" s="1449"/>
      <c r="J57" s="1449"/>
      <c r="K57" s="1501"/>
      <c r="L57" s="1648"/>
      <c r="M57" s="1503"/>
      <c r="N57" s="1503"/>
      <c r="O57" s="1503"/>
      <c r="P57" s="1816"/>
      <c r="Q57" s="1516"/>
      <c r="R57" s="1409"/>
      <c r="S57" s="1409"/>
      <c r="T57" s="1409"/>
      <c r="U57" s="1409"/>
      <c r="V57" s="1409"/>
      <c r="W57" s="1409"/>
      <c r="X57" s="1409"/>
      <c r="Y57" s="1409"/>
      <c r="Z57" s="1409"/>
      <c r="AA57" s="1409"/>
      <c r="AB57" s="1409"/>
      <c r="AC57" s="1409"/>
    </row>
    <row r="58" spans="1:29" s="1298" customFormat="1" ht="15">
      <c r="A58" s="1689" t="s">
        <v>1662</v>
      </c>
      <c r="B58" s="1690"/>
      <c r="C58" s="1691" t="str">
        <f>YEAR(C7)&amp;"-"&amp;MONTH(C7)</f>
        <v>2025-8</v>
      </c>
      <c r="D58" s="1692">
        <f>EDATE(C58,-1)</f>
        <v>45839</v>
      </c>
      <c r="E58" s="1692">
        <f t="shared" ref="E58:O58" si="16">EDATE(D58,-1)</f>
        <v>45809</v>
      </c>
      <c r="F58" s="1692">
        <f t="shared" si="16"/>
        <v>45778</v>
      </c>
      <c r="G58" s="1692">
        <f t="shared" si="16"/>
        <v>45748</v>
      </c>
      <c r="H58" s="1692">
        <f t="shared" si="16"/>
        <v>45717</v>
      </c>
      <c r="I58" s="1692">
        <f t="shared" si="16"/>
        <v>45689</v>
      </c>
      <c r="J58" s="1692">
        <f t="shared" si="16"/>
        <v>45658</v>
      </c>
      <c r="K58" s="1692">
        <f t="shared" si="16"/>
        <v>45627</v>
      </c>
      <c r="L58" s="1692">
        <f t="shared" si="16"/>
        <v>45597</v>
      </c>
      <c r="M58" s="1692">
        <f t="shared" si="16"/>
        <v>45566</v>
      </c>
      <c r="N58" s="1692">
        <f t="shared" si="16"/>
        <v>45536</v>
      </c>
      <c r="O58" s="1692">
        <f t="shared" si="16"/>
        <v>45505</v>
      </c>
      <c r="P58" s="1817"/>
      <c r="Q58" s="1568"/>
      <c r="R58" s="1568"/>
      <c r="S58" s="1568"/>
      <c r="T58" s="1568"/>
      <c r="U58" s="1568"/>
      <c r="V58" s="1568"/>
      <c r="W58" s="1568"/>
      <c r="X58" s="1568"/>
      <c r="Y58" s="1568"/>
      <c r="Z58" s="1568"/>
      <c r="AA58" s="1568"/>
      <c r="AB58" s="1568"/>
      <c r="AC58" s="1568"/>
    </row>
    <row r="59" spans="1:29" s="1293" customFormat="1" ht="15">
      <c r="A59" s="1366"/>
      <c r="B59" s="1532"/>
      <c r="C59" s="1693">
        <v>100</v>
      </c>
      <c r="D59" s="1536"/>
      <c r="E59" s="1536"/>
      <c r="F59" s="1536"/>
      <c r="G59" s="1536"/>
      <c r="H59" s="1536"/>
      <c r="I59" s="1536"/>
      <c r="J59" s="1536"/>
      <c r="K59" s="1536"/>
      <c r="L59" s="1536"/>
      <c r="M59" s="1341"/>
      <c r="N59" s="1536"/>
      <c r="O59" s="1341"/>
      <c r="P59" s="1818"/>
      <c r="Q59" s="1464"/>
      <c r="R59" s="1464"/>
      <c r="S59" s="1464"/>
      <c r="T59" s="1464"/>
      <c r="U59" s="1464"/>
      <c r="V59" s="1464"/>
      <c r="W59" s="1464"/>
      <c r="X59" s="1464"/>
      <c r="Y59" s="1464"/>
      <c r="Z59" s="1464"/>
      <c r="AA59" s="1464"/>
      <c r="AB59" s="1464"/>
      <c r="AC59" s="1464"/>
    </row>
    <row r="60" spans="1:29" s="1293" customFormat="1" ht="15">
      <c r="A60" s="1527" t="s">
        <v>1719</v>
      </c>
      <c r="B60" s="1528"/>
      <c r="C60" s="1529"/>
      <c r="D60" s="1530"/>
      <c r="E60" s="1530"/>
      <c r="F60" s="1530"/>
      <c r="G60" s="1530"/>
      <c r="H60" s="1530"/>
      <c r="I60" s="1530"/>
      <c r="J60" s="1530"/>
      <c r="K60" s="1530"/>
      <c r="L60" s="1530"/>
      <c r="M60" s="1570"/>
      <c r="N60" s="1530"/>
      <c r="O60" s="1570"/>
      <c r="P60" s="1818"/>
      <c r="Q60" s="1516"/>
      <c r="R60" s="1464"/>
      <c r="S60" s="1464"/>
      <c r="T60" s="1464"/>
      <c r="U60" s="1464"/>
      <c r="V60" s="1464"/>
      <c r="W60" s="1464"/>
      <c r="X60" s="1464"/>
      <c r="Y60" s="1464"/>
      <c r="Z60" s="1464"/>
      <c r="AA60" s="1464"/>
      <c r="AB60" s="1464"/>
      <c r="AC60" s="1464"/>
    </row>
    <row r="61" spans="1:29" s="1293" customFormat="1" ht="15">
      <c r="A61" s="1531" t="s">
        <v>1665</v>
      </c>
      <c r="B61" s="1532"/>
      <c r="C61" s="1533" t="s">
        <v>1720</v>
      </c>
      <c r="D61" s="1534"/>
      <c r="E61" s="1534"/>
      <c r="F61" s="1534"/>
      <c r="G61" s="1534"/>
      <c r="H61" s="1534"/>
      <c r="I61" s="1534"/>
      <c r="J61" s="1534"/>
      <c r="K61" s="1534"/>
      <c r="L61" s="1572"/>
      <c r="M61" s="1573"/>
      <c r="N61" s="1574"/>
      <c r="O61" s="1574"/>
      <c r="P61" s="1819"/>
      <c r="Q61" s="1516"/>
      <c r="R61" s="1464"/>
      <c r="S61" s="1464"/>
      <c r="T61" s="1464"/>
      <c r="U61" s="1464"/>
      <c r="V61" s="1464"/>
      <c r="W61" s="1464"/>
      <c r="X61" s="1464"/>
      <c r="Y61" s="1464"/>
      <c r="Z61" s="1464"/>
      <c r="AA61" s="1464"/>
      <c r="AB61" s="1464"/>
      <c r="AC61" s="1464"/>
    </row>
    <row r="62" spans="1:29" s="1293" customFormat="1" ht="15">
      <c r="A62" s="1531"/>
      <c r="B62" s="1532"/>
      <c r="C62" s="1811">
        <v>100</v>
      </c>
      <c r="D62" s="1536"/>
      <c r="E62" s="1536"/>
      <c r="F62" s="1536"/>
      <c r="G62" s="1536"/>
      <c r="H62" s="1536"/>
      <c r="I62" s="1536"/>
      <c r="J62" s="1536"/>
      <c r="K62" s="1536"/>
      <c r="L62" s="1536"/>
      <c r="M62" s="1575"/>
      <c r="N62" s="1574"/>
      <c r="O62" s="1574"/>
      <c r="P62" s="1818"/>
      <c r="Q62" s="1516"/>
      <c r="R62" s="1464"/>
      <c r="S62" s="1464"/>
      <c r="T62" s="1464"/>
      <c r="U62" s="1464"/>
      <c r="V62" s="1464"/>
      <c r="W62" s="1464"/>
      <c r="X62" s="1464"/>
      <c r="Y62" s="1464"/>
      <c r="Z62" s="1464"/>
      <c r="AA62" s="1464"/>
      <c r="AB62" s="1464"/>
      <c r="AC62" s="1464"/>
    </row>
    <row r="63" spans="1:29">
      <c r="A63" s="1350" t="s">
        <v>1721</v>
      </c>
      <c r="B63" s="1537" t="s">
        <v>1669</v>
      </c>
      <c r="C63" s="621">
        <f>C9</f>
        <v>0</v>
      </c>
      <c r="D63" s="1484"/>
      <c r="E63" s="1484"/>
      <c r="F63" s="1484"/>
      <c r="G63" s="1484"/>
      <c r="H63" s="1484"/>
      <c r="I63" s="1484"/>
      <c r="J63" s="1484"/>
      <c r="K63" s="1576"/>
      <c r="L63" s="1577"/>
      <c r="M63" s="1578"/>
      <c r="N63" s="1579"/>
      <c r="O63" s="1579"/>
      <c r="P63" s="1820"/>
      <c r="Q63" s="1516"/>
      <c r="R63" s="1409"/>
      <c r="S63" s="1409"/>
      <c r="T63" s="1409"/>
      <c r="U63" s="1409"/>
      <c r="V63" s="1409"/>
      <c r="W63" s="1409"/>
      <c r="X63" s="1409"/>
      <c r="Y63" s="1409"/>
      <c r="Z63" s="1409"/>
      <c r="AA63" s="1409"/>
      <c r="AB63" s="1409"/>
      <c r="AC63" s="1409"/>
    </row>
    <row r="64" spans="1:29" ht="15">
      <c r="A64" s="1337"/>
      <c r="B64" s="1538"/>
      <c r="C64" s="1539">
        <v>100</v>
      </c>
      <c r="D64" s="1539"/>
      <c r="E64" s="1539"/>
      <c r="F64" s="1539"/>
      <c r="G64" s="1539"/>
      <c r="H64" s="1539"/>
      <c r="I64" s="1539"/>
      <c r="J64" s="1539"/>
      <c r="K64" s="1539"/>
      <c r="L64" s="1539"/>
      <c r="M64" s="1580"/>
      <c r="N64" s="1581"/>
      <c r="O64" s="1581"/>
      <c r="P64" s="1820"/>
      <c r="Q64" s="1516"/>
      <c r="R64" s="1409"/>
      <c r="S64" s="1409"/>
      <c r="T64" s="1409"/>
      <c r="U64" s="1409"/>
      <c r="V64" s="1409"/>
      <c r="W64" s="1409"/>
      <c r="X64" s="1409"/>
      <c r="Y64" s="1409"/>
      <c r="Z64" s="1409"/>
      <c r="AA64" s="1409"/>
      <c r="AB64" s="1409"/>
      <c r="AC64" s="1409"/>
    </row>
    <row r="65" spans="1:29" ht="27">
      <c r="A65" s="1337"/>
      <c r="B65" s="1540" t="s">
        <v>1672</v>
      </c>
      <c r="C65" s="1562"/>
      <c r="D65" s="1562"/>
      <c r="E65" s="1562"/>
      <c r="F65" s="1562"/>
      <c r="G65" s="1562"/>
      <c r="H65" s="1562"/>
      <c r="I65" s="1562"/>
      <c r="J65" s="1562"/>
      <c r="K65" s="1607"/>
      <c r="L65" s="1608"/>
      <c r="M65" s="1609"/>
      <c r="N65" s="1579"/>
      <c r="O65" s="1579"/>
      <c r="P65" s="1820"/>
      <c r="Q65" s="1516"/>
      <c r="R65" s="1409"/>
      <c r="S65" s="1409"/>
      <c r="T65" s="1409"/>
      <c r="U65" s="1409"/>
      <c r="V65" s="1409"/>
      <c r="W65" s="1409"/>
      <c r="X65" s="1409"/>
      <c r="Y65" s="1409"/>
      <c r="Z65" s="1409"/>
      <c r="AA65" s="1409"/>
      <c r="AB65" s="1409"/>
      <c r="AC65" s="1409"/>
    </row>
    <row r="66" spans="1:29" ht="15">
      <c r="A66" s="1337"/>
      <c r="B66" s="1542"/>
      <c r="C66" s="1539"/>
      <c r="D66" s="1539"/>
      <c r="E66" s="1539"/>
      <c r="F66" s="1539"/>
      <c r="G66" s="1539"/>
      <c r="H66" s="1539"/>
      <c r="I66" s="1539"/>
      <c r="J66" s="1539"/>
      <c r="K66" s="1539"/>
      <c r="L66" s="1539"/>
      <c r="M66" s="1580"/>
      <c r="N66" s="1581"/>
      <c r="O66" s="1581"/>
      <c r="P66" s="1820"/>
      <c r="Q66" s="1516"/>
      <c r="R66" s="1409"/>
      <c r="S66" s="1409"/>
      <c r="T66" s="1409"/>
      <c r="U66" s="1409"/>
      <c r="V66" s="1409"/>
      <c r="W66" s="1409"/>
      <c r="X66" s="1409"/>
      <c r="Y66" s="1409"/>
      <c r="Z66" s="1409"/>
      <c r="AA66" s="1409"/>
      <c r="AB66" s="1409"/>
      <c r="AC66" s="1409"/>
    </row>
    <row r="67" spans="1:29" ht="15">
      <c r="A67" s="1337"/>
      <c r="B67" s="1544" t="s">
        <v>1675</v>
      </c>
      <c r="C67" s="1545" t="str">
        <f>C68&amp;"（含）"&amp;"-"&amp;D68</f>
        <v>（含）-</v>
      </c>
      <c r="D67" s="1545" t="str">
        <f t="shared" ref="D67:L67" si="17">D68&amp;"（含）"&amp;"-"&amp;E68</f>
        <v>（含）-</v>
      </c>
      <c r="E67" s="1545" t="str">
        <f t="shared" si="17"/>
        <v>（含）-</v>
      </c>
      <c r="F67" s="1545" t="str">
        <f t="shared" si="17"/>
        <v>（含）-</v>
      </c>
      <c r="G67" s="1545" t="str">
        <f t="shared" si="17"/>
        <v>（含）-</v>
      </c>
      <c r="H67" s="1545" t="str">
        <f t="shared" si="17"/>
        <v>（含）-</v>
      </c>
      <c r="I67" s="1545" t="str">
        <f t="shared" si="17"/>
        <v>（含）-</v>
      </c>
      <c r="J67" s="1545" t="str">
        <f t="shared" si="17"/>
        <v>（含）-</v>
      </c>
      <c r="K67" s="1545" t="str">
        <f t="shared" si="17"/>
        <v>（含）-</v>
      </c>
      <c r="L67" s="1545" t="str">
        <f t="shared" si="17"/>
        <v>（含）-</v>
      </c>
      <c r="M67" s="1357" t="str">
        <f>M68&amp;"（含）"&amp;"-"&amp;P68</f>
        <v>（含）-</v>
      </c>
      <c r="N67" s="1581"/>
      <c r="O67" s="1581"/>
      <c r="P67" s="1820"/>
      <c r="Q67" s="1516"/>
      <c r="R67" s="1409"/>
      <c r="S67" s="1409"/>
      <c r="T67" s="1409"/>
      <c r="U67" s="1409"/>
      <c r="V67" s="1409"/>
      <c r="W67" s="1409"/>
      <c r="X67" s="1409"/>
      <c r="Y67" s="1409"/>
      <c r="Z67" s="1409"/>
      <c r="AA67" s="1409"/>
      <c r="AB67" s="1409"/>
      <c r="AC67" s="1409"/>
    </row>
    <row r="68" spans="1:29" ht="15">
      <c r="A68" s="1337"/>
      <c r="B68" s="1546"/>
      <c r="C68" s="1343"/>
      <c r="D68" s="1343"/>
      <c r="E68" s="1343"/>
      <c r="F68" s="1343"/>
      <c r="G68" s="1343"/>
      <c r="H68" s="1343"/>
      <c r="I68" s="1343"/>
      <c r="J68" s="1343"/>
      <c r="K68" s="1586"/>
      <c r="L68" s="1587"/>
      <c r="M68" s="1588"/>
      <c r="N68" s="1579"/>
      <c r="O68" s="1579"/>
      <c r="P68" s="1820"/>
      <c r="Q68" s="1516"/>
      <c r="R68" s="1409"/>
      <c r="S68" s="1409"/>
      <c r="T68" s="1409"/>
      <c r="U68" s="1409"/>
      <c r="V68" s="1409"/>
      <c r="W68" s="1409"/>
      <c r="X68" s="1409"/>
      <c r="Y68" s="1409"/>
      <c r="Z68" s="1409"/>
      <c r="AA68" s="1409"/>
      <c r="AB68" s="1409"/>
      <c r="AC68" s="1409"/>
    </row>
    <row r="69" spans="1:29" ht="15">
      <c r="A69" s="1337"/>
      <c r="B69" s="1538"/>
      <c r="C69" s="1543">
        <v>100</v>
      </c>
      <c r="D69" s="1543">
        <f t="shared" ref="D69:M69" si="18">C69-$K11</f>
        <v>100</v>
      </c>
      <c r="E69" s="1543">
        <f t="shared" si="18"/>
        <v>100</v>
      </c>
      <c r="F69" s="1543">
        <f t="shared" si="18"/>
        <v>100</v>
      </c>
      <c r="G69" s="1543">
        <f t="shared" si="18"/>
        <v>100</v>
      </c>
      <c r="H69" s="1543">
        <f t="shared" si="18"/>
        <v>100</v>
      </c>
      <c r="I69" s="1543">
        <f t="shared" si="18"/>
        <v>100</v>
      </c>
      <c r="J69" s="1543">
        <f t="shared" si="18"/>
        <v>100</v>
      </c>
      <c r="K69" s="1543">
        <f t="shared" si="18"/>
        <v>100</v>
      </c>
      <c r="L69" s="1543">
        <f t="shared" si="18"/>
        <v>100</v>
      </c>
      <c r="M69" s="1585">
        <f t="shared" si="18"/>
        <v>100</v>
      </c>
      <c r="N69" s="1581"/>
      <c r="O69" s="1581"/>
      <c r="P69" s="1820"/>
      <c r="Q69" s="1516"/>
      <c r="R69" s="1409"/>
      <c r="S69" s="1409"/>
      <c r="T69" s="1409"/>
      <c r="U69" s="1409"/>
      <c r="V69" s="1409"/>
      <c r="W69" s="1409"/>
      <c r="X69" s="1409"/>
      <c r="Y69" s="1409"/>
      <c r="Z69" s="1409"/>
      <c r="AA69" s="1409"/>
      <c r="AB69" s="1409"/>
      <c r="AC69" s="1409"/>
    </row>
    <row r="70" spans="1:29" s="1295" customFormat="1" ht="15">
      <c r="A70" s="1547"/>
      <c r="B70" s="1540">
        <f>B12</f>
        <v>111</v>
      </c>
      <c r="C70" s="1548"/>
      <c r="D70" s="1548"/>
      <c r="E70" s="1548"/>
      <c r="F70" s="1548"/>
      <c r="G70" s="1548"/>
      <c r="H70" s="1549"/>
      <c r="I70" s="1549"/>
      <c r="J70" s="1549"/>
      <c r="K70" s="1549"/>
      <c r="L70" s="1589"/>
      <c r="M70" s="1590"/>
      <c r="N70" s="1591"/>
      <c r="O70" s="1591"/>
      <c r="P70" s="1825"/>
      <c r="Q70" s="1619"/>
      <c r="R70" s="1482"/>
      <c r="S70" s="1482"/>
      <c r="T70" s="1482"/>
      <c r="U70" s="1482"/>
      <c r="V70" s="1482"/>
      <c r="W70" s="1482"/>
      <c r="X70" s="1482"/>
      <c r="Y70" s="1482"/>
      <c r="Z70" s="1482"/>
      <c r="AA70" s="1482"/>
      <c r="AB70" s="1482"/>
      <c r="AC70" s="1482"/>
    </row>
    <row r="71" spans="1:29" s="1295" customFormat="1" ht="15">
      <c r="A71" s="1547"/>
      <c r="B71" s="1542"/>
      <c r="C71" s="1550"/>
      <c r="D71" s="1539"/>
      <c r="E71" s="1539"/>
      <c r="F71" s="1539"/>
      <c r="G71" s="1539"/>
      <c r="H71" s="1539"/>
      <c r="I71" s="1539"/>
      <c r="J71" s="1539"/>
      <c r="K71" s="1539"/>
      <c r="L71" s="1539"/>
      <c r="M71" s="1580"/>
      <c r="N71" s="1581"/>
      <c r="O71" s="1581"/>
      <c r="P71" s="1825"/>
      <c r="Q71" s="1619"/>
      <c r="R71" s="1482"/>
      <c r="S71" s="1482"/>
      <c r="T71" s="1482"/>
      <c r="U71" s="1482"/>
      <c r="V71" s="1482"/>
      <c r="W71" s="1482"/>
      <c r="X71" s="1482"/>
      <c r="Y71" s="1482"/>
      <c r="Z71" s="1482"/>
      <c r="AA71" s="1482"/>
      <c r="AB71" s="1482"/>
      <c r="AC71" s="1482"/>
    </row>
    <row r="72" spans="1:29" s="1295" customFormat="1" ht="15">
      <c r="A72" s="1547"/>
      <c r="B72" s="1540">
        <f>B13</f>
        <v>111</v>
      </c>
      <c r="C72" s="1548"/>
      <c r="D72" s="1548"/>
      <c r="E72" s="1548"/>
      <c r="F72" s="1548"/>
      <c r="G72" s="1548"/>
      <c r="H72" s="1549"/>
      <c r="I72" s="1549"/>
      <c r="J72" s="1549"/>
      <c r="K72" s="1549"/>
      <c r="L72" s="1589"/>
      <c r="M72" s="1590"/>
      <c r="N72" s="1591"/>
      <c r="O72" s="1591"/>
      <c r="P72" s="1826"/>
      <c r="Q72" s="1620"/>
      <c r="R72" s="1482"/>
      <c r="S72" s="1482"/>
      <c r="T72" s="1482"/>
      <c r="U72" s="1482"/>
      <c r="V72" s="1482"/>
      <c r="W72" s="1482"/>
      <c r="X72" s="1482"/>
      <c r="Y72" s="1482"/>
      <c r="Z72" s="1482"/>
      <c r="AA72" s="1482"/>
      <c r="AB72" s="1482"/>
      <c r="AC72" s="1482"/>
    </row>
    <row r="73" spans="1:29" s="1295" customFormat="1" ht="15">
      <c r="A73" s="1547"/>
      <c r="B73" s="1542"/>
      <c r="C73" s="1550"/>
      <c r="D73" s="1539"/>
      <c r="E73" s="1539"/>
      <c r="F73" s="1539"/>
      <c r="G73" s="1550"/>
      <c r="H73" s="1551"/>
      <c r="I73" s="1551"/>
      <c r="J73" s="1551"/>
      <c r="K73" s="1551"/>
      <c r="L73" s="1551"/>
      <c r="M73" s="1592"/>
      <c r="N73" s="1591"/>
      <c r="O73" s="1591"/>
      <c r="P73" s="1825"/>
      <c r="Q73" s="1619"/>
      <c r="R73" s="1482"/>
      <c r="S73" s="1482"/>
      <c r="T73" s="1482"/>
      <c r="U73" s="1482"/>
      <c r="V73" s="1482"/>
      <c r="W73" s="1482"/>
      <c r="X73" s="1482"/>
      <c r="Y73" s="1482"/>
      <c r="Z73" s="1482"/>
      <c r="AA73" s="1482"/>
      <c r="AB73" s="1482"/>
      <c r="AC73" s="1482"/>
    </row>
    <row r="74" spans="1:29" s="1295" customFormat="1" ht="15">
      <c r="A74" s="1547"/>
      <c r="B74" s="1544">
        <f>B14</f>
        <v>111</v>
      </c>
      <c r="C74" s="1548"/>
      <c r="D74" s="1548"/>
      <c r="E74" s="1548"/>
      <c r="F74" s="1548"/>
      <c r="G74" s="1534"/>
      <c r="H74" s="1552"/>
      <c r="I74" s="1552"/>
      <c r="J74" s="1552"/>
      <c r="K74" s="1552"/>
      <c r="L74" s="1593"/>
      <c r="M74" s="1594"/>
      <c r="N74" s="1591"/>
      <c r="O74" s="1591"/>
      <c r="P74" s="1827"/>
      <c r="Q74" s="1619"/>
      <c r="R74" s="1482"/>
      <c r="S74" s="1482"/>
      <c r="T74" s="1482"/>
      <c r="U74" s="1482"/>
      <c r="V74" s="1482"/>
      <c r="W74" s="1482"/>
      <c r="X74" s="1482"/>
      <c r="Y74" s="1482"/>
      <c r="Z74" s="1482"/>
      <c r="AA74" s="1482"/>
      <c r="AB74" s="1482"/>
      <c r="AC74" s="1482"/>
    </row>
    <row r="75" spans="1:29" s="1295" customFormat="1" ht="15">
      <c r="A75" s="1553"/>
      <c r="B75" s="1554"/>
      <c r="C75" s="1555"/>
      <c r="D75" s="1555"/>
      <c r="E75" s="1555"/>
      <c r="F75" s="1555"/>
      <c r="G75" s="1555"/>
      <c r="H75" s="1556"/>
      <c r="I75" s="1556"/>
      <c r="J75" s="1556"/>
      <c r="K75" s="1556"/>
      <c r="L75" s="1556"/>
      <c r="M75" s="1596"/>
      <c r="N75" s="1591"/>
      <c r="O75" s="1591"/>
      <c r="P75" s="1825"/>
      <c r="Q75" s="1619"/>
      <c r="R75" s="1482"/>
      <c r="S75" s="1482"/>
      <c r="T75" s="1482"/>
      <c r="U75" s="1482"/>
      <c r="V75" s="1482"/>
      <c r="W75" s="1482"/>
      <c r="X75" s="1482"/>
      <c r="Y75" s="1482"/>
      <c r="Z75" s="1482"/>
      <c r="AA75" s="1482"/>
      <c r="AB75" s="1482"/>
      <c r="AC75" s="1482"/>
    </row>
    <row r="76" spans="1:29">
      <c r="A76" s="1350" t="s">
        <v>1676</v>
      </c>
      <c r="B76" s="1537" t="s">
        <v>2203</v>
      </c>
      <c r="C76" s="1557" t="s">
        <v>1722</v>
      </c>
      <c r="D76" s="1557" t="s">
        <v>1723</v>
      </c>
      <c r="E76" s="1557" t="s">
        <v>1724</v>
      </c>
      <c r="F76" s="1557" t="s">
        <v>1725</v>
      </c>
      <c r="G76" s="1557" t="s">
        <v>1726</v>
      </c>
      <c r="H76" s="621"/>
      <c r="I76" s="621"/>
      <c r="J76" s="621"/>
      <c r="K76" s="1597"/>
      <c r="L76" s="1598"/>
      <c r="M76" s="1599"/>
      <c r="N76" s="1579"/>
      <c r="O76" s="1579"/>
      <c r="P76" s="1828"/>
      <c r="Q76" s="1516"/>
      <c r="R76" s="1409"/>
      <c r="S76" s="1409"/>
      <c r="T76" s="1409"/>
      <c r="U76" s="1409"/>
      <c r="V76" s="1409"/>
      <c r="W76" s="1409"/>
      <c r="X76" s="1409"/>
      <c r="Y76" s="1409"/>
      <c r="Z76" s="1409"/>
      <c r="AA76" s="1409"/>
      <c r="AB76" s="1409"/>
      <c r="AC76" s="1409"/>
    </row>
    <row r="77" spans="1:29" ht="15">
      <c r="A77" s="1337"/>
      <c r="B77" s="1542"/>
      <c r="C77" s="1543">
        <v>100</v>
      </c>
      <c r="D77" s="1543">
        <f>C77-$K15</f>
        <v>100</v>
      </c>
      <c r="E77" s="1543">
        <f>D77-$K15</f>
        <v>100</v>
      </c>
      <c r="F77" s="1543">
        <f>E77-$K15</f>
        <v>100</v>
      </c>
      <c r="G77" s="1543">
        <f>F77-$K15</f>
        <v>100</v>
      </c>
      <c r="H77" s="1543"/>
      <c r="I77" s="1543"/>
      <c r="J77" s="1543"/>
      <c r="K77" s="1543"/>
      <c r="L77" s="1543"/>
      <c r="M77" s="1585"/>
      <c r="N77" s="1581"/>
      <c r="O77" s="1581"/>
      <c r="P77" s="1820"/>
      <c r="Q77" s="1516"/>
      <c r="R77" s="1409"/>
      <c r="S77" s="1409"/>
      <c r="T77" s="1409"/>
      <c r="U77" s="1409"/>
      <c r="V77" s="1409"/>
      <c r="W77" s="1409"/>
      <c r="X77" s="1409"/>
      <c r="Y77" s="1409"/>
      <c r="Z77" s="1409"/>
      <c r="AA77" s="1409"/>
      <c r="AB77" s="1409"/>
      <c r="AC77" s="1409"/>
    </row>
    <row r="78" spans="1:29" ht="15">
      <c r="A78" s="1337"/>
      <c r="B78" s="1540" t="s">
        <v>1682</v>
      </c>
      <c r="C78" s="1558" t="s">
        <v>1722</v>
      </c>
      <c r="D78" s="1558" t="s">
        <v>1723</v>
      </c>
      <c r="E78" s="1558" t="s">
        <v>1724</v>
      </c>
      <c r="F78" s="1558" t="s">
        <v>1725</v>
      </c>
      <c r="G78" s="1558" t="s">
        <v>1726</v>
      </c>
      <c r="H78" s="1541"/>
      <c r="I78" s="1541"/>
      <c r="J78" s="1541"/>
      <c r="K78" s="1582"/>
      <c r="L78" s="1583"/>
      <c r="M78" s="1584"/>
      <c r="N78" s="1579"/>
      <c r="O78" s="1579"/>
      <c r="P78" s="1820"/>
      <c r="Q78" s="1516"/>
      <c r="R78" s="1409"/>
      <c r="S78" s="1409"/>
      <c r="T78" s="1409"/>
      <c r="U78" s="1409"/>
      <c r="V78" s="1409"/>
      <c r="W78" s="1409"/>
      <c r="X78" s="1409"/>
      <c r="Y78" s="1409"/>
      <c r="Z78" s="1409"/>
      <c r="AA78" s="1409"/>
      <c r="AB78" s="1409"/>
      <c r="AC78" s="1409"/>
    </row>
    <row r="79" spans="1:29" ht="15">
      <c r="A79" s="1337"/>
      <c r="B79" s="1542"/>
      <c r="C79" s="1543">
        <v>100</v>
      </c>
      <c r="D79" s="1543">
        <f>C79-$K17</f>
        <v>100</v>
      </c>
      <c r="E79" s="1543">
        <f>D79-$K17</f>
        <v>100</v>
      </c>
      <c r="F79" s="1543">
        <f>E79-$K17</f>
        <v>100</v>
      </c>
      <c r="G79" s="1543">
        <f>F79-$K17</f>
        <v>100</v>
      </c>
      <c r="H79" s="1543"/>
      <c r="I79" s="1543"/>
      <c r="J79" s="1543"/>
      <c r="K79" s="1543"/>
      <c r="L79" s="1543"/>
      <c r="M79" s="1585"/>
      <c r="N79" s="1581"/>
      <c r="O79" s="1581"/>
      <c r="P79" s="1820"/>
      <c r="Q79" s="1516"/>
      <c r="R79" s="1409"/>
      <c r="S79" s="1409"/>
      <c r="T79" s="1409"/>
      <c r="U79" s="1409"/>
      <c r="V79" s="1409"/>
      <c r="W79" s="1409"/>
      <c r="X79" s="1409"/>
      <c r="Y79" s="1409"/>
      <c r="Z79" s="1409"/>
      <c r="AA79" s="1409"/>
      <c r="AB79" s="1409"/>
      <c r="AC79" s="1409"/>
    </row>
    <row r="80" spans="1:29" ht="15">
      <c r="A80" s="1337"/>
      <c r="B80" s="1540" t="s">
        <v>1683</v>
      </c>
      <c r="C80" s="1558" t="s">
        <v>1722</v>
      </c>
      <c r="D80" s="1558" t="s">
        <v>1723</v>
      </c>
      <c r="E80" s="1558" t="s">
        <v>1724</v>
      </c>
      <c r="F80" s="1558" t="s">
        <v>1725</v>
      </c>
      <c r="G80" s="1558" t="s">
        <v>1726</v>
      </c>
      <c r="H80" s="1541"/>
      <c r="I80" s="1541"/>
      <c r="J80" s="1541"/>
      <c r="K80" s="1582"/>
      <c r="L80" s="1583"/>
      <c r="M80" s="1584"/>
      <c r="N80" s="1579"/>
      <c r="O80" s="1579"/>
      <c r="P80" s="1820"/>
      <c r="Q80" s="1516"/>
      <c r="R80" s="1409"/>
      <c r="S80" s="1409"/>
      <c r="T80" s="1409"/>
      <c r="U80" s="1409"/>
      <c r="V80" s="1409"/>
      <c r="W80" s="1409"/>
      <c r="X80" s="1409"/>
      <c r="Y80" s="1409"/>
      <c r="Z80" s="1409"/>
      <c r="AA80" s="1409"/>
      <c r="AB80" s="1409"/>
      <c r="AC80" s="1409"/>
    </row>
    <row r="81" spans="1:29" ht="15">
      <c r="A81" s="1337"/>
      <c r="B81" s="1542"/>
      <c r="C81" s="1543">
        <v>100</v>
      </c>
      <c r="D81" s="1543">
        <f>C81-$K19</f>
        <v>100</v>
      </c>
      <c r="E81" s="1543">
        <f>D81-$K19</f>
        <v>100</v>
      </c>
      <c r="F81" s="1543">
        <f>E81-$K19</f>
        <v>100</v>
      </c>
      <c r="G81" s="1543">
        <f>F81-$K19</f>
        <v>100</v>
      </c>
      <c r="H81" s="1543"/>
      <c r="I81" s="1543"/>
      <c r="J81" s="1543"/>
      <c r="K81" s="1543"/>
      <c r="L81" s="1543"/>
      <c r="M81" s="1585"/>
      <c r="N81" s="1581"/>
      <c r="O81" s="1581"/>
      <c r="P81" s="1820"/>
      <c r="Q81" s="1516"/>
      <c r="R81" s="1409"/>
      <c r="S81" s="1409"/>
      <c r="T81" s="1409"/>
      <c r="U81" s="1409"/>
      <c r="V81" s="1409"/>
      <c r="W81" s="1409"/>
      <c r="X81" s="1409"/>
      <c r="Y81" s="1409"/>
      <c r="Z81" s="1409"/>
      <c r="AA81" s="1409"/>
      <c r="AB81" s="1409"/>
      <c r="AC81" s="1409"/>
    </row>
    <row r="82" spans="1:29" ht="15">
      <c r="A82" s="1337"/>
      <c r="B82" s="1544" t="s">
        <v>1684</v>
      </c>
      <c r="C82" s="1476" t="s">
        <v>1727</v>
      </c>
      <c r="D82" s="1476" t="s">
        <v>1728</v>
      </c>
      <c r="E82" s="1476" t="s">
        <v>1729</v>
      </c>
      <c r="F82" s="1476" t="s">
        <v>1730</v>
      </c>
      <c r="G82" s="1476" t="s">
        <v>1731</v>
      </c>
      <c r="H82" s="1541"/>
      <c r="I82" s="1541"/>
      <c r="J82" s="1541"/>
      <c r="K82" s="1541"/>
      <c r="L82" s="1541"/>
      <c r="M82" s="1704"/>
      <c r="N82" s="1581"/>
      <c r="O82" s="1581"/>
      <c r="P82" s="1820"/>
      <c r="Q82" s="1516"/>
      <c r="R82" s="1409"/>
      <c r="S82" s="1409"/>
      <c r="T82" s="1409"/>
      <c r="U82" s="1409"/>
      <c r="V82" s="1409"/>
      <c r="W82" s="1409"/>
      <c r="X82" s="1409"/>
      <c r="Y82" s="1409"/>
      <c r="Z82" s="1409"/>
      <c r="AA82" s="1409"/>
      <c r="AB82" s="1409"/>
      <c r="AC82" s="1409"/>
    </row>
    <row r="83" spans="1:29" ht="15">
      <c r="A83" s="1337"/>
      <c r="B83" s="1544"/>
      <c r="C83" s="1543">
        <v>100</v>
      </c>
      <c r="D83" s="1543">
        <f>C83-$K21</f>
        <v>100</v>
      </c>
      <c r="E83" s="1543">
        <f t="shared" ref="E83:G83" si="19">D83-$K21</f>
        <v>100</v>
      </c>
      <c r="F83" s="1543">
        <f t="shared" si="19"/>
        <v>100</v>
      </c>
      <c r="G83" s="1543">
        <f t="shared" si="19"/>
        <v>100</v>
      </c>
      <c r="H83" s="1476"/>
      <c r="I83" s="1476"/>
      <c r="J83" s="1476"/>
      <c r="K83" s="1476"/>
      <c r="L83" s="1476"/>
      <c r="M83" s="1359"/>
      <c r="N83" s="1581"/>
      <c r="O83" s="1581"/>
      <c r="P83" s="1820"/>
      <c r="Q83" s="1516"/>
      <c r="R83" s="1409"/>
      <c r="S83" s="1409"/>
      <c r="T83" s="1409"/>
      <c r="U83" s="1409"/>
      <c r="V83" s="1409"/>
      <c r="W83" s="1409"/>
      <c r="X83" s="1409"/>
      <c r="Y83" s="1409"/>
      <c r="Z83" s="1409"/>
      <c r="AA83" s="1409"/>
      <c r="AB83" s="1409"/>
      <c r="AC83" s="1409"/>
    </row>
    <row r="84" spans="1:29" ht="15">
      <c r="A84" s="1337"/>
      <c r="B84" s="1540" t="s">
        <v>2204</v>
      </c>
      <c r="C84" s="1558" t="s">
        <v>1722</v>
      </c>
      <c r="D84" s="1558" t="s">
        <v>1723</v>
      </c>
      <c r="E84" s="1558" t="s">
        <v>1724</v>
      </c>
      <c r="F84" s="1558" t="s">
        <v>1725</v>
      </c>
      <c r="G84" s="1558" t="s">
        <v>1726</v>
      </c>
      <c r="H84" s="1541"/>
      <c r="I84" s="1541"/>
      <c r="J84" s="1541"/>
      <c r="K84" s="1582"/>
      <c r="L84" s="1583"/>
      <c r="M84" s="1584"/>
      <c r="N84" s="1579"/>
      <c r="O84" s="1579"/>
      <c r="P84" s="1820"/>
      <c r="Q84" s="1516"/>
      <c r="R84" s="1409"/>
      <c r="S84" s="1409"/>
      <c r="T84" s="1409"/>
      <c r="U84" s="1409"/>
      <c r="V84" s="1409"/>
      <c r="W84" s="1409"/>
      <c r="X84" s="1409"/>
      <c r="Y84" s="1409"/>
      <c r="Z84" s="1409"/>
      <c r="AA84" s="1409"/>
      <c r="AB84" s="1409"/>
      <c r="AC84" s="1409"/>
    </row>
    <row r="85" spans="1:29" ht="15">
      <c r="A85" s="1337"/>
      <c r="B85" s="1542"/>
      <c r="C85" s="1543">
        <v>100</v>
      </c>
      <c r="D85" s="1543">
        <f>C85-$K23</f>
        <v>100</v>
      </c>
      <c r="E85" s="1543">
        <f>D85-$K23</f>
        <v>100</v>
      </c>
      <c r="F85" s="1543">
        <f>E85-$K23</f>
        <v>100</v>
      </c>
      <c r="G85" s="1543">
        <f>F85-$K23</f>
        <v>100</v>
      </c>
      <c r="H85" s="1543"/>
      <c r="I85" s="1543"/>
      <c r="J85" s="1543"/>
      <c r="K85" s="1543"/>
      <c r="L85" s="1543"/>
      <c r="M85" s="1585"/>
      <c r="N85" s="1581"/>
      <c r="O85" s="1581"/>
      <c r="P85" s="1820"/>
      <c r="Q85" s="1516"/>
      <c r="R85" s="1409"/>
      <c r="S85" s="1409"/>
      <c r="T85" s="1409"/>
      <c r="U85" s="1409"/>
      <c r="V85" s="1409"/>
      <c r="W85" s="1409"/>
      <c r="X85" s="1409"/>
      <c r="Y85" s="1409"/>
      <c r="Z85" s="1409"/>
      <c r="AA85" s="1409"/>
      <c r="AB85" s="1409"/>
      <c r="AC85" s="1409"/>
    </row>
    <row r="86" spans="1:29" s="1293" customFormat="1" ht="15">
      <c r="A86" s="1340"/>
      <c r="B86" s="1540" t="s">
        <v>2231</v>
      </c>
      <c r="C86" s="1548"/>
      <c r="D86" s="1548"/>
      <c r="E86" s="1548"/>
      <c r="F86" s="1548"/>
      <c r="G86" s="1548"/>
      <c r="H86" s="1548"/>
      <c r="I86" s="1548"/>
      <c r="J86" s="1548"/>
      <c r="K86" s="1548"/>
      <c r="L86" s="1705"/>
      <c r="M86" s="1706"/>
      <c r="N86" s="1574"/>
      <c r="O86" s="1574"/>
      <c r="P86" s="1820"/>
      <c r="Q86" s="1516"/>
      <c r="R86" s="1464"/>
      <c r="S86" s="1464"/>
      <c r="T86" s="1464"/>
      <c r="U86" s="1464"/>
      <c r="V86" s="1464"/>
      <c r="W86" s="1464"/>
      <c r="X86" s="1464"/>
      <c r="Y86" s="1464"/>
      <c r="Z86" s="1464"/>
      <c r="AA86" s="1464"/>
      <c r="AB86" s="1464"/>
      <c r="AC86" s="1464"/>
    </row>
    <row r="87" spans="1:29" s="1293" customFormat="1" ht="15">
      <c r="A87" s="1340"/>
      <c r="B87" s="1542"/>
      <c r="C87" s="1559">
        <v>100</v>
      </c>
      <c r="D87" s="1543">
        <f t="shared" ref="D87:M87" si="20">C87-$K25</f>
        <v>100</v>
      </c>
      <c r="E87" s="1543">
        <f t="shared" si="20"/>
        <v>100</v>
      </c>
      <c r="F87" s="1543">
        <f t="shared" si="20"/>
        <v>100</v>
      </c>
      <c r="G87" s="1543">
        <f t="shared" si="20"/>
        <v>100</v>
      </c>
      <c r="H87" s="1543">
        <f t="shared" si="20"/>
        <v>100</v>
      </c>
      <c r="I87" s="1543">
        <f t="shared" si="20"/>
        <v>100</v>
      </c>
      <c r="J87" s="1543">
        <f t="shared" si="20"/>
        <v>100</v>
      </c>
      <c r="K87" s="1543">
        <f t="shared" si="20"/>
        <v>100</v>
      </c>
      <c r="L87" s="1543">
        <f t="shared" si="20"/>
        <v>100</v>
      </c>
      <c r="M87" s="1543">
        <f t="shared" si="20"/>
        <v>100</v>
      </c>
      <c r="N87" s="1581"/>
      <c r="O87" s="1581"/>
      <c r="P87" s="1820"/>
      <c r="Q87" s="1516"/>
      <c r="R87" s="1464"/>
      <c r="S87" s="1464"/>
      <c r="T87" s="1464"/>
      <c r="U87" s="1464"/>
      <c r="V87" s="1464"/>
      <c r="W87" s="1464"/>
      <c r="X87" s="1464"/>
      <c r="Y87" s="1464"/>
      <c r="Z87" s="1464"/>
      <c r="AA87" s="1464"/>
      <c r="AB87" s="1464"/>
      <c r="AC87" s="1464"/>
    </row>
    <row r="88" spans="1:29" s="1293" customFormat="1" ht="15">
      <c r="A88" s="1340"/>
      <c r="B88" s="1540" t="str">
        <f>B26</f>
        <v>平面位置/可视性</v>
      </c>
      <c r="C88" s="1548"/>
      <c r="D88" s="1548"/>
      <c r="E88" s="1548"/>
      <c r="F88" s="1823"/>
      <c r="G88" s="1548"/>
      <c r="H88" s="1548"/>
      <c r="I88" s="1548"/>
      <c r="J88" s="1548"/>
      <c r="K88" s="1548"/>
      <c r="L88" s="1548"/>
      <c r="M88" s="1706"/>
      <c r="N88" s="1574"/>
      <c r="O88" s="1574"/>
      <c r="P88" s="1820"/>
      <c r="Q88" s="1516"/>
      <c r="R88" s="1464"/>
      <c r="S88" s="1464"/>
      <c r="T88" s="1464"/>
      <c r="U88" s="1464"/>
      <c r="V88" s="1464"/>
      <c r="W88" s="1464"/>
      <c r="X88" s="1464"/>
      <c r="Y88" s="1464"/>
      <c r="Z88" s="1464"/>
      <c r="AA88" s="1464"/>
      <c r="AB88" s="1464"/>
      <c r="AC88" s="1464"/>
    </row>
    <row r="89" spans="1:29" s="1293" customFormat="1" ht="15">
      <c r="A89" s="1340"/>
      <c r="B89" s="1542"/>
      <c r="C89" s="1550"/>
      <c r="D89" s="1539"/>
      <c r="E89" s="1539"/>
      <c r="F89" s="1539"/>
      <c r="G89" s="1539"/>
      <c r="H89" s="1539"/>
      <c r="I89" s="1539"/>
      <c r="J89" s="1539"/>
      <c r="K89" s="1539"/>
      <c r="L89" s="1539"/>
      <c r="M89" s="1539"/>
      <c r="N89" s="1581"/>
      <c r="O89" s="1581"/>
      <c r="P89" s="1820"/>
      <c r="Q89" s="1516"/>
      <c r="R89" s="1464"/>
      <c r="S89" s="1464"/>
      <c r="T89" s="1464"/>
      <c r="U89" s="1464"/>
      <c r="V89" s="1464"/>
      <c r="W89" s="1464"/>
      <c r="X89" s="1464"/>
      <c r="Y89" s="1464"/>
      <c r="Z89" s="1464"/>
      <c r="AA89" s="1464"/>
      <c r="AB89" s="1464"/>
      <c r="AC89" s="1464"/>
    </row>
    <row r="90" spans="1:29" s="1295" customFormat="1" ht="15">
      <c r="A90" s="1547"/>
      <c r="B90" s="1540" t="str">
        <f>B27</f>
        <v>人流量</v>
      </c>
      <c r="C90" s="1548"/>
      <c r="D90" s="1548"/>
      <c r="E90" s="1548"/>
      <c r="F90" s="1548"/>
      <c r="G90" s="1548"/>
      <c r="H90" s="1549"/>
      <c r="I90" s="1549"/>
      <c r="J90" s="1549"/>
      <c r="K90" s="1549"/>
      <c r="L90" s="1589"/>
      <c r="M90" s="1590"/>
      <c r="N90" s="1591"/>
      <c r="O90" s="1591"/>
      <c r="P90" s="1825"/>
      <c r="Q90" s="1619"/>
      <c r="R90" s="1482"/>
      <c r="S90" s="1482"/>
      <c r="T90" s="1482"/>
      <c r="U90" s="1482"/>
      <c r="V90" s="1482"/>
      <c r="W90" s="1482"/>
      <c r="X90" s="1482"/>
      <c r="Y90" s="1482"/>
      <c r="Z90" s="1482"/>
      <c r="AA90" s="1482"/>
      <c r="AB90" s="1482"/>
      <c r="AC90" s="1482"/>
    </row>
    <row r="91" spans="1:29" s="1295" customFormat="1" ht="15">
      <c r="A91" s="1547"/>
      <c r="B91" s="1542"/>
      <c r="C91" s="1559">
        <v>100</v>
      </c>
      <c r="D91" s="1543">
        <f>C91-$K27</f>
        <v>100</v>
      </c>
      <c r="E91" s="1543">
        <f t="shared" ref="E91:M91" si="21">D91-$K27</f>
        <v>100</v>
      </c>
      <c r="F91" s="1543">
        <f t="shared" si="21"/>
        <v>100</v>
      </c>
      <c r="G91" s="1543">
        <f t="shared" si="21"/>
        <v>100</v>
      </c>
      <c r="H91" s="1543">
        <f t="shared" si="21"/>
        <v>100</v>
      </c>
      <c r="I91" s="1543">
        <f t="shared" si="21"/>
        <v>100</v>
      </c>
      <c r="J91" s="1543">
        <f t="shared" si="21"/>
        <v>100</v>
      </c>
      <c r="K91" s="1543">
        <f t="shared" si="21"/>
        <v>100</v>
      </c>
      <c r="L91" s="1543">
        <f t="shared" si="21"/>
        <v>100</v>
      </c>
      <c r="M91" s="1543">
        <f t="shared" si="21"/>
        <v>100</v>
      </c>
      <c r="N91" s="1591"/>
      <c r="O91" s="1591"/>
      <c r="P91" s="1825"/>
      <c r="Q91" s="1619"/>
      <c r="R91" s="1482"/>
      <c r="S91" s="1482"/>
      <c r="T91" s="1482"/>
      <c r="U91" s="1482"/>
      <c r="V91" s="1482"/>
      <c r="W91" s="1482"/>
      <c r="X91" s="1482"/>
      <c r="Y91" s="1482"/>
      <c r="Z91" s="1482"/>
      <c r="AA91" s="1482"/>
      <c r="AB91" s="1482"/>
      <c r="AC91" s="1482"/>
    </row>
    <row r="92" spans="1:29" ht="15">
      <c r="A92" s="1337"/>
      <c r="B92" s="1540" t="str">
        <f>B28</f>
        <v>楼层</v>
      </c>
      <c r="C92" s="1548"/>
      <c r="D92" s="1548"/>
      <c r="E92" s="1548"/>
      <c r="F92" s="1548"/>
      <c r="G92" s="1548"/>
      <c r="H92" s="1548"/>
      <c r="I92" s="1548"/>
      <c r="J92" s="1548"/>
      <c r="K92" s="1548"/>
      <c r="L92" s="1705"/>
      <c r="M92" s="1706"/>
      <c r="N92" s="1579"/>
      <c r="O92" s="1579"/>
      <c r="P92" s="1820"/>
      <c r="Q92" s="1516"/>
      <c r="R92" s="1409"/>
      <c r="S92" s="1409"/>
      <c r="T92" s="1409"/>
      <c r="U92" s="1409"/>
      <c r="V92" s="1409"/>
      <c r="W92" s="1409"/>
      <c r="X92" s="1409"/>
      <c r="Y92" s="1409"/>
      <c r="Z92" s="1409"/>
      <c r="AA92" s="1409"/>
      <c r="AB92" s="1409"/>
      <c r="AC92" s="1409"/>
    </row>
    <row r="93" spans="1:29" ht="15">
      <c r="A93" s="1337"/>
      <c r="B93" s="1542"/>
      <c r="C93" s="1539"/>
      <c r="D93" s="1539"/>
      <c r="E93" s="1539"/>
      <c r="F93" s="1539"/>
      <c r="G93" s="1539"/>
      <c r="H93" s="1539"/>
      <c r="I93" s="1539"/>
      <c r="J93" s="1539"/>
      <c r="K93" s="1539"/>
      <c r="L93" s="1539"/>
      <c r="M93" s="1580"/>
      <c r="N93" s="1581"/>
      <c r="O93" s="1581"/>
      <c r="P93" s="1820"/>
      <c r="Q93" s="1516"/>
      <c r="R93" s="1409"/>
      <c r="S93" s="1409"/>
      <c r="T93" s="1409"/>
      <c r="U93" s="1409"/>
      <c r="V93" s="1409"/>
      <c r="W93" s="1409"/>
      <c r="X93" s="1409"/>
      <c r="Y93" s="1409"/>
      <c r="Z93" s="1409"/>
      <c r="AA93" s="1409"/>
      <c r="AB93" s="1409"/>
      <c r="AC93" s="1409"/>
    </row>
    <row r="94" spans="1:29" ht="15">
      <c r="A94" s="1337"/>
      <c r="B94" s="1540">
        <f>B29</f>
        <v>111</v>
      </c>
      <c r="C94" s="1548"/>
      <c r="D94" s="1548"/>
      <c r="E94" s="1548"/>
      <c r="F94" s="1548"/>
      <c r="G94" s="1562"/>
      <c r="H94" s="1562"/>
      <c r="I94" s="1562"/>
      <c r="J94" s="1562"/>
      <c r="K94" s="1607"/>
      <c r="L94" s="1608"/>
      <c r="M94" s="1609"/>
      <c r="N94" s="1579"/>
      <c r="O94" s="1579"/>
      <c r="P94" s="1820"/>
      <c r="Q94" s="1516"/>
      <c r="R94" s="1409"/>
      <c r="S94" s="1409"/>
      <c r="T94" s="1409"/>
      <c r="U94" s="1409"/>
      <c r="V94" s="1409"/>
      <c r="W94" s="1409"/>
      <c r="X94" s="1409"/>
      <c r="Y94" s="1409"/>
      <c r="Z94" s="1409"/>
      <c r="AA94" s="1409"/>
      <c r="AB94" s="1409"/>
      <c r="AC94" s="1409"/>
    </row>
    <row r="95" spans="1:29" ht="15">
      <c r="A95" s="1337"/>
      <c r="B95" s="1542"/>
      <c r="C95" s="1550"/>
      <c r="D95" s="1539"/>
      <c r="E95" s="1539"/>
      <c r="F95" s="1539"/>
      <c r="G95" s="1539"/>
      <c r="H95" s="1539"/>
      <c r="I95" s="1539"/>
      <c r="J95" s="1539"/>
      <c r="K95" s="1539"/>
      <c r="L95" s="1539"/>
      <c r="M95" s="1580"/>
      <c r="N95" s="1581"/>
      <c r="O95" s="1581"/>
      <c r="P95" s="1820"/>
      <c r="Q95" s="1516"/>
      <c r="R95" s="1409"/>
      <c r="S95" s="1409"/>
      <c r="T95" s="1409"/>
      <c r="U95" s="1409"/>
      <c r="V95" s="1409"/>
      <c r="W95" s="1409"/>
      <c r="X95" s="1409"/>
      <c r="Y95" s="1409"/>
      <c r="Z95" s="1409"/>
      <c r="AA95" s="1409"/>
      <c r="AB95" s="1409"/>
      <c r="AC95" s="1409"/>
    </row>
    <row r="96" spans="1:29" ht="15">
      <c r="A96" s="1337"/>
      <c r="B96" s="1540">
        <f>B30</f>
        <v>111</v>
      </c>
      <c r="C96" s="1548"/>
      <c r="D96" s="1548"/>
      <c r="E96" s="1548"/>
      <c r="F96" s="1548"/>
      <c r="G96" s="1562"/>
      <c r="H96" s="1562"/>
      <c r="I96" s="1562"/>
      <c r="J96" s="1562"/>
      <c r="K96" s="1607"/>
      <c r="L96" s="1608"/>
      <c r="M96" s="1609"/>
      <c r="N96" s="1579"/>
      <c r="O96" s="1579"/>
      <c r="P96" s="1820"/>
      <c r="Q96" s="1516"/>
      <c r="R96" s="1409"/>
      <c r="S96" s="1409"/>
      <c r="T96" s="1409"/>
      <c r="U96" s="1409"/>
      <c r="V96" s="1409"/>
      <c r="W96" s="1409"/>
      <c r="X96" s="1409"/>
      <c r="Y96" s="1409"/>
      <c r="Z96" s="1409"/>
      <c r="AA96" s="1409"/>
      <c r="AB96" s="1409"/>
      <c r="AC96" s="1409"/>
    </row>
    <row r="97" spans="1:29" ht="15">
      <c r="A97" s="1337"/>
      <c r="B97" s="1542"/>
      <c r="C97" s="1550"/>
      <c r="D97" s="1539"/>
      <c r="E97" s="1539"/>
      <c r="F97" s="1539"/>
      <c r="G97" s="1539"/>
      <c r="H97" s="1539"/>
      <c r="I97" s="1539"/>
      <c r="J97" s="1539"/>
      <c r="K97" s="1539"/>
      <c r="L97" s="1539"/>
      <c r="M97" s="1580"/>
      <c r="N97" s="1581"/>
      <c r="O97" s="1581"/>
      <c r="P97" s="1820"/>
      <c r="Q97" s="1516"/>
      <c r="R97" s="1409"/>
      <c r="S97" s="1409"/>
      <c r="T97" s="1409"/>
      <c r="U97" s="1409"/>
      <c r="V97" s="1409"/>
      <c r="W97" s="1409"/>
      <c r="X97" s="1409"/>
      <c r="Y97" s="1409"/>
      <c r="Z97" s="1409"/>
      <c r="AA97" s="1409"/>
      <c r="AB97" s="1409"/>
      <c r="AC97" s="1409"/>
    </row>
    <row r="98" spans="1:29" ht="15">
      <c r="A98" s="1337"/>
      <c r="B98" s="1544">
        <f>B31</f>
        <v>111</v>
      </c>
      <c r="C98" s="1548"/>
      <c r="D98" s="1548"/>
      <c r="E98" s="1548"/>
      <c r="F98" s="1548"/>
      <c r="G98" s="1563"/>
      <c r="H98" s="1563"/>
      <c r="I98" s="1563"/>
      <c r="J98" s="1563"/>
      <c r="K98" s="1610"/>
      <c r="L98" s="1611"/>
      <c r="M98" s="1612"/>
      <c r="N98" s="1579"/>
      <c r="O98" s="1579"/>
      <c r="P98" s="1820"/>
      <c r="Q98" s="1516"/>
      <c r="R98" s="1409"/>
      <c r="S98" s="1409"/>
      <c r="T98" s="1409"/>
      <c r="U98" s="1409"/>
      <c r="V98" s="1409"/>
      <c r="W98" s="1409"/>
      <c r="X98" s="1409"/>
      <c r="Y98" s="1409"/>
      <c r="Z98" s="1409"/>
      <c r="AA98" s="1409"/>
      <c r="AB98" s="1409"/>
      <c r="AC98" s="1409"/>
    </row>
    <row r="99" spans="1:29" ht="15">
      <c r="A99" s="1346"/>
      <c r="B99" s="1554"/>
      <c r="C99" s="1555"/>
      <c r="D99" s="1555"/>
      <c r="E99" s="1555"/>
      <c r="F99" s="1555"/>
      <c r="G99" s="1564"/>
      <c r="H99" s="1564"/>
      <c r="I99" s="1564"/>
      <c r="J99" s="1564"/>
      <c r="K99" s="1564"/>
      <c r="L99" s="1564"/>
      <c r="M99" s="1613"/>
      <c r="N99" s="1581"/>
      <c r="O99" s="1581"/>
      <c r="P99" s="1820"/>
      <c r="Q99" s="1516"/>
      <c r="R99" s="1409"/>
      <c r="S99" s="1409"/>
      <c r="T99" s="1409"/>
      <c r="U99" s="1409"/>
      <c r="V99" s="1409"/>
      <c r="W99" s="1409"/>
      <c r="X99" s="1409"/>
      <c r="Y99" s="1409"/>
      <c r="Z99" s="1409"/>
      <c r="AA99" s="1409"/>
      <c r="AB99" s="1409"/>
      <c r="AC99" s="1409"/>
    </row>
    <row r="100" spans="1:29">
      <c r="A100" s="1350" t="s">
        <v>1691</v>
      </c>
      <c r="B100" s="1537" t="s">
        <v>2234</v>
      </c>
      <c r="C100" s="1484"/>
      <c r="D100" s="1484"/>
      <c r="E100" s="1484"/>
      <c r="F100" s="1484"/>
      <c r="G100" s="1484"/>
      <c r="H100" s="1484"/>
      <c r="I100" s="1484"/>
      <c r="J100" s="1484"/>
      <c r="K100" s="1576"/>
      <c r="L100" s="1577"/>
      <c r="M100" s="1578"/>
      <c r="N100" s="1579"/>
      <c r="O100" s="1579"/>
      <c r="P100" s="1820"/>
      <c r="Q100" s="1516"/>
      <c r="R100" s="1409"/>
      <c r="S100" s="1409"/>
      <c r="T100" s="1409"/>
      <c r="U100" s="1409"/>
      <c r="V100" s="1409"/>
      <c r="W100" s="1409"/>
      <c r="X100" s="1409"/>
      <c r="Y100" s="1409"/>
      <c r="Z100" s="1409"/>
      <c r="AA100" s="1409"/>
      <c r="AB100" s="1409"/>
      <c r="AC100" s="1409"/>
    </row>
    <row r="101" spans="1:29" ht="15">
      <c r="A101" s="1337"/>
      <c r="B101" s="1542"/>
      <c r="C101" s="1543">
        <v>100</v>
      </c>
      <c r="D101" s="1543">
        <f t="shared" ref="D101:M101" si="22">C101-$K32</f>
        <v>100</v>
      </c>
      <c r="E101" s="1543">
        <f t="shared" si="22"/>
        <v>100</v>
      </c>
      <c r="F101" s="1543">
        <f t="shared" si="22"/>
        <v>100</v>
      </c>
      <c r="G101" s="1543">
        <f t="shared" si="22"/>
        <v>100</v>
      </c>
      <c r="H101" s="1543">
        <f t="shared" si="22"/>
        <v>100</v>
      </c>
      <c r="I101" s="1543">
        <f t="shared" si="22"/>
        <v>100</v>
      </c>
      <c r="J101" s="1543">
        <f t="shared" si="22"/>
        <v>100</v>
      </c>
      <c r="K101" s="1543">
        <f t="shared" si="22"/>
        <v>100</v>
      </c>
      <c r="L101" s="1543">
        <f t="shared" si="22"/>
        <v>100</v>
      </c>
      <c r="M101" s="1585">
        <f t="shared" si="22"/>
        <v>100</v>
      </c>
      <c r="N101" s="1581"/>
      <c r="O101" s="1581"/>
      <c r="P101" s="1820"/>
      <c r="Q101" s="1516"/>
      <c r="R101" s="1409"/>
      <c r="S101" s="1409"/>
      <c r="T101" s="1409"/>
      <c r="U101" s="1409"/>
      <c r="V101" s="1409"/>
      <c r="W101" s="1409"/>
      <c r="X101" s="1409"/>
      <c r="Y101" s="1409"/>
      <c r="Z101" s="1409"/>
      <c r="AA101" s="1409"/>
      <c r="AB101" s="1409"/>
      <c r="AC101" s="1409"/>
    </row>
    <row r="102" spans="1:29" ht="15">
      <c r="A102" s="1337"/>
      <c r="B102" s="1540" t="s">
        <v>1695</v>
      </c>
      <c r="C102" s="1558" t="str">
        <f>C103&amp;"(含)"&amp;"-"&amp;D103</f>
        <v>(含)-</v>
      </c>
      <c r="D102" s="1558" t="str">
        <f t="shared" ref="D102:L102" si="23">D103&amp;"(含)"&amp;"-"&amp;E103</f>
        <v>(含)-</v>
      </c>
      <c r="E102" s="1558" t="str">
        <f t="shared" si="23"/>
        <v>(含)-</v>
      </c>
      <c r="F102" s="1558" t="str">
        <f t="shared" si="23"/>
        <v>(含)-</v>
      </c>
      <c r="G102" s="1558" t="str">
        <f t="shared" si="23"/>
        <v>(含)-</v>
      </c>
      <c r="H102" s="1558" t="str">
        <f t="shared" si="23"/>
        <v>(含)-</v>
      </c>
      <c r="I102" s="1558" t="str">
        <f t="shared" si="23"/>
        <v>(含)-</v>
      </c>
      <c r="J102" s="1558" t="str">
        <f t="shared" si="23"/>
        <v>(含)-</v>
      </c>
      <c r="K102" s="1558" t="str">
        <f t="shared" si="23"/>
        <v>(含)-</v>
      </c>
      <c r="L102" s="1558" t="str">
        <f t="shared" si="23"/>
        <v>(含)-</v>
      </c>
      <c r="M102" s="1602" t="str">
        <f>M103&amp;"(含)"&amp;"-"&amp;P103</f>
        <v>(含)-</v>
      </c>
      <c r="N102" s="1574"/>
      <c r="O102" s="1574"/>
      <c r="P102" s="1820"/>
      <c r="Q102" s="1516"/>
      <c r="R102" s="1409"/>
      <c r="S102" s="1409"/>
      <c r="T102" s="1409"/>
      <c r="U102" s="1409"/>
      <c r="V102" s="1409"/>
      <c r="W102" s="1409"/>
      <c r="X102" s="1409"/>
      <c r="Y102" s="1409"/>
      <c r="Z102" s="1409"/>
      <c r="AA102" s="1409"/>
      <c r="AB102" s="1409"/>
      <c r="AC102" s="1409"/>
    </row>
    <row r="103" spans="1:29" s="1295" customFormat="1">
      <c r="A103" s="1390"/>
      <c r="B103" s="1565"/>
      <c r="C103" s="1526"/>
      <c r="D103" s="1526"/>
      <c r="E103" s="1526"/>
      <c r="F103" s="1526"/>
      <c r="G103" s="1526"/>
      <c r="H103" s="1526"/>
      <c r="I103" s="1526"/>
      <c r="J103" s="1614"/>
      <c r="K103" s="1614"/>
      <c r="L103" s="1615"/>
      <c r="M103" s="1616"/>
      <c r="N103" s="1591"/>
      <c r="O103" s="1591"/>
      <c r="P103" s="1825"/>
      <c r="Q103" s="1619"/>
      <c r="R103" s="1482"/>
      <c r="S103" s="1482"/>
      <c r="T103" s="1482"/>
      <c r="U103" s="1482"/>
      <c r="V103" s="1482"/>
      <c r="W103" s="1482"/>
      <c r="X103" s="1482"/>
      <c r="Y103" s="1482"/>
      <c r="Z103" s="1482"/>
      <c r="AA103" s="1482"/>
      <c r="AB103" s="1482"/>
      <c r="AC103" s="1482"/>
    </row>
    <row r="104" spans="1:29" s="1295" customFormat="1" ht="15">
      <c r="A104" s="1547"/>
      <c r="B104" s="1542"/>
      <c r="C104" s="1550"/>
      <c r="D104" s="1539"/>
      <c r="E104" s="1539"/>
      <c r="F104" s="1539"/>
      <c r="G104" s="1539"/>
      <c r="H104" s="1539"/>
      <c r="I104" s="1539"/>
      <c r="J104" s="1539"/>
      <c r="K104" s="1539"/>
      <c r="L104" s="1539"/>
      <c r="M104" s="1580"/>
      <c r="N104" s="1581"/>
      <c r="O104" s="1581"/>
      <c r="P104" s="1825"/>
      <c r="Q104" s="1619"/>
      <c r="R104" s="1482"/>
      <c r="S104" s="1482"/>
      <c r="T104" s="1482"/>
      <c r="U104" s="1482"/>
      <c r="V104" s="1482"/>
      <c r="W104" s="1482"/>
      <c r="X104" s="1482"/>
      <c r="Y104" s="1482"/>
      <c r="Z104" s="1482"/>
      <c r="AA104" s="1482"/>
      <c r="AB104" s="1482"/>
      <c r="AC104" s="1482"/>
    </row>
    <row r="105" spans="1:29">
      <c r="A105" s="1385"/>
      <c r="B105" s="1540" t="s">
        <v>1696</v>
      </c>
      <c r="C105" s="1548"/>
      <c r="D105" s="1548"/>
      <c r="E105" s="1562"/>
      <c r="F105" s="1562"/>
      <c r="G105" s="1562"/>
      <c r="H105" s="1562"/>
      <c r="I105" s="1562"/>
      <c r="J105" s="1562"/>
      <c r="K105" s="1607"/>
      <c r="L105" s="1608"/>
      <c r="M105" s="1609"/>
      <c r="N105" s="1579"/>
      <c r="O105" s="1579"/>
      <c r="P105" s="1820"/>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4">C106-$K34</f>
        <v>100</v>
      </c>
      <c r="E106" s="1543">
        <f t="shared" si="24"/>
        <v>100</v>
      </c>
      <c r="F106" s="1543">
        <f t="shared" si="24"/>
        <v>100</v>
      </c>
      <c r="G106" s="1543">
        <f t="shared" si="24"/>
        <v>100</v>
      </c>
      <c r="H106" s="1543">
        <f t="shared" si="24"/>
        <v>100</v>
      </c>
      <c r="I106" s="1543">
        <f t="shared" si="24"/>
        <v>100</v>
      </c>
      <c r="J106" s="1543">
        <f t="shared" si="24"/>
        <v>100</v>
      </c>
      <c r="K106" s="1543">
        <f t="shared" si="24"/>
        <v>100</v>
      </c>
      <c r="L106" s="1543">
        <f t="shared" si="24"/>
        <v>100</v>
      </c>
      <c r="M106" s="1585">
        <f t="shared" si="24"/>
        <v>100</v>
      </c>
      <c r="N106" s="1581"/>
      <c r="O106" s="1581"/>
      <c r="P106" s="1820"/>
      <c r="Q106" s="1516"/>
      <c r="R106" s="1409"/>
      <c r="S106" s="1409"/>
      <c r="T106" s="1409"/>
      <c r="U106" s="1409"/>
      <c r="V106" s="1409"/>
      <c r="W106" s="1409"/>
      <c r="X106" s="1409"/>
      <c r="Y106" s="1409"/>
      <c r="Z106" s="1409"/>
      <c r="AA106" s="1409"/>
      <c r="AB106" s="1409"/>
      <c r="AC106" s="1409"/>
    </row>
    <row r="107" spans="1:29">
      <c r="A107" s="1385"/>
      <c r="B107" s="1540" t="s">
        <v>1698</v>
      </c>
      <c r="C107" s="1548"/>
      <c r="D107" s="1548"/>
      <c r="E107" s="1548"/>
      <c r="F107" s="1562"/>
      <c r="G107" s="1562"/>
      <c r="H107" s="1562"/>
      <c r="I107" s="1562"/>
      <c r="J107" s="1562"/>
      <c r="K107" s="1607"/>
      <c r="L107" s="1608"/>
      <c r="M107" s="1609"/>
      <c r="N107" s="1579"/>
      <c r="O107" s="1579"/>
      <c r="P107" s="1820"/>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5">C108-$K35</f>
        <v>100</v>
      </c>
      <c r="E108" s="1543">
        <f t="shared" si="25"/>
        <v>100</v>
      </c>
      <c r="F108" s="1543">
        <f t="shared" si="25"/>
        <v>100</v>
      </c>
      <c r="G108" s="1543">
        <f t="shared" si="25"/>
        <v>100</v>
      </c>
      <c r="H108" s="1543">
        <f t="shared" si="25"/>
        <v>100</v>
      </c>
      <c r="I108" s="1543">
        <f t="shared" si="25"/>
        <v>100</v>
      </c>
      <c r="J108" s="1543">
        <f t="shared" si="25"/>
        <v>100</v>
      </c>
      <c r="K108" s="1543">
        <f t="shared" si="25"/>
        <v>100</v>
      </c>
      <c r="L108" s="1543">
        <f t="shared" si="25"/>
        <v>100</v>
      </c>
      <c r="M108" s="1585">
        <f t="shared" si="25"/>
        <v>100</v>
      </c>
      <c r="N108" s="1581"/>
      <c r="O108" s="1581"/>
      <c r="P108" s="1820"/>
      <c r="Q108" s="1516"/>
      <c r="R108" s="1409"/>
      <c r="S108" s="1409"/>
      <c r="T108" s="1409"/>
      <c r="U108" s="1409"/>
      <c r="V108" s="1409"/>
      <c r="W108" s="1409"/>
      <c r="X108" s="1409"/>
      <c r="Y108" s="1409"/>
      <c r="Z108" s="1409"/>
      <c r="AA108" s="1409"/>
      <c r="AB108" s="1409"/>
      <c r="AC108" s="1409"/>
    </row>
    <row r="109" spans="1:29">
      <c r="A109" s="1385"/>
      <c r="B109" s="1540" t="s">
        <v>687</v>
      </c>
      <c r="C109" s="1558" t="str">
        <f>C110&amp;"(含)"&amp;"-"&amp;D110</f>
        <v>0.5(含)-0.6</v>
      </c>
      <c r="D109" s="1558" t="str">
        <f>D110&amp;"(含)"&amp;"-"&amp;E110</f>
        <v>0.6(含)-0.7</v>
      </c>
      <c r="E109" s="1558" t="str">
        <f>E110&amp;"(含)"&amp;"-"&amp;F110</f>
        <v>0.7(含)-0.8</v>
      </c>
      <c r="F109" s="1558" t="str">
        <f>F110&amp;"(含)"&amp;"-"&amp;G110</f>
        <v>0.8(含)-0.9</v>
      </c>
      <c r="G109" s="1558" t="str">
        <f>G110&amp;"(含)"&amp;"-"&amp;ROUND(H110,0)&amp;"(含)"</f>
        <v>0.9(含)-1(含)</v>
      </c>
      <c r="H109" s="1558"/>
      <c r="I109" s="1562"/>
      <c r="J109" s="1562"/>
      <c r="K109" s="1607"/>
      <c r="L109" s="1608"/>
      <c r="M109" s="1609"/>
      <c r="N109" s="1579"/>
      <c r="O109" s="1579"/>
      <c r="P109" s="1820"/>
      <c r="Q109" s="1516"/>
      <c r="R109" s="1409"/>
      <c r="S109" s="1409"/>
      <c r="T109" s="1409"/>
      <c r="U109" s="1409"/>
      <c r="V109" s="1409"/>
      <c r="W109" s="1409"/>
      <c r="X109" s="1409"/>
      <c r="Y109" s="1409"/>
      <c r="Z109" s="1409"/>
      <c r="AA109" s="1409"/>
      <c r="AB109" s="1409"/>
      <c r="AC109" s="1409"/>
    </row>
    <row r="110" spans="1:29">
      <c r="A110" s="1385"/>
      <c r="B110" s="1544"/>
      <c r="C110" s="794">
        <v>0.5</v>
      </c>
      <c r="D110" s="794">
        <v>0.6</v>
      </c>
      <c r="E110" s="794">
        <v>0.7</v>
      </c>
      <c r="F110" s="794">
        <v>0.8</v>
      </c>
      <c r="G110" s="794">
        <v>0.9</v>
      </c>
      <c r="H110" s="794">
        <v>1.0001</v>
      </c>
      <c r="I110" s="1763"/>
      <c r="J110" s="1763"/>
      <c r="K110" s="1764"/>
      <c r="L110" s="1765"/>
      <c r="M110" s="1766"/>
      <c r="N110" s="1579"/>
      <c r="O110" s="1579"/>
      <c r="P110" s="1820"/>
      <c r="Q110" s="1516"/>
      <c r="R110" s="1409"/>
      <c r="S110" s="1409"/>
      <c r="T110" s="1409"/>
      <c r="U110" s="1409"/>
      <c r="V110" s="1409"/>
      <c r="W110" s="1409"/>
      <c r="X110" s="1409"/>
      <c r="Y110" s="1409"/>
      <c r="Z110" s="1409"/>
      <c r="AA110" s="1409"/>
      <c r="AB110" s="1409"/>
      <c r="AC110" s="1409"/>
    </row>
    <row r="111" spans="1:29" ht="15">
      <c r="A111" s="1337"/>
      <c r="B111" s="1542"/>
      <c r="C111" s="1559">
        <v>100</v>
      </c>
      <c r="D111" s="1543">
        <f>C111+$K36</f>
        <v>100</v>
      </c>
      <c r="E111" s="1543">
        <f t="shared" ref="E111:M111" si="26">D111+$K36</f>
        <v>100</v>
      </c>
      <c r="F111" s="1543">
        <f t="shared" si="26"/>
        <v>100</v>
      </c>
      <c r="G111" s="1543">
        <f t="shared" si="26"/>
        <v>100</v>
      </c>
      <c r="H111" s="1543">
        <f t="shared" si="26"/>
        <v>100</v>
      </c>
      <c r="I111" s="1543">
        <f t="shared" si="26"/>
        <v>100</v>
      </c>
      <c r="J111" s="1543">
        <f t="shared" si="26"/>
        <v>100</v>
      </c>
      <c r="K111" s="1543">
        <f t="shared" si="26"/>
        <v>100</v>
      </c>
      <c r="L111" s="1543">
        <f t="shared" si="26"/>
        <v>100</v>
      </c>
      <c r="M111" s="1543">
        <f t="shared" si="26"/>
        <v>100</v>
      </c>
      <c r="N111" s="1581"/>
      <c r="O111" s="1581"/>
      <c r="P111" s="1820"/>
      <c r="Q111" s="1516"/>
      <c r="R111" s="1409"/>
      <c r="S111" s="1409"/>
      <c r="T111" s="1409"/>
      <c r="U111" s="1409"/>
      <c r="V111" s="1409"/>
      <c r="W111" s="1409"/>
      <c r="X111" s="1409"/>
      <c r="Y111" s="1409"/>
      <c r="Z111" s="1409"/>
      <c r="AA111" s="1409"/>
      <c r="AB111" s="1409"/>
      <c r="AC111" s="1409"/>
    </row>
    <row r="112" spans="1:29" s="1295" customFormat="1">
      <c r="A112" s="1390"/>
      <c r="B112" s="1540" t="s">
        <v>1704</v>
      </c>
      <c r="C112" s="1548"/>
      <c r="D112" s="1548"/>
      <c r="E112" s="1548"/>
      <c r="F112" s="1548"/>
      <c r="G112" s="1548"/>
      <c r="H112" s="1562"/>
      <c r="I112" s="1562"/>
      <c r="J112" s="1562"/>
      <c r="K112" s="1607"/>
      <c r="L112" s="1608"/>
      <c r="M112" s="1609"/>
      <c r="N112" s="1591"/>
      <c r="O112" s="1591"/>
      <c r="P112" s="1825"/>
      <c r="Q112" s="1619"/>
      <c r="R112" s="1482"/>
      <c r="S112" s="1482"/>
      <c r="T112" s="1482"/>
      <c r="U112" s="1482"/>
      <c r="V112" s="1482"/>
      <c r="W112" s="1482"/>
      <c r="X112" s="1482"/>
      <c r="Y112" s="1482"/>
      <c r="Z112" s="1482"/>
      <c r="AA112" s="1482"/>
      <c r="AB112" s="1482"/>
      <c r="AC112" s="1482"/>
    </row>
    <row r="113" spans="1:29" s="1295" customFormat="1" ht="15">
      <c r="A113" s="1547"/>
      <c r="B113" s="1542"/>
      <c r="C113" s="1543">
        <v>100</v>
      </c>
      <c r="D113" s="1543">
        <f>C113-$K37</f>
        <v>100</v>
      </c>
      <c r="E113" s="1543">
        <f t="shared" ref="E113:M113" si="27">D113-$K37</f>
        <v>100</v>
      </c>
      <c r="F113" s="1543">
        <f t="shared" si="27"/>
        <v>100</v>
      </c>
      <c r="G113" s="1543">
        <f t="shared" si="27"/>
        <v>100</v>
      </c>
      <c r="H113" s="1543">
        <f t="shared" si="27"/>
        <v>100</v>
      </c>
      <c r="I113" s="1543">
        <f t="shared" si="27"/>
        <v>100</v>
      </c>
      <c r="J113" s="1543">
        <f t="shared" si="27"/>
        <v>100</v>
      </c>
      <c r="K113" s="1543">
        <f t="shared" si="27"/>
        <v>100</v>
      </c>
      <c r="L113" s="1543">
        <f t="shared" si="27"/>
        <v>100</v>
      </c>
      <c r="M113" s="1543">
        <f t="shared" si="27"/>
        <v>100</v>
      </c>
      <c r="N113" s="1591"/>
      <c r="O113" s="1591"/>
      <c r="P113" s="1825"/>
      <c r="Q113" s="1619"/>
      <c r="R113" s="1482"/>
      <c r="S113" s="1482"/>
      <c r="T113" s="1482"/>
      <c r="U113" s="1482"/>
      <c r="V113" s="1482"/>
      <c r="W113" s="1482"/>
      <c r="X113" s="1482"/>
      <c r="Y113" s="1482"/>
      <c r="Z113" s="1482"/>
      <c r="AA113" s="1482"/>
      <c r="AB113" s="1482"/>
      <c r="AC113" s="1482"/>
    </row>
    <row r="114" spans="1:29">
      <c r="A114" s="1385"/>
      <c r="B114" s="1540" t="s">
        <v>2235</v>
      </c>
      <c r="C114" s="1548"/>
      <c r="D114" s="1548"/>
      <c r="E114" s="1562"/>
      <c r="F114" s="1562"/>
      <c r="G114" s="1562"/>
      <c r="H114" s="1562"/>
      <c r="I114" s="1562"/>
      <c r="J114" s="1562"/>
      <c r="K114" s="1607"/>
      <c r="L114" s="1608"/>
      <c r="M114" s="1609"/>
      <c r="N114" s="1579"/>
      <c r="O114" s="1579"/>
      <c r="P114" s="1820"/>
      <c r="Q114" s="1516"/>
      <c r="R114" s="1409"/>
      <c r="S114" s="1409"/>
      <c r="T114" s="1409"/>
      <c r="U114" s="1409"/>
      <c r="V114" s="1409"/>
      <c r="W114" s="1409"/>
      <c r="X114" s="1409"/>
      <c r="Y114" s="1409"/>
      <c r="Z114" s="1409"/>
      <c r="AA114" s="1409"/>
      <c r="AB114" s="1409"/>
      <c r="AC114" s="1409"/>
    </row>
    <row r="115" spans="1:29" ht="15">
      <c r="A115" s="1337"/>
      <c r="B115" s="1542"/>
      <c r="C115" s="1543">
        <v>100</v>
      </c>
      <c r="D115" s="1543">
        <f t="shared" ref="D115:M115" si="28">C115-$K38</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820"/>
      <c r="Q115" s="1516"/>
      <c r="R115" s="1409"/>
      <c r="S115" s="1409"/>
      <c r="T115" s="1409"/>
      <c r="U115" s="1409"/>
      <c r="V115" s="1409"/>
      <c r="W115" s="1409"/>
      <c r="X115" s="1409"/>
      <c r="Y115" s="1409"/>
      <c r="Z115" s="1409"/>
      <c r="AA115" s="1409"/>
      <c r="AB115" s="1409"/>
      <c r="AC115" s="1409"/>
    </row>
    <row r="116" spans="1:29">
      <c r="A116" s="1385"/>
      <c r="B116" s="1540" t="s">
        <v>1705</v>
      </c>
      <c r="C116" s="1548"/>
      <c r="D116" s="1548"/>
      <c r="E116" s="1548"/>
      <c r="F116" s="1548"/>
      <c r="G116" s="1548"/>
      <c r="H116" s="1562"/>
      <c r="I116" s="1562"/>
      <c r="J116" s="1562"/>
      <c r="K116" s="1607"/>
      <c r="L116" s="1608"/>
      <c r="M116" s="1609"/>
      <c r="N116" s="1579"/>
      <c r="O116" s="1579"/>
      <c r="P116" s="1820"/>
      <c r="Q116" s="1516"/>
      <c r="R116" s="1409"/>
      <c r="S116" s="1409"/>
      <c r="T116" s="1409"/>
      <c r="U116" s="1409"/>
      <c r="V116" s="1409"/>
      <c r="W116" s="1409"/>
      <c r="X116" s="1409"/>
      <c r="Y116" s="1409"/>
      <c r="Z116" s="1409"/>
      <c r="AA116" s="1409"/>
      <c r="AB116" s="1409"/>
      <c r="AC116" s="1409"/>
    </row>
    <row r="117" spans="1:29" ht="15">
      <c r="A117" s="1337"/>
      <c r="B117" s="1542"/>
      <c r="C117" s="1543">
        <v>100</v>
      </c>
      <c r="D117" s="1543">
        <f>C117-$K39</f>
        <v>100</v>
      </c>
      <c r="E117" s="1543">
        <f>D117-$K39</f>
        <v>100</v>
      </c>
      <c r="F117" s="1543">
        <f>E117-$K39</f>
        <v>100</v>
      </c>
      <c r="G117" s="1543">
        <f>F117-$K39</f>
        <v>100</v>
      </c>
      <c r="H117" s="1543"/>
      <c r="I117" s="1543"/>
      <c r="J117" s="1543"/>
      <c r="K117" s="1543"/>
      <c r="L117" s="1543"/>
      <c r="M117" s="1585"/>
      <c r="N117" s="1581"/>
      <c r="O117" s="1581"/>
      <c r="P117" s="1820"/>
      <c r="Q117" s="1516"/>
      <c r="R117" s="1409"/>
      <c r="S117" s="1409"/>
      <c r="T117" s="1409"/>
      <c r="U117" s="1409"/>
      <c r="V117" s="1409"/>
      <c r="W117" s="1409"/>
      <c r="X117" s="1409"/>
      <c r="Y117" s="1409"/>
      <c r="Z117" s="1409"/>
      <c r="AA117" s="1409"/>
      <c r="AB117" s="1409"/>
      <c r="AC117" s="1409"/>
    </row>
    <row r="118" spans="1:29">
      <c r="A118" s="1385"/>
      <c r="B118" s="1540" t="s">
        <v>1738</v>
      </c>
      <c r="C118" s="1824"/>
      <c r="D118" s="1824"/>
      <c r="E118" s="1824"/>
      <c r="F118" s="1824"/>
      <c r="G118" s="1824"/>
      <c r="H118" s="1549"/>
      <c r="I118" s="1549"/>
      <c r="J118" s="1549"/>
      <c r="K118" s="1549"/>
      <c r="L118" s="1589"/>
      <c r="M118" s="1590"/>
      <c r="N118" s="1579"/>
      <c r="O118" s="1579"/>
      <c r="P118" s="1820"/>
      <c r="Q118" s="1516"/>
      <c r="R118" s="1409"/>
      <c r="S118" s="1409"/>
      <c r="T118" s="1409"/>
      <c r="U118" s="1409"/>
      <c r="V118" s="1409"/>
      <c r="W118" s="1409"/>
      <c r="X118" s="1409"/>
      <c r="Y118" s="1409"/>
      <c r="Z118" s="1409"/>
      <c r="AA118" s="1409"/>
      <c r="AB118" s="1409"/>
      <c r="AC118" s="1409"/>
    </row>
    <row r="119" spans="1:29" ht="15">
      <c r="A119" s="1337"/>
      <c r="B119" s="1542"/>
      <c r="C119" s="1550"/>
      <c r="D119" s="1539"/>
      <c r="E119" s="1539"/>
      <c r="F119" s="1539"/>
      <c r="G119" s="1539"/>
      <c r="H119" s="1539"/>
      <c r="I119" s="1539"/>
      <c r="J119" s="1539"/>
      <c r="K119" s="1539"/>
      <c r="L119" s="1539"/>
      <c r="M119" s="1580"/>
      <c r="N119" s="1581"/>
      <c r="O119" s="1581"/>
      <c r="P119" s="1820"/>
      <c r="Q119" s="1516"/>
      <c r="R119" s="1409"/>
      <c r="S119" s="1409"/>
      <c r="T119" s="1409"/>
      <c r="U119" s="1409"/>
      <c r="V119" s="1409"/>
      <c r="W119" s="1409"/>
      <c r="X119" s="1409"/>
      <c r="Y119" s="1409"/>
      <c r="Z119" s="1409"/>
      <c r="AA119" s="1409"/>
      <c r="AB119" s="1409"/>
      <c r="AC119" s="1409"/>
    </row>
    <row r="120" spans="1:29" s="1295" customFormat="1">
      <c r="A120" s="1390"/>
      <c r="B120" s="1540" t="s">
        <v>2237</v>
      </c>
      <c r="C120" s="1562"/>
      <c r="D120" s="1562"/>
      <c r="E120" s="1562"/>
      <c r="F120" s="1562"/>
      <c r="G120" s="1549"/>
      <c r="H120" s="1549"/>
      <c r="I120" s="1549"/>
      <c r="J120" s="1549"/>
      <c r="K120" s="1549"/>
      <c r="L120" s="1589"/>
      <c r="M120" s="1590"/>
      <c r="N120" s="1591"/>
      <c r="O120" s="1591"/>
      <c r="P120" s="1825"/>
      <c r="Q120" s="1619"/>
      <c r="R120" s="1482"/>
      <c r="S120" s="1482"/>
      <c r="T120" s="1482"/>
      <c r="U120" s="1482"/>
      <c r="V120" s="1482"/>
      <c r="W120" s="1482"/>
      <c r="X120" s="1482"/>
      <c r="Y120" s="1482"/>
      <c r="Z120" s="1482"/>
      <c r="AA120" s="1482"/>
      <c r="AB120" s="1482"/>
      <c r="AC120" s="1482"/>
    </row>
    <row r="121" spans="1:29" s="1295" customFormat="1" ht="15">
      <c r="A121" s="1547"/>
      <c r="B121" s="1538"/>
      <c r="C121" s="1559">
        <v>100</v>
      </c>
      <c r="D121" s="1543">
        <f>C121-$K41</f>
        <v>100</v>
      </c>
      <c r="E121" s="1543">
        <f t="shared" ref="E121:M121" si="29">D121-$K41</f>
        <v>100</v>
      </c>
      <c r="F121" s="1543">
        <f t="shared" si="29"/>
        <v>100</v>
      </c>
      <c r="G121" s="1543">
        <f t="shared" si="29"/>
        <v>100</v>
      </c>
      <c r="H121" s="1543">
        <f t="shared" si="29"/>
        <v>100</v>
      </c>
      <c r="I121" s="1543">
        <f t="shared" si="29"/>
        <v>100</v>
      </c>
      <c r="J121" s="1543">
        <f t="shared" si="29"/>
        <v>100</v>
      </c>
      <c r="K121" s="1543">
        <f t="shared" si="29"/>
        <v>100</v>
      </c>
      <c r="L121" s="1543">
        <f t="shared" si="29"/>
        <v>100</v>
      </c>
      <c r="M121" s="1585">
        <f t="shared" si="29"/>
        <v>100</v>
      </c>
      <c r="N121" s="1591"/>
      <c r="O121" s="1591"/>
      <c r="P121" s="1825"/>
      <c r="Q121" s="1619"/>
      <c r="R121" s="1482"/>
      <c r="S121" s="1482"/>
      <c r="T121" s="1482"/>
      <c r="U121" s="1482"/>
      <c r="V121" s="1482"/>
      <c r="W121" s="1482"/>
      <c r="X121" s="1482"/>
      <c r="Y121" s="1482"/>
      <c r="Z121" s="1482"/>
      <c r="AA121" s="1482"/>
      <c r="AB121" s="1482"/>
      <c r="AC121" s="1482"/>
    </row>
    <row r="122" spans="1:29">
      <c r="A122" s="1385"/>
      <c r="B122" s="1540" t="s">
        <v>1708</v>
      </c>
      <c r="C122" s="1548"/>
      <c r="D122" s="1548"/>
      <c r="E122" s="1548"/>
      <c r="F122" s="1562"/>
      <c r="G122" s="1562"/>
      <c r="H122" s="1562"/>
      <c r="I122" s="1562"/>
      <c r="J122" s="1562"/>
      <c r="K122" s="1607"/>
      <c r="L122" s="1608"/>
      <c r="M122" s="1609"/>
      <c r="N122" s="1579"/>
      <c r="O122" s="1579"/>
      <c r="P122" s="1820"/>
      <c r="Q122" s="1516"/>
      <c r="R122" s="1409"/>
      <c r="S122" s="1409"/>
      <c r="T122" s="1409"/>
      <c r="U122" s="1409"/>
      <c r="V122" s="1409"/>
      <c r="W122" s="1409"/>
      <c r="X122" s="1409"/>
      <c r="Y122" s="1409"/>
      <c r="Z122" s="1409"/>
      <c r="AA122" s="1409"/>
      <c r="AB122" s="1409"/>
      <c r="AC122" s="1409"/>
    </row>
    <row r="123" spans="1:29" ht="15">
      <c r="A123" s="1337"/>
      <c r="B123" s="1542"/>
      <c r="C123" s="1543">
        <v>100</v>
      </c>
      <c r="D123" s="1543">
        <f t="shared" ref="D123:M123" si="30">C123-$K42</f>
        <v>100</v>
      </c>
      <c r="E123" s="1543">
        <f t="shared" si="30"/>
        <v>100</v>
      </c>
      <c r="F123" s="1543">
        <f t="shared" si="30"/>
        <v>100</v>
      </c>
      <c r="G123" s="1543">
        <f t="shared" si="30"/>
        <v>100</v>
      </c>
      <c r="H123" s="1543">
        <f t="shared" si="30"/>
        <v>100</v>
      </c>
      <c r="I123" s="1543">
        <f t="shared" si="30"/>
        <v>100</v>
      </c>
      <c r="J123" s="1543">
        <f t="shared" si="30"/>
        <v>100</v>
      </c>
      <c r="K123" s="1543">
        <f t="shared" si="30"/>
        <v>100</v>
      </c>
      <c r="L123" s="1543">
        <f t="shared" si="30"/>
        <v>100</v>
      </c>
      <c r="M123" s="1585">
        <f t="shared" si="30"/>
        <v>100</v>
      </c>
      <c r="N123" s="1581"/>
      <c r="O123" s="1581"/>
      <c r="P123" s="1820"/>
      <c r="Q123" s="1516"/>
      <c r="R123" s="1409"/>
      <c r="S123" s="1409"/>
      <c r="T123" s="1409"/>
      <c r="U123" s="1409"/>
      <c r="V123" s="1409"/>
      <c r="W123" s="1409"/>
      <c r="X123" s="1409"/>
      <c r="Y123" s="1409"/>
      <c r="Z123" s="1409"/>
      <c r="AA123" s="1409"/>
      <c r="AB123" s="1409"/>
      <c r="AC123" s="1409"/>
    </row>
    <row r="124" spans="1:29">
      <c r="A124" s="1385"/>
      <c r="B124" s="1540" t="s">
        <v>1709</v>
      </c>
      <c r="C124" s="1558" t="s">
        <v>1722</v>
      </c>
      <c r="D124" s="1558" t="s">
        <v>1723</v>
      </c>
      <c r="E124" s="1558" t="s">
        <v>1724</v>
      </c>
      <c r="F124" s="1558" t="s">
        <v>1725</v>
      </c>
      <c r="G124" s="1558" t="s">
        <v>1726</v>
      </c>
      <c r="H124" s="1541"/>
      <c r="I124" s="1541"/>
      <c r="J124" s="1541"/>
      <c r="K124" s="1582"/>
      <c r="L124" s="1583"/>
      <c r="M124" s="1584"/>
      <c r="N124" s="1579"/>
      <c r="O124" s="1579"/>
      <c r="P124" s="1825"/>
      <c r="Q124" s="1516"/>
      <c r="R124" s="1409"/>
      <c r="S124" s="1409"/>
      <c r="T124" s="1409"/>
      <c r="U124" s="1409"/>
      <c r="V124" s="1409"/>
      <c r="W124" s="1409"/>
      <c r="X124" s="1409"/>
      <c r="Y124" s="1409"/>
      <c r="Z124" s="1409"/>
      <c r="AA124" s="1409"/>
      <c r="AB124" s="1409"/>
      <c r="AC124" s="1409"/>
    </row>
    <row r="125" spans="1:29" ht="15">
      <c r="A125" s="1337"/>
      <c r="B125" s="1542"/>
      <c r="C125" s="1543">
        <v>100</v>
      </c>
      <c r="D125" s="1543">
        <f>C125-$K43</f>
        <v>100</v>
      </c>
      <c r="E125" s="1543">
        <f>D125-$K43</f>
        <v>100</v>
      </c>
      <c r="F125" s="1543">
        <f>E125-$K43</f>
        <v>100</v>
      </c>
      <c r="G125" s="1543">
        <f>F125-$K43</f>
        <v>100</v>
      </c>
      <c r="H125" s="1543"/>
      <c r="I125" s="1543"/>
      <c r="J125" s="1543"/>
      <c r="K125" s="1543"/>
      <c r="L125" s="1543"/>
      <c r="M125" s="1585"/>
      <c r="N125" s="1581"/>
      <c r="O125" s="1581"/>
      <c r="P125" s="1820"/>
      <c r="Q125" s="1516"/>
      <c r="R125" s="1409"/>
      <c r="S125" s="1409"/>
      <c r="T125" s="1409"/>
      <c r="U125" s="1409"/>
      <c r="V125" s="1409"/>
      <c r="W125" s="1409"/>
      <c r="X125" s="1409"/>
      <c r="Y125" s="1409"/>
      <c r="Z125" s="1409"/>
      <c r="AA125" s="1409"/>
      <c r="AB125" s="1409"/>
      <c r="AC125" s="1409"/>
    </row>
    <row r="126" spans="1:29" s="1295" customFormat="1">
      <c r="A126" s="1390"/>
      <c r="B126" s="1540">
        <f>B44</f>
        <v>111</v>
      </c>
      <c r="C126" s="1548"/>
      <c r="D126" s="1548"/>
      <c r="E126" s="1548"/>
      <c r="F126" s="1548"/>
      <c r="G126" s="1548"/>
      <c r="H126" s="1549"/>
      <c r="I126" s="1549"/>
      <c r="J126" s="1549"/>
      <c r="K126" s="1549"/>
      <c r="L126" s="1589"/>
      <c r="M126" s="1590"/>
      <c r="N126" s="1591"/>
      <c r="O126" s="1591"/>
      <c r="P126" s="1825"/>
      <c r="Q126" s="1619"/>
      <c r="R126" s="1482"/>
      <c r="S126" s="1482"/>
      <c r="T126" s="1482"/>
      <c r="U126" s="1482"/>
      <c r="V126" s="1482"/>
      <c r="W126" s="1482"/>
      <c r="X126" s="1482"/>
      <c r="Y126" s="1482"/>
      <c r="Z126" s="1482"/>
      <c r="AA126" s="1482"/>
      <c r="AB126" s="1482"/>
      <c r="AC126" s="1482"/>
    </row>
    <row r="127" spans="1:29" s="1295" customFormat="1" ht="15">
      <c r="A127" s="1547"/>
      <c r="B127" s="1542"/>
      <c r="C127" s="1550"/>
      <c r="D127" s="1539"/>
      <c r="E127" s="1539"/>
      <c r="F127" s="1539"/>
      <c r="G127" s="1550"/>
      <c r="H127" s="1551"/>
      <c r="I127" s="1551"/>
      <c r="J127" s="1551"/>
      <c r="K127" s="1551"/>
      <c r="L127" s="1551"/>
      <c r="M127" s="1592"/>
      <c r="N127" s="1591"/>
      <c r="O127" s="1591"/>
      <c r="P127" s="1825"/>
      <c r="Q127" s="1619"/>
      <c r="R127" s="1482"/>
      <c r="S127" s="1482"/>
      <c r="T127" s="1482"/>
      <c r="U127" s="1482"/>
      <c r="V127" s="1482"/>
      <c r="W127" s="1482"/>
      <c r="X127" s="1482"/>
      <c r="Y127" s="1482"/>
      <c r="Z127" s="1482"/>
      <c r="AA127" s="1482"/>
      <c r="AB127" s="1482"/>
      <c r="AC127" s="1482"/>
    </row>
    <row r="128" spans="1:29">
      <c r="A128" s="1385"/>
      <c r="B128" s="1540">
        <f>B45</f>
        <v>111</v>
      </c>
      <c r="C128" s="1548"/>
      <c r="D128" s="1548"/>
      <c r="E128" s="1548"/>
      <c r="F128" s="1548"/>
      <c r="G128" s="1562"/>
      <c r="H128" s="1562"/>
      <c r="I128" s="1562"/>
      <c r="J128" s="1562"/>
      <c r="K128" s="1607"/>
      <c r="L128" s="1608"/>
      <c r="M128" s="1609"/>
      <c r="N128" s="1579"/>
      <c r="O128" s="1579"/>
      <c r="P128" s="1820"/>
      <c r="Q128" s="1516"/>
      <c r="R128" s="1409"/>
      <c r="S128" s="1409"/>
      <c r="T128" s="1409"/>
      <c r="U128" s="1409"/>
      <c r="V128" s="1409"/>
      <c r="W128" s="1409"/>
      <c r="X128" s="1409"/>
      <c r="Y128" s="1409"/>
      <c r="Z128" s="1409"/>
      <c r="AA128" s="1409"/>
      <c r="AB128" s="1409"/>
      <c r="AC128" s="1409"/>
    </row>
    <row r="129" spans="1:29" ht="15">
      <c r="A129" s="1337"/>
      <c r="B129" s="1542"/>
      <c r="C129" s="1550"/>
      <c r="D129" s="1539"/>
      <c r="E129" s="1539"/>
      <c r="F129" s="1539"/>
      <c r="G129" s="1539"/>
      <c r="H129" s="1539"/>
      <c r="I129" s="1539"/>
      <c r="J129" s="1539"/>
      <c r="K129" s="1539"/>
      <c r="L129" s="1539"/>
      <c r="M129" s="1580"/>
      <c r="N129" s="1581"/>
      <c r="O129" s="1581"/>
      <c r="P129" s="1820"/>
      <c r="Q129" s="1516"/>
      <c r="R129" s="1409"/>
      <c r="S129" s="1409"/>
      <c r="T129" s="1409"/>
      <c r="U129" s="1409"/>
      <c r="V129" s="1409"/>
      <c r="W129" s="1409"/>
      <c r="X129" s="1409"/>
      <c r="Y129" s="1409"/>
      <c r="Z129" s="1409"/>
      <c r="AA129" s="1409"/>
      <c r="AB129" s="1409"/>
      <c r="AC129" s="1409"/>
    </row>
    <row r="130" spans="1:29">
      <c r="A130" s="1385"/>
      <c r="B130" s="1544">
        <f>B46</f>
        <v>111</v>
      </c>
      <c r="C130" s="1548"/>
      <c r="D130" s="1548"/>
      <c r="E130" s="1548"/>
      <c r="F130" s="1548"/>
      <c r="G130" s="1563"/>
      <c r="H130" s="1563"/>
      <c r="I130" s="1563"/>
      <c r="J130" s="1563"/>
      <c r="K130" s="1534"/>
      <c r="L130" s="1572"/>
      <c r="M130" s="1612"/>
      <c r="N130" s="1579"/>
      <c r="O130" s="1579"/>
      <c r="P130" s="1820"/>
      <c r="Q130" s="1516"/>
      <c r="R130" s="1409"/>
      <c r="S130" s="1409"/>
      <c r="T130" s="1409"/>
      <c r="U130" s="1409"/>
      <c r="V130" s="1409"/>
      <c r="W130" s="1409"/>
      <c r="X130" s="1409"/>
      <c r="Y130" s="1409"/>
      <c r="Z130" s="1409"/>
      <c r="AA130" s="1409"/>
      <c r="AB130" s="1409"/>
      <c r="AC130" s="1409"/>
    </row>
    <row r="131" spans="1:29" ht="15">
      <c r="A131" s="1346"/>
      <c r="B131" s="1554"/>
      <c r="C131" s="1555"/>
      <c r="D131" s="1555"/>
      <c r="E131" s="1555"/>
      <c r="F131" s="1555"/>
      <c r="G131" s="1564"/>
      <c r="H131" s="1564"/>
      <c r="I131" s="1564"/>
      <c r="J131" s="1564"/>
      <c r="K131" s="1564"/>
      <c r="L131" s="1564"/>
      <c r="M131" s="1613"/>
      <c r="N131" s="1581"/>
      <c r="O131" s="1581"/>
      <c r="P131" s="1820"/>
      <c r="Q131" s="1516"/>
      <c r="R131" s="1409"/>
      <c r="S131" s="1409"/>
      <c r="T131" s="1409"/>
      <c r="U131" s="1409"/>
      <c r="V131" s="1409"/>
      <c r="W131" s="1409"/>
      <c r="X131" s="1409"/>
      <c r="Y131" s="1409"/>
      <c r="Z131" s="1409"/>
      <c r="AA131" s="1409"/>
      <c r="AB131" s="1409"/>
      <c r="AC131"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1642</v>
      </c>
      <c r="B1" s="1768" t="s">
        <v>2238</v>
      </c>
      <c r="C1" s="1654" t="s">
        <v>1644</v>
      </c>
      <c r="D1" s="1655"/>
      <c r="E1" s="1656"/>
      <c r="F1" s="1657"/>
      <c r="G1" s="1658" t="s">
        <v>1647</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1648</v>
      </c>
      <c r="B2" s="1661" t="b">
        <f>IF(E1="项目模式",IF(C2="——",ROUND(C43*D3/10000,0),ROUND(C43*D3/10000,0)-D2),IF(E1="单套模式",IF(C2="——",ROUND(C43*D3/10000,4),ROUND(C43*D3/10000,4)-D2)))</f>
        <v>0</v>
      </c>
      <c r="C2" s="1662"/>
      <c r="D2" s="1621" t="e">
        <f ca="1">IF(E1="项目模式",SUMIF(INDIRECT("'"&amp;F2&amp;"'"&amp;"!A:A"),"承租人权益价值",INDIRECT("'"&amp;F2&amp;"'"&amp;"!c:c")),SUMIF(INDIRECT("'"&amp;F2&amp;"'"&amp;"!A:A"),"承租人权益价值（单套）",INDIRECT("'"&amp;F2&amp;"'"&amp;"!c:c")))</f>
        <v>#REF!</v>
      </c>
      <c r="E2" s="1663" t="s">
        <v>1649</v>
      </c>
      <c r="F2" s="1664"/>
      <c r="G2" s="1308"/>
      <c r="H2" s="1308"/>
      <c r="I2" s="1308"/>
      <c r="J2" s="1308"/>
      <c r="K2" s="1308"/>
      <c r="L2" s="1770"/>
      <c r="M2" s="1771"/>
      <c r="N2" s="1771"/>
      <c r="O2" s="1771"/>
      <c r="P2" s="1304"/>
      <c r="Q2" s="1304"/>
      <c r="R2" s="1304"/>
      <c r="S2" s="1304"/>
      <c r="T2" s="1304"/>
      <c r="U2" s="1304"/>
      <c r="V2" s="1304"/>
      <c r="W2" s="1304"/>
      <c r="X2" s="1304"/>
      <c r="Y2" s="1304"/>
      <c r="Z2" s="1304"/>
      <c r="AA2" s="1304"/>
      <c r="AB2" s="1304"/>
      <c r="AC2" s="895"/>
    </row>
    <row r="3" spans="1:29" s="1292" customFormat="1" ht="28.5" customHeight="1">
      <c r="A3" s="346" t="s">
        <v>1650</v>
      </c>
      <c r="B3" s="1310">
        <f>IF(C2="——",C43,ROUND(B2*10000/D3,0))</f>
        <v>0</v>
      </c>
      <c r="C3" s="1665" t="s">
        <v>1651</v>
      </c>
      <c r="D3" s="1666">
        <f>IF(D1="",'数据-汇总表'!E3,SUMIF('数据-汇总表'!$C19:$C33,D1,'数据-汇总表'!$E19:$E33))</f>
        <v>65221.919999999998</v>
      </c>
      <c r="E3" s="1308"/>
      <c r="F3" s="1309"/>
      <c r="G3" s="1308"/>
      <c r="H3" s="1308"/>
      <c r="I3" s="1308"/>
      <c r="J3" s="1308"/>
      <c r="K3" s="1454"/>
      <c r="L3" s="1770"/>
      <c r="M3" s="1771"/>
      <c r="N3" s="1771"/>
      <c r="O3" s="1771"/>
      <c r="P3" s="1304"/>
      <c r="Q3" s="1304"/>
      <c r="R3" s="1304"/>
      <c r="S3" s="1304"/>
      <c r="T3" s="1304"/>
      <c r="U3" s="1304"/>
      <c r="V3" s="1304"/>
      <c r="W3" s="1304"/>
      <c r="X3" s="1304"/>
      <c r="Y3" s="1304"/>
      <c r="Z3" s="1304"/>
      <c r="AA3" s="1304"/>
      <c r="AB3" s="1517"/>
      <c r="AC3" s="895"/>
    </row>
    <row r="4" spans="1:29" ht="15">
      <c r="A4" s="1312" t="s">
        <v>1652</v>
      </c>
      <c r="B4" s="1313"/>
      <c r="C4" s="3469" t="s">
        <v>1653</v>
      </c>
      <c r="D4" s="3470"/>
      <c r="E4" s="3471" t="s">
        <v>1654</v>
      </c>
      <c r="F4" s="3472"/>
      <c r="G4" s="3469" t="s">
        <v>1655</v>
      </c>
      <c r="H4" s="3470"/>
      <c r="I4" s="3469" t="s">
        <v>1656</v>
      </c>
      <c r="J4" s="3470"/>
      <c r="K4" s="1457" t="s">
        <v>1657</v>
      </c>
      <c r="L4" s="1772"/>
      <c r="M4" s="1443"/>
      <c r="N4" s="1443"/>
      <c r="O4" s="1443"/>
      <c r="P4" s="3508" t="s">
        <v>1658</v>
      </c>
      <c r="Q4" s="3509"/>
      <c r="R4" s="3512" t="s">
        <v>1654</v>
      </c>
      <c r="S4" s="3513"/>
      <c r="T4" s="3512" t="s">
        <v>1655</v>
      </c>
      <c r="U4" s="3513"/>
      <c r="V4" s="3446" t="s">
        <v>1656</v>
      </c>
      <c r="W4" s="3446"/>
      <c r="X4" s="1506"/>
      <c r="Y4" s="3512" t="s">
        <v>1658</v>
      </c>
      <c r="Z4" s="3513"/>
      <c r="AA4" s="3507" t="s">
        <v>1654</v>
      </c>
      <c r="AB4" s="3428" t="s">
        <v>1655</v>
      </c>
      <c r="AC4" s="3507" t="s">
        <v>1656</v>
      </c>
    </row>
    <row r="5" spans="1:29" ht="15">
      <c r="A5" s="1316"/>
      <c r="B5" s="1317"/>
      <c r="C5" s="3473" t="s">
        <v>1659</v>
      </c>
      <c r="D5" s="3474"/>
      <c r="E5" s="3475" t="s">
        <v>2200</v>
      </c>
      <c r="F5" s="3476"/>
      <c r="G5" s="3473" t="s">
        <v>2201</v>
      </c>
      <c r="H5" s="3474"/>
      <c r="I5" s="3473" t="s">
        <v>2202</v>
      </c>
      <c r="J5" s="3474"/>
      <c r="K5" s="1457"/>
      <c r="L5" s="1772"/>
      <c r="M5" s="1443"/>
      <c r="N5" s="1443"/>
      <c r="O5" s="1443"/>
      <c r="P5" s="3510"/>
      <c r="Q5" s="3436"/>
      <c r="R5" s="3441"/>
      <c r="S5" s="3442"/>
      <c r="T5" s="3441"/>
      <c r="U5" s="3442"/>
      <c r="V5" s="3446"/>
      <c r="W5" s="3446"/>
      <c r="X5" s="1506"/>
      <c r="Y5" s="3441"/>
      <c r="Z5" s="3442"/>
      <c r="AA5" s="3428"/>
      <c r="AB5" s="3428"/>
      <c r="AC5" s="3428"/>
    </row>
    <row r="6" spans="1:29" ht="15">
      <c r="A6" s="1318"/>
      <c r="B6" s="1319"/>
      <c r="C6" s="3464" t="s">
        <v>1660</v>
      </c>
      <c r="D6" s="3465"/>
      <c r="E6" s="3466" t="s">
        <v>1660</v>
      </c>
      <c r="F6" s="3467"/>
      <c r="G6" s="3464" t="s">
        <v>1660</v>
      </c>
      <c r="H6" s="3465"/>
      <c r="I6" s="3464" t="s">
        <v>1660</v>
      </c>
      <c r="J6" s="3465"/>
      <c r="K6" s="1457" t="s">
        <v>1661</v>
      </c>
      <c r="L6" s="1772"/>
      <c r="M6" s="1443"/>
      <c r="N6" s="1443"/>
      <c r="O6" s="1443"/>
      <c r="P6" s="3511"/>
      <c r="Q6" s="3438"/>
      <c r="R6" s="3441"/>
      <c r="S6" s="3442"/>
      <c r="T6" s="3443"/>
      <c r="U6" s="3444"/>
      <c r="V6" s="3446"/>
      <c r="W6" s="3446"/>
      <c r="X6" s="1506"/>
      <c r="Y6" s="3443"/>
      <c r="Z6" s="3444"/>
      <c r="AA6" s="3429"/>
      <c r="AB6" s="3429"/>
      <c r="AC6" s="3429"/>
    </row>
    <row r="7" spans="1:29" s="1293" customFormat="1" ht="15">
      <c r="A7" s="1321" t="s">
        <v>1662</v>
      </c>
      <c r="B7" s="1322"/>
      <c r="C7" s="1323">
        <f>'数据-取费表'!B2</f>
        <v>45882</v>
      </c>
      <c r="D7" s="1324">
        <v>100</v>
      </c>
      <c r="E7" s="1325"/>
      <c r="F7" s="1326">
        <f>SUMIF(52:52,YEAR(E7)&amp;"-"&amp;MONTH(E7),53:53)</f>
        <v>0</v>
      </c>
      <c r="G7" s="1325"/>
      <c r="H7" s="1324">
        <f>SUMIF(52:52,YEAR(G7)&amp;"-"&amp;MONTH(G7),53:53)</f>
        <v>0</v>
      </c>
      <c r="I7" s="1325"/>
      <c r="J7" s="1324">
        <f>SUMIF(52:52,YEAR(I7)&amp;"-"&amp;MONTH(I7),53:53)</f>
        <v>0</v>
      </c>
      <c r="K7" s="1462"/>
      <c r="L7" s="1773"/>
      <c r="M7" s="1774"/>
      <c r="N7" s="1774"/>
      <c r="O7" s="1774"/>
      <c r="P7" s="3452" t="s">
        <v>1663</v>
      </c>
      <c r="Q7" s="3468"/>
      <c r="R7" s="1507" t="s">
        <v>1664</v>
      </c>
      <c r="S7" s="1508">
        <f t="shared" ref="S7:S15" si="0">F7</f>
        <v>0</v>
      </c>
      <c r="T7" s="1507" t="s">
        <v>1664</v>
      </c>
      <c r="U7" s="1508">
        <f t="shared" ref="U7:U15" si="1">H7</f>
        <v>0</v>
      </c>
      <c r="V7" s="1507" t="s">
        <v>1664</v>
      </c>
      <c r="W7" s="1508">
        <f t="shared" ref="W7:W15" si="2">J7</f>
        <v>0</v>
      </c>
      <c r="X7" s="1509"/>
      <c r="Y7" s="3452" t="s">
        <v>1663</v>
      </c>
      <c r="Z7" s="3453"/>
      <c r="AA7" s="1518" t="e">
        <f>D7/F7</f>
        <v>#DIV/0!</v>
      </c>
      <c r="AB7" s="1518" t="e">
        <f>D7/H7</f>
        <v>#DIV/0!</v>
      </c>
      <c r="AC7" s="1518" t="e">
        <f>D7/J7</f>
        <v>#DIV/0!</v>
      </c>
    </row>
    <row r="8" spans="1:29" s="1293" customFormat="1" ht="15">
      <c r="A8" s="1321" t="s">
        <v>1665</v>
      </c>
      <c r="B8" s="1322"/>
      <c r="C8" s="1328"/>
      <c r="D8" s="1324">
        <v>100</v>
      </c>
      <c r="E8" s="1328"/>
      <c r="F8" s="1326">
        <f>SUMIF(55:55,E8,56:56)-SUMIF(55:55,C8,56:56)+100</f>
        <v>100</v>
      </c>
      <c r="G8" s="1328"/>
      <c r="H8" s="1324">
        <f>SUMIF(55:55,G8,56:56)-SUMIF(55:55,C8,56:56)+100</f>
        <v>100</v>
      </c>
      <c r="I8" s="1328"/>
      <c r="J8" s="1324">
        <f>SUMIF(55:55,I8,56:56)-SUMIF(55:55,C8,56:56)+100</f>
        <v>100</v>
      </c>
      <c r="K8" s="1462"/>
      <c r="L8" s="1773"/>
      <c r="M8" s="1774"/>
      <c r="N8" s="1774"/>
      <c r="O8" s="1774"/>
      <c r="P8" s="3452" t="s">
        <v>1667</v>
      </c>
      <c r="Q8" s="3453"/>
      <c r="R8" s="1507" t="s">
        <v>1664</v>
      </c>
      <c r="S8" s="1508">
        <f t="shared" si="0"/>
        <v>100</v>
      </c>
      <c r="T8" s="1507" t="s">
        <v>1664</v>
      </c>
      <c r="U8" s="1508">
        <f t="shared" si="1"/>
        <v>100</v>
      </c>
      <c r="V8" s="1507" t="s">
        <v>1664</v>
      </c>
      <c r="W8" s="1508">
        <f t="shared" si="2"/>
        <v>100</v>
      </c>
      <c r="X8" s="1509"/>
      <c r="Y8" s="3452" t="s">
        <v>1667</v>
      </c>
      <c r="Z8" s="3453"/>
      <c r="AA8" s="1518">
        <f t="shared" ref="AA8:AA40" si="3">D8/F8</f>
        <v>1</v>
      </c>
      <c r="AB8" s="1518">
        <f t="shared" ref="AB8:AB40" si="4">D8/H8</f>
        <v>1</v>
      </c>
      <c r="AC8" s="1518">
        <f t="shared" ref="AC8:AC40" si="5">D8/J8</f>
        <v>1</v>
      </c>
    </row>
    <row r="9" spans="1:29" s="1293" customFormat="1">
      <c r="A9" s="1329" t="s">
        <v>1668</v>
      </c>
      <c r="B9" s="1330" t="s">
        <v>1669</v>
      </c>
      <c r="C9" s="1667"/>
      <c r="D9" s="1332">
        <v>100</v>
      </c>
      <c r="E9" s="1668"/>
      <c r="F9" s="1332">
        <f>SUMIF(57:57,E9,58:58)-SUMIF(57:57,C9,58:58)+100</f>
        <v>100</v>
      </c>
      <c r="G9" s="1718"/>
      <c r="H9" s="1332">
        <f>SUMIF(57:57,G9,58:58)-SUMIF(57:57,C9,58:58)+100</f>
        <v>100</v>
      </c>
      <c r="I9" s="1718"/>
      <c r="J9" s="1332">
        <f>SUMIF(57:57,I9,58:58)-SUMIF(57:57,C9,58:58)+100</f>
        <v>100</v>
      </c>
      <c r="K9" s="1462"/>
      <c r="L9" s="1773"/>
      <c r="M9" s="1774"/>
      <c r="N9" s="1774"/>
      <c r="O9" s="1775"/>
      <c r="P9" s="3448" t="s">
        <v>1670</v>
      </c>
      <c r="Q9" s="794" t="str">
        <f t="shared" ref="Q9:Q15" si="6">B9</f>
        <v>用途</v>
      </c>
      <c r="R9" s="1507" t="s">
        <v>1664</v>
      </c>
      <c r="S9" s="1508">
        <f t="shared" si="0"/>
        <v>100</v>
      </c>
      <c r="T9" s="1507" t="s">
        <v>1664</v>
      </c>
      <c r="U9" s="1508">
        <f t="shared" si="1"/>
        <v>100</v>
      </c>
      <c r="V9" s="1507" t="s">
        <v>1664</v>
      </c>
      <c r="W9" s="1508">
        <f t="shared" si="2"/>
        <v>100</v>
      </c>
      <c r="X9" s="1509"/>
      <c r="Y9" s="3342" t="s">
        <v>1671</v>
      </c>
      <c r="Z9" s="1518" t="str">
        <f t="shared" ref="Z9:Z15" si="7">Q9</f>
        <v>用途</v>
      </c>
      <c r="AA9" s="1518">
        <f t="shared" si="3"/>
        <v>1</v>
      </c>
      <c r="AB9" s="1518">
        <f t="shared" si="4"/>
        <v>1</v>
      </c>
      <c r="AC9" s="1518">
        <f t="shared" si="5"/>
        <v>1</v>
      </c>
    </row>
    <row r="10" spans="1:29" s="1294" customFormat="1" ht="27">
      <c r="A10" s="1333"/>
      <c r="B10" s="1334" t="s">
        <v>1672</v>
      </c>
      <c r="C10" s="1669"/>
      <c r="D10" s="1336">
        <v>100</v>
      </c>
      <c r="E10" s="1669"/>
      <c r="F10" s="1336">
        <f>SUMIF(59:59,E10,60:60)-SUMIF(59:59,C10,60:60)+100</f>
        <v>100</v>
      </c>
      <c r="G10" s="1721"/>
      <c r="H10" s="1336">
        <f>SUMIF(59:59,G10,60:60)-SUMIF(59:59,C10,60:60)+100</f>
        <v>100</v>
      </c>
      <c r="I10" s="1669"/>
      <c r="J10" s="1336">
        <f>SUMIF(59:59,I10,60:60)-SUMIF(59:59,C10,60:60)+100</f>
        <v>100</v>
      </c>
      <c r="K10" s="1462"/>
      <c r="L10" s="1776"/>
      <c r="M10" s="1777"/>
      <c r="N10" s="1777"/>
      <c r="O10" s="1778"/>
      <c r="P10" s="3448"/>
      <c r="Q10" s="794" t="str">
        <f t="shared" si="6"/>
        <v>土地使用年限（年）</v>
      </c>
      <c r="R10" s="1507" t="s">
        <v>1664</v>
      </c>
      <c r="S10" s="1508">
        <f t="shared" si="0"/>
        <v>100</v>
      </c>
      <c r="T10" s="1507" t="s">
        <v>1664</v>
      </c>
      <c r="U10" s="1508">
        <f t="shared" si="1"/>
        <v>100</v>
      </c>
      <c r="V10" s="1507" t="s">
        <v>1664</v>
      </c>
      <c r="W10" s="1508">
        <f t="shared" si="2"/>
        <v>100</v>
      </c>
      <c r="X10" s="1509"/>
      <c r="Y10" s="3342"/>
      <c r="Z10" s="1518" t="str">
        <f t="shared" si="7"/>
        <v>土地使用年限（年）</v>
      </c>
      <c r="AA10" s="1518">
        <f t="shared" si="3"/>
        <v>1</v>
      </c>
      <c r="AB10" s="1518">
        <f t="shared" si="4"/>
        <v>1</v>
      </c>
      <c r="AC10" s="1518">
        <f t="shared" si="5"/>
        <v>1</v>
      </c>
    </row>
    <row r="11" spans="1:29" ht="15">
      <c r="A11" s="1337"/>
      <c r="B11" s="1334" t="s">
        <v>1675</v>
      </c>
      <c r="C11" s="1338"/>
      <c r="D11" s="1336">
        <v>100</v>
      </c>
      <c r="E11" s="1338"/>
      <c r="F11" s="1336">
        <f>LOOKUP(E11,62:62,63:63)-LOOKUP(C11,62:62,63:63)+100</f>
        <v>100</v>
      </c>
      <c r="G11" s="1339"/>
      <c r="H11" s="1336">
        <f>LOOKUP(G11,62:62,63:63)-LOOKUP(C11,62:62,63:63)+100</f>
        <v>100</v>
      </c>
      <c r="I11" s="1338"/>
      <c r="J11" s="1336">
        <f>LOOKUP(I11,62:62,63:63)-LOOKUP(C11,62:62,63:63)+100</f>
        <v>100</v>
      </c>
      <c r="K11" s="1481"/>
      <c r="L11" s="1779"/>
      <c r="M11" s="1443"/>
      <c r="N11" s="1443"/>
      <c r="O11" s="1780"/>
      <c r="P11" s="3448"/>
      <c r="Q11" s="794" t="str">
        <f t="shared" si="6"/>
        <v>容积率</v>
      </c>
      <c r="R11" s="1507" t="s">
        <v>1664</v>
      </c>
      <c r="S11" s="1508">
        <f t="shared" si="0"/>
        <v>100</v>
      </c>
      <c r="T11" s="1507" t="s">
        <v>1664</v>
      </c>
      <c r="U11" s="1508">
        <f t="shared" si="1"/>
        <v>100</v>
      </c>
      <c r="V11" s="1507" t="s">
        <v>1664</v>
      </c>
      <c r="W11" s="1508">
        <f t="shared" si="2"/>
        <v>100</v>
      </c>
      <c r="X11" s="1509"/>
      <c r="Y11" s="3342"/>
      <c r="Z11" s="1518" t="str">
        <f t="shared" si="7"/>
        <v>容积率</v>
      </c>
      <c r="AA11" s="1518">
        <f t="shared" si="3"/>
        <v>1</v>
      </c>
      <c r="AB11" s="1518">
        <f t="shared" si="4"/>
        <v>1</v>
      </c>
      <c r="AC11" s="1518">
        <f t="shared" si="5"/>
        <v>1</v>
      </c>
    </row>
    <row r="12" spans="1:29" s="1293" customFormat="1" ht="15">
      <c r="A12" s="1340"/>
      <c r="B12" s="1341">
        <v>111</v>
      </c>
      <c r="C12" s="1335"/>
      <c r="D12" s="1342">
        <v>100</v>
      </c>
      <c r="E12" s="1345"/>
      <c r="F12" s="1336">
        <f>SUMIF(64:64,E12,65:65)-SUMIF(64:64,C12,65:65)+100</f>
        <v>100</v>
      </c>
      <c r="G12" s="1769"/>
      <c r="H12" s="1336">
        <f>SUMIF(64:64,G12,65:65)-SUMIF(64:64,C12,65:65)+100</f>
        <v>100</v>
      </c>
      <c r="I12" s="1670"/>
      <c r="J12" s="1336">
        <f>SUMIF(64:64,I12,65:65)-SUMIF(64:64,C12,65:65)+100</f>
        <v>100</v>
      </c>
      <c r="K12" s="1480"/>
      <c r="L12" s="1773"/>
      <c r="M12" s="1774"/>
      <c r="N12" s="1774"/>
      <c r="O12" s="1775"/>
      <c r="P12" s="3448"/>
      <c r="Q12" s="794">
        <f t="shared" si="6"/>
        <v>111</v>
      </c>
      <c r="R12" s="1507" t="s">
        <v>1664</v>
      </c>
      <c r="S12" s="1508">
        <f t="shared" si="0"/>
        <v>100</v>
      </c>
      <c r="T12" s="1507" t="s">
        <v>1664</v>
      </c>
      <c r="U12" s="1508">
        <f t="shared" si="1"/>
        <v>100</v>
      </c>
      <c r="V12" s="1507" t="s">
        <v>1664</v>
      </c>
      <c r="W12" s="1508">
        <f t="shared" si="2"/>
        <v>100</v>
      </c>
      <c r="X12" s="1509"/>
      <c r="Y12" s="3342"/>
      <c r="Z12" s="1518">
        <f t="shared" si="7"/>
        <v>111</v>
      </c>
      <c r="AA12" s="1518">
        <f t="shared" si="3"/>
        <v>1</v>
      </c>
      <c r="AB12" s="1518">
        <f t="shared" si="4"/>
        <v>1</v>
      </c>
      <c r="AC12" s="1518">
        <f t="shared" si="5"/>
        <v>1</v>
      </c>
    </row>
    <row r="13" spans="1:29" ht="15">
      <c r="A13" s="1337"/>
      <c r="B13" s="1341">
        <v>111</v>
      </c>
      <c r="C13" s="1345"/>
      <c r="D13" s="759">
        <v>100</v>
      </c>
      <c r="E13" s="1345"/>
      <c r="F13" s="1336">
        <f>SUMIF(66:66,E13,67:67)-SUMIF(66:66,C13,67:67)+100</f>
        <v>100</v>
      </c>
      <c r="G13" s="1769"/>
      <c r="H13" s="759">
        <f>SUMIF(66:66,G13,67:67)-SUMIF(66:66,C13,67:67)+100</f>
        <v>100</v>
      </c>
      <c r="I13" s="1670"/>
      <c r="J13" s="759">
        <f>SUMIF(66:66,I13,67:67)-SUMIF(66:66,C13,67:67)+100</f>
        <v>100</v>
      </c>
      <c r="K13" s="1480"/>
      <c r="L13" s="1781"/>
      <c r="M13" s="1443"/>
      <c r="N13" s="1443"/>
      <c r="O13" s="1780"/>
      <c r="P13" s="3448"/>
      <c r="Q13" s="794">
        <f t="shared" si="6"/>
        <v>111</v>
      </c>
      <c r="R13" s="1507" t="s">
        <v>1664</v>
      </c>
      <c r="S13" s="1508">
        <f t="shared" si="0"/>
        <v>100</v>
      </c>
      <c r="T13" s="1507" t="s">
        <v>1664</v>
      </c>
      <c r="U13" s="1508">
        <f t="shared" si="1"/>
        <v>100</v>
      </c>
      <c r="V13" s="1507" t="s">
        <v>1664</v>
      </c>
      <c r="W13" s="1508">
        <f t="shared" si="2"/>
        <v>100</v>
      </c>
      <c r="X13" s="1509"/>
      <c r="Y13" s="3342"/>
      <c r="Z13" s="1518">
        <f t="shared" si="7"/>
        <v>111</v>
      </c>
      <c r="AA13" s="1518">
        <f t="shared" si="3"/>
        <v>1</v>
      </c>
      <c r="AB13" s="1518">
        <f t="shared" si="4"/>
        <v>1</v>
      </c>
      <c r="AC13" s="1518">
        <f t="shared" si="5"/>
        <v>1</v>
      </c>
    </row>
    <row r="14" spans="1:29" ht="15">
      <c r="A14" s="1346"/>
      <c r="B14" s="1347">
        <v>111</v>
      </c>
      <c r="C14" s="1348"/>
      <c r="D14" s="1349">
        <v>100</v>
      </c>
      <c r="E14" s="1348"/>
      <c r="F14" s="1349">
        <f>SUMIF(68:68,E14,69:69)-SUMIF(68:68,C14,69:69)+100</f>
        <v>100</v>
      </c>
      <c r="G14" s="1769"/>
      <c r="H14" s="1349">
        <f>SUMIF(68:68,G14,69:69)-SUMIF(68:68,C14,69:69)+100</f>
        <v>100</v>
      </c>
      <c r="I14" s="1670"/>
      <c r="J14" s="1349">
        <f>SUMIF(68:68,I14,69:69)-SUMIF(68:68,C14,69:69)+100</f>
        <v>100</v>
      </c>
      <c r="K14" s="1480"/>
      <c r="L14" s="1781"/>
      <c r="M14" s="1443"/>
      <c r="N14" s="1443"/>
      <c r="O14" s="1780"/>
      <c r="P14" s="3448"/>
      <c r="Q14" s="794">
        <f t="shared" si="6"/>
        <v>111</v>
      </c>
      <c r="R14" s="1507" t="s">
        <v>1664</v>
      </c>
      <c r="S14" s="1508">
        <f t="shared" si="0"/>
        <v>100</v>
      </c>
      <c r="T14" s="1507" t="s">
        <v>1664</v>
      </c>
      <c r="U14" s="1508">
        <f t="shared" si="1"/>
        <v>100</v>
      </c>
      <c r="V14" s="1507" t="s">
        <v>1664</v>
      </c>
      <c r="W14" s="1508">
        <f t="shared" si="2"/>
        <v>100</v>
      </c>
      <c r="X14" s="1509"/>
      <c r="Y14" s="3342"/>
      <c r="Z14" s="1518">
        <f t="shared" si="7"/>
        <v>111</v>
      </c>
      <c r="AA14" s="1518">
        <f t="shared" si="3"/>
        <v>1</v>
      </c>
      <c r="AB14" s="1518">
        <f t="shared" si="4"/>
        <v>1</v>
      </c>
      <c r="AC14" s="1518">
        <f t="shared" si="5"/>
        <v>1</v>
      </c>
    </row>
    <row r="15" spans="1:29" ht="15">
      <c r="A15" s="1350" t="s">
        <v>1676</v>
      </c>
      <c r="B15" s="1624" t="s">
        <v>2239</v>
      </c>
      <c r="C15" s="1352">
        <f>估价对象房地状况!G3</f>
        <v>0</v>
      </c>
      <c r="D15" s="1353">
        <v>100</v>
      </c>
      <c r="E15" s="1354"/>
      <c r="F15" s="1672">
        <f>SUMIF(70:70,E16,71:71)-SUMIF(70:70,C16,71:71)+100</f>
        <v>100</v>
      </c>
      <c r="G15" s="1475"/>
      <c r="H15" s="1353">
        <f>SUMIF(70:70,G16,71:71)-SUMIF(70:70,C16,71:71)+100</f>
        <v>100</v>
      </c>
      <c r="I15" s="1354"/>
      <c r="J15" s="1353">
        <f>SUMIF(70:70,I16,71:71)-SUMIF(70:70,C16,71:71)+100</f>
        <v>100</v>
      </c>
      <c r="K15" s="1697"/>
      <c r="L15" s="1781"/>
      <c r="M15" s="1443"/>
      <c r="N15" s="1443"/>
      <c r="O15" s="1780"/>
      <c r="P15" s="3460" t="s">
        <v>1678</v>
      </c>
      <c r="Q15" s="625" t="str">
        <f t="shared" si="6"/>
        <v>产业集聚程度</v>
      </c>
      <c r="R15" s="1511" t="s">
        <v>1664</v>
      </c>
      <c r="S15" s="1512">
        <f t="shared" si="0"/>
        <v>100</v>
      </c>
      <c r="T15" s="1511" t="s">
        <v>1664</v>
      </c>
      <c r="U15" s="1512">
        <f t="shared" si="1"/>
        <v>100</v>
      </c>
      <c r="V15" s="1511" t="s">
        <v>1664</v>
      </c>
      <c r="W15" s="1512">
        <f t="shared" si="2"/>
        <v>100</v>
      </c>
      <c r="X15" s="1506"/>
      <c r="Y15" s="3460" t="s">
        <v>1678</v>
      </c>
      <c r="Z15" s="1495" t="str">
        <f t="shared" si="7"/>
        <v>产业集聚程度</v>
      </c>
      <c r="AA15" s="1495">
        <f t="shared" si="3"/>
        <v>1</v>
      </c>
      <c r="AB15" s="1495">
        <f t="shared" si="4"/>
        <v>1</v>
      </c>
      <c r="AC15" s="1495">
        <f t="shared" si="5"/>
        <v>1</v>
      </c>
    </row>
    <row r="16" spans="1:29" ht="15">
      <c r="A16" s="1337"/>
      <c r="B16" s="1448"/>
      <c r="C16" s="1356"/>
      <c r="D16" s="1357"/>
      <c r="E16" s="1356"/>
      <c r="F16" s="1461"/>
      <c r="G16" s="1356"/>
      <c r="H16" s="1359"/>
      <c r="I16" s="1356"/>
      <c r="J16" s="1357"/>
      <c r="K16" s="1698"/>
      <c r="L16" s="1781"/>
      <c r="M16" s="1443"/>
      <c r="N16" s="1443"/>
      <c r="O16" s="1780"/>
      <c r="P16" s="3461"/>
      <c r="Q16" s="625"/>
      <c r="R16" s="1511"/>
      <c r="S16" s="1512"/>
      <c r="T16" s="1511"/>
      <c r="U16" s="1512"/>
      <c r="V16" s="1511"/>
      <c r="W16" s="1512"/>
      <c r="X16" s="1506"/>
      <c r="Y16" s="3461"/>
      <c r="Z16" s="1495"/>
      <c r="AA16" s="1495">
        <v>1</v>
      </c>
      <c r="AB16" s="1495">
        <v>1</v>
      </c>
      <c r="AC16" s="1495">
        <v>1</v>
      </c>
    </row>
    <row r="17" spans="1:29" ht="15">
      <c r="A17" s="1337"/>
      <c r="B17" s="1626" t="s">
        <v>1682</v>
      </c>
      <c r="C17" s="1361">
        <f>估价对象房地状况!G4</f>
        <v>0</v>
      </c>
      <c r="D17" s="1359">
        <v>100</v>
      </c>
      <c r="E17" s="1362"/>
      <c r="F17" s="1460">
        <f>SUMIF(72:72,E18,73:73)-SUMIF(72:72,C18,73:73)+100</f>
        <v>100</v>
      </c>
      <c r="G17" s="1477"/>
      <c r="H17" s="1363">
        <f>SUMIF(72:72,G18,73:73)-SUMIF(72:72,C18,73:73)+100</f>
        <v>100</v>
      </c>
      <c r="I17" s="1362"/>
      <c r="J17" s="1363">
        <f>SUMIF(72:72,I18,73:73)-SUMIF(72:72,C18,73:73)+100</f>
        <v>100</v>
      </c>
      <c r="K17" s="1697"/>
      <c r="L17" s="1781"/>
      <c r="M17" s="1443"/>
      <c r="N17" s="1443"/>
      <c r="O17" s="1780"/>
      <c r="P17" s="3461"/>
      <c r="Q17" s="625" t="str">
        <f>B17</f>
        <v>交通便捷度</v>
      </c>
      <c r="R17" s="1511" t="s">
        <v>1664</v>
      </c>
      <c r="S17" s="1512">
        <f>F17</f>
        <v>100</v>
      </c>
      <c r="T17" s="1511" t="s">
        <v>1664</v>
      </c>
      <c r="U17" s="1512">
        <f>H17</f>
        <v>100</v>
      </c>
      <c r="V17" s="1511" t="s">
        <v>1664</v>
      </c>
      <c r="W17" s="1512">
        <f>J17</f>
        <v>100</v>
      </c>
      <c r="X17" s="1506"/>
      <c r="Y17" s="3461"/>
      <c r="Z17" s="1495" t="str">
        <f>Q17</f>
        <v>交通便捷度</v>
      </c>
      <c r="AA17" s="1495">
        <f t="shared" si="3"/>
        <v>1</v>
      </c>
      <c r="AB17" s="1495">
        <f t="shared" si="4"/>
        <v>1</v>
      </c>
      <c r="AC17" s="1495">
        <f t="shared" si="5"/>
        <v>1</v>
      </c>
    </row>
    <row r="18" spans="1:29" ht="15">
      <c r="A18" s="1337"/>
      <c r="B18" s="1383"/>
      <c r="C18" s="1627"/>
      <c r="D18" s="1359"/>
      <c r="E18" s="1628"/>
      <c r="F18" s="1460"/>
      <c r="G18" s="1635"/>
      <c r="H18" s="1357"/>
      <c r="I18" s="1628"/>
      <c r="J18" s="1357"/>
      <c r="K18" s="1698"/>
      <c r="L18" s="1781"/>
      <c r="M18" s="1443"/>
      <c r="N18" s="1443"/>
      <c r="O18" s="1780"/>
      <c r="P18" s="3461"/>
      <c r="Q18" s="625"/>
      <c r="R18" s="1511"/>
      <c r="S18" s="1512"/>
      <c r="T18" s="1511"/>
      <c r="U18" s="1512"/>
      <c r="V18" s="1511"/>
      <c r="W18" s="1512"/>
      <c r="X18" s="1506"/>
      <c r="Y18" s="3461"/>
      <c r="Z18" s="1495"/>
      <c r="AA18" s="1495">
        <v>1</v>
      </c>
      <c r="AB18" s="1495">
        <v>1</v>
      </c>
      <c r="AC18" s="1495">
        <v>1</v>
      </c>
    </row>
    <row r="19" spans="1:29" ht="15">
      <c r="A19" s="1337"/>
      <c r="B19" s="1626" t="s">
        <v>1683</v>
      </c>
      <c r="C19" s="1361">
        <f>估价对象房地状况!G5</f>
        <v>0</v>
      </c>
      <c r="D19" s="1363">
        <v>100</v>
      </c>
      <c r="E19" s="1629"/>
      <c r="F19" s="1459">
        <f>SUMIF(74:74,E20,75:75)-SUMIF(74:74,C20,75:75)+100</f>
        <v>100</v>
      </c>
      <c r="G19" s="1636"/>
      <c r="H19" s="1359">
        <f>SUMIF(74:74,G20,75:75)-SUMIF(74:74,C20,75:75)+100</f>
        <v>100</v>
      </c>
      <c r="I19" s="1629"/>
      <c r="J19" s="1359">
        <f>SUMIF(74:74,I20,75:75)-SUMIF(74:74,C20,75:75)+100</f>
        <v>100</v>
      </c>
      <c r="K19" s="1697"/>
      <c r="L19" s="1781"/>
      <c r="M19" s="1443"/>
      <c r="N19" s="1443"/>
      <c r="O19" s="1780"/>
      <c r="P19" s="3461"/>
      <c r="Q19" s="625" t="str">
        <f>B19</f>
        <v>公共配套设施</v>
      </c>
      <c r="R19" s="1511" t="s">
        <v>1664</v>
      </c>
      <c r="S19" s="1512">
        <f>F19</f>
        <v>100</v>
      </c>
      <c r="T19" s="1511" t="s">
        <v>1664</v>
      </c>
      <c r="U19" s="1512">
        <f>H19</f>
        <v>100</v>
      </c>
      <c r="V19" s="1511" t="s">
        <v>1664</v>
      </c>
      <c r="W19" s="1512">
        <f>J19</f>
        <v>100</v>
      </c>
      <c r="X19" s="1506"/>
      <c r="Y19" s="3461"/>
      <c r="Z19" s="1495" t="str">
        <f>Q19</f>
        <v>公共配套设施</v>
      </c>
      <c r="AA19" s="1495">
        <f t="shared" si="3"/>
        <v>1</v>
      </c>
      <c r="AB19" s="1495">
        <f t="shared" si="4"/>
        <v>1</v>
      </c>
      <c r="AC19" s="1495">
        <f t="shared" si="5"/>
        <v>1</v>
      </c>
    </row>
    <row r="20" spans="1:29" ht="15">
      <c r="A20" s="1337"/>
      <c r="B20" s="1383"/>
      <c r="C20" s="1356"/>
      <c r="D20" s="1357"/>
      <c r="E20" s="1365"/>
      <c r="F20" s="1461"/>
      <c r="G20" s="1478"/>
      <c r="H20" s="1357"/>
      <c r="I20" s="1365"/>
      <c r="J20" s="1357"/>
      <c r="K20" s="1698"/>
      <c r="L20" s="1781"/>
      <c r="M20" s="1443"/>
      <c r="N20" s="1443"/>
      <c r="O20" s="1780"/>
      <c r="P20" s="3461"/>
      <c r="Q20" s="625"/>
      <c r="R20" s="1511"/>
      <c r="S20" s="1512"/>
      <c r="T20" s="1511"/>
      <c r="U20" s="1512"/>
      <c r="V20" s="1511"/>
      <c r="W20" s="1512"/>
      <c r="X20" s="1506"/>
      <c r="Y20" s="3461"/>
      <c r="Z20" s="1495"/>
      <c r="AA20" s="1495">
        <v>1</v>
      </c>
      <c r="AB20" s="1495">
        <v>1</v>
      </c>
      <c r="AC20" s="1495">
        <v>1</v>
      </c>
    </row>
    <row r="21" spans="1:29" ht="15">
      <c r="A21" s="1337"/>
      <c r="B21" s="1630" t="s">
        <v>1684</v>
      </c>
      <c r="C21" s="1361">
        <f>估价对象房地状况!G6</f>
        <v>0</v>
      </c>
      <c r="D21" s="1359">
        <v>100</v>
      </c>
      <c r="E21" s="1629"/>
      <c r="F21" s="1459">
        <f>SUMIF(76:76,E22,77:77)-SUMIF(76:76,C22,77:77)+100</f>
        <v>100</v>
      </c>
      <c r="G21" s="1636"/>
      <c r="H21" s="1359">
        <f>SUMIF(76:76,G22,77:77)-SUMIF(76:76,C22,77:77)+100</f>
        <v>100</v>
      </c>
      <c r="I21" s="1629"/>
      <c r="J21" s="1359">
        <f>SUMIF(76:76,I22,77:77)-SUMIF(76:76,C22,77:77)+100</f>
        <v>100</v>
      </c>
      <c r="K21" s="1697"/>
      <c r="L21" s="1781"/>
      <c r="M21" s="1443"/>
      <c r="N21" s="1443"/>
      <c r="O21" s="1780"/>
      <c r="P21" s="3461"/>
      <c r="Q21" s="625" t="str">
        <f>B21</f>
        <v>基础设施水平</v>
      </c>
      <c r="R21" s="1511" t="s">
        <v>1664</v>
      </c>
      <c r="S21" s="1512">
        <f>F21</f>
        <v>100</v>
      </c>
      <c r="T21" s="1511" t="s">
        <v>1664</v>
      </c>
      <c r="U21" s="1512">
        <f>H21</f>
        <v>100</v>
      </c>
      <c r="V21" s="1511" t="s">
        <v>1664</v>
      </c>
      <c r="W21" s="1512">
        <f>J21</f>
        <v>100</v>
      </c>
      <c r="X21" s="1506"/>
      <c r="Y21" s="3461"/>
      <c r="Z21" s="1495" t="str">
        <f>Q21</f>
        <v>基础设施水平</v>
      </c>
      <c r="AA21" s="1495">
        <f t="shared" ref="AA21" si="8">D21/F21</f>
        <v>1</v>
      </c>
      <c r="AB21" s="1495">
        <f t="shared" ref="AB21" si="9">D21/H21</f>
        <v>1</v>
      </c>
      <c r="AC21" s="1495">
        <f t="shared" ref="AC21" si="10">D21/J21</f>
        <v>1</v>
      </c>
    </row>
    <row r="22" spans="1:29" ht="15">
      <c r="A22" s="1337"/>
      <c r="B22" s="1630"/>
      <c r="C22" s="1627"/>
      <c r="D22" s="1357"/>
      <c r="E22" s="1356"/>
      <c r="F22" s="1461"/>
      <c r="G22" s="1356"/>
      <c r="H22" s="1357"/>
      <c r="I22" s="1356"/>
      <c r="J22" s="1357"/>
      <c r="K22" s="1699"/>
      <c r="L22" s="1781"/>
      <c r="M22" s="1443"/>
      <c r="N22" s="1443"/>
      <c r="O22" s="1780"/>
      <c r="P22" s="3461"/>
      <c r="Q22" s="625"/>
      <c r="R22" s="1511"/>
      <c r="S22" s="1512"/>
      <c r="T22" s="1511"/>
      <c r="U22" s="1512"/>
      <c r="V22" s="1511"/>
      <c r="W22" s="1512"/>
      <c r="X22" s="1506"/>
      <c r="Y22" s="3461"/>
      <c r="Z22" s="1495"/>
      <c r="AA22" s="1495">
        <v>1</v>
      </c>
      <c r="AB22" s="1495">
        <v>1</v>
      </c>
      <c r="AC22" s="1495">
        <v>1</v>
      </c>
    </row>
    <row r="23" spans="1:29" ht="15">
      <c r="A23" s="1337"/>
      <c r="B23" s="1626" t="s">
        <v>1685</v>
      </c>
      <c r="C23" s="1361">
        <f>估价对象房地状况!G7</f>
        <v>0</v>
      </c>
      <c r="D23" s="1359">
        <v>100</v>
      </c>
      <c r="E23" s="1362"/>
      <c r="F23" s="1460">
        <f>SUMIF(78:78,E24,79:79)-SUMIF(78:78,C24,79:79)+100</f>
        <v>100</v>
      </c>
      <c r="G23" s="1477"/>
      <c r="H23" s="1359">
        <f>SUMIF(78:78,G24,79:79)-SUMIF(78:78,C24,79:79)+100</f>
        <v>100</v>
      </c>
      <c r="I23" s="1362"/>
      <c r="J23" s="1359">
        <f>SUMIF(78:78,I24,79:79)-SUMIF(78:78,C24,79:79)+100</f>
        <v>100</v>
      </c>
      <c r="K23" s="1697"/>
      <c r="L23" s="1781"/>
      <c r="M23" s="1443"/>
      <c r="N23" s="1443"/>
      <c r="O23" s="1780"/>
      <c r="P23" s="3461"/>
      <c r="Q23" s="625" t="str">
        <f>B23</f>
        <v>环境质量</v>
      </c>
      <c r="R23" s="1511" t="s">
        <v>1664</v>
      </c>
      <c r="S23" s="1512">
        <f>F23</f>
        <v>100</v>
      </c>
      <c r="T23" s="1511" t="s">
        <v>1664</v>
      </c>
      <c r="U23" s="1512">
        <f>H23</f>
        <v>100</v>
      </c>
      <c r="V23" s="1511" t="s">
        <v>1664</v>
      </c>
      <c r="W23" s="1512">
        <f>J23</f>
        <v>100</v>
      </c>
      <c r="X23" s="1506"/>
      <c r="Y23" s="3461"/>
      <c r="Z23" s="1495" t="str">
        <f>Q23</f>
        <v>环境质量</v>
      </c>
      <c r="AA23" s="1495">
        <f t="shared" si="3"/>
        <v>1</v>
      </c>
      <c r="AB23" s="1495">
        <f t="shared" si="4"/>
        <v>1</v>
      </c>
      <c r="AC23" s="1495">
        <f t="shared" si="5"/>
        <v>1</v>
      </c>
    </row>
    <row r="24" spans="1:29" ht="15">
      <c r="A24" s="1337"/>
      <c r="B24" s="1630"/>
      <c r="C24" s="1356"/>
      <c r="D24" s="1357"/>
      <c r="E24" s="1365"/>
      <c r="F24" s="1461"/>
      <c r="G24" s="1478"/>
      <c r="H24" s="1357"/>
      <c r="I24" s="1365"/>
      <c r="J24" s="1357"/>
      <c r="K24" s="1698"/>
      <c r="L24" s="1781"/>
      <c r="M24" s="1443"/>
      <c r="N24" s="1443"/>
      <c r="O24" s="1780"/>
      <c r="P24" s="3461"/>
      <c r="Q24" s="625"/>
      <c r="R24" s="1511"/>
      <c r="S24" s="1512"/>
      <c r="T24" s="1511"/>
      <c r="U24" s="1512"/>
      <c r="V24" s="1511"/>
      <c r="W24" s="1512"/>
      <c r="X24" s="1506"/>
      <c r="Y24" s="3461"/>
      <c r="Z24" s="1495"/>
      <c r="AA24" s="1495">
        <v>1</v>
      </c>
      <c r="AB24" s="1495">
        <v>1</v>
      </c>
      <c r="AC24" s="1495">
        <v>1</v>
      </c>
    </row>
    <row r="25" spans="1:29" ht="15">
      <c r="A25" s="1316"/>
      <c r="B25" s="1569">
        <v>111</v>
      </c>
      <c r="C25" s="1345">
        <v>111</v>
      </c>
      <c r="D25" s="759">
        <v>100</v>
      </c>
      <c r="E25" s="1345"/>
      <c r="F25" s="1490">
        <f>SUMIF(80:80,E25,81:81)-SUMIF(80:80,C25,81:81)+100</f>
        <v>100</v>
      </c>
      <c r="G25" s="1345"/>
      <c r="H25" s="759">
        <f>SUMIF(80:80,G25,81:81)-SUMIF(80:80,C25,81:81)+100</f>
        <v>100</v>
      </c>
      <c r="I25" s="1345"/>
      <c r="J25" s="759">
        <f>SUMIF(80:80,I25,81:81)-SUMIF(80:80,C25,81:81)+100</f>
        <v>100</v>
      </c>
      <c r="K25" s="1480"/>
      <c r="L25" s="1781"/>
      <c r="M25" s="1443"/>
      <c r="N25" s="1443"/>
      <c r="O25" s="1780"/>
      <c r="P25" s="3461"/>
      <c r="Q25" s="625">
        <f>B25</f>
        <v>111</v>
      </c>
      <c r="R25" s="1511" t="s">
        <v>1664</v>
      </c>
      <c r="S25" s="1512">
        <f>F25</f>
        <v>100</v>
      </c>
      <c r="T25" s="1511" t="s">
        <v>1664</v>
      </c>
      <c r="U25" s="1512">
        <f>H25</f>
        <v>100</v>
      </c>
      <c r="V25" s="1511" t="s">
        <v>1664</v>
      </c>
      <c r="W25" s="1512">
        <f>J25</f>
        <v>100</v>
      </c>
      <c r="X25" s="1506"/>
      <c r="Y25" s="3461"/>
      <c r="Z25" s="1495">
        <f>Q25</f>
        <v>111</v>
      </c>
      <c r="AA25" s="1495">
        <f t="shared" si="3"/>
        <v>1</v>
      </c>
      <c r="AB25" s="1495">
        <f t="shared" si="4"/>
        <v>1</v>
      </c>
      <c r="AC25" s="1495">
        <f t="shared" si="5"/>
        <v>1</v>
      </c>
    </row>
    <row r="26" spans="1:29" ht="15">
      <c r="A26" s="1337"/>
      <c r="B26" s="1569">
        <v>111</v>
      </c>
      <c r="C26" s="1345">
        <v>111</v>
      </c>
      <c r="D26" s="759">
        <v>100</v>
      </c>
      <c r="E26" s="1345"/>
      <c r="F26" s="1490">
        <f>SUMIF(82:82,E26,83:83)-SUMIF(82:82,C26,83:83)+100</f>
        <v>100</v>
      </c>
      <c r="G26" s="1345"/>
      <c r="H26" s="759">
        <f>SUMIF(82:82,G26,83:83)-SUMIF(82:82,C26,83:83)+100</f>
        <v>100</v>
      </c>
      <c r="I26" s="1345"/>
      <c r="J26" s="759">
        <f>SUMIF(82:82,I26,83:83)-SUMIF(82:82,C26,83:83)+100</f>
        <v>100</v>
      </c>
      <c r="K26" s="1480"/>
      <c r="L26" s="1781"/>
      <c r="M26" s="1443"/>
      <c r="N26" s="1443"/>
      <c r="O26" s="1780"/>
      <c r="P26" s="3461"/>
      <c r="Q26" s="625">
        <f t="shared" ref="Q26:Q40" si="11">B26</f>
        <v>111</v>
      </c>
      <c r="R26" s="1511" t="s">
        <v>1664</v>
      </c>
      <c r="S26" s="1512">
        <f>F26</f>
        <v>100</v>
      </c>
      <c r="T26" s="1511" t="s">
        <v>1664</v>
      </c>
      <c r="U26" s="1512">
        <f>H26</f>
        <v>100</v>
      </c>
      <c r="V26" s="1511" t="s">
        <v>1664</v>
      </c>
      <c r="W26" s="1512">
        <f>J26</f>
        <v>100</v>
      </c>
      <c r="X26" s="1506"/>
      <c r="Y26" s="3461"/>
      <c r="Z26" s="1495">
        <f>Q26</f>
        <v>111</v>
      </c>
      <c r="AA26" s="1495">
        <f t="shared" si="3"/>
        <v>1</v>
      </c>
      <c r="AB26" s="1495">
        <f t="shared" si="4"/>
        <v>1</v>
      </c>
      <c r="AC26" s="1495">
        <f t="shared" si="5"/>
        <v>1</v>
      </c>
    </row>
    <row r="27" spans="1:29" s="1293" customFormat="1" ht="15">
      <c r="A27" s="1340"/>
      <c r="B27" s="1569">
        <v>111</v>
      </c>
      <c r="C27" s="1345">
        <v>111</v>
      </c>
      <c r="D27" s="1364">
        <v>100</v>
      </c>
      <c r="E27" s="1345"/>
      <c r="F27" s="1383">
        <f>SUMIF(84:84,E27,85:85)-SUMIF(84:84,C27,85:85)+100</f>
        <v>100</v>
      </c>
      <c r="G27" s="1345"/>
      <c r="H27" s="1364">
        <f>SUMIF(84:84,G27,85:85)-SUMIF(84:84,C27,85:85)+100</f>
        <v>100</v>
      </c>
      <c r="I27" s="1345"/>
      <c r="J27" s="1364">
        <f>SUMIF(84:84,I27,85:85)-SUMIF(84:84,C27,85:85)+100</f>
        <v>100</v>
      </c>
      <c r="K27" s="1480"/>
      <c r="L27" s="1773"/>
      <c r="M27" s="1774"/>
      <c r="N27" s="1774"/>
      <c r="O27" s="1775"/>
      <c r="P27" s="3461"/>
      <c r="Q27" s="794">
        <f t="shared" si="11"/>
        <v>111</v>
      </c>
      <c r="R27" s="1507" t="s">
        <v>1664</v>
      </c>
      <c r="S27" s="1508">
        <f>F27</f>
        <v>100</v>
      </c>
      <c r="T27" s="1507" t="s">
        <v>1664</v>
      </c>
      <c r="U27" s="1508">
        <f>H27</f>
        <v>100</v>
      </c>
      <c r="V27" s="1507" t="s">
        <v>1664</v>
      </c>
      <c r="W27" s="1508">
        <f>J27</f>
        <v>100</v>
      </c>
      <c r="X27" s="1509"/>
      <c r="Y27" s="3461"/>
      <c r="Z27" s="1518">
        <f>Q27</f>
        <v>111</v>
      </c>
      <c r="AA27" s="1495">
        <f t="shared" si="3"/>
        <v>1</v>
      </c>
      <c r="AB27" s="1495">
        <f t="shared" si="4"/>
        <v>1</v>
      </c>
      <c r="AC27" s="1495">
        <f t="shared" si="5"/>
        <v>1</v>
      </c>
    </row>
    <row r="28" spans="1:29" ht="15">
      <c r="A28" s="1346"/>
      <c r="B28" s="1569">
        <v>111</v>
      </c>
      <c r="C28" s="1348">
        <v>111</v>
      </c>
      <c r="D28" s="1349">
        <v>100</v>
      </c>
      <c r="E28" s="1345"/>
      <c r="F28" s="1682">
        <f>SUMIF(86:86,E28,87:87)-SUMIF(86:86,C28,87:87)+100</f>
        <v>100</v>
      </c>
      <c r="G28" s="1670"/>
      <c r="H28" s="1349">
        <f>SUMIF(86:86,G28,87:87)-SUMIF(86:86,C28,87:87)+100</f>
        <v>100</v>
      </c>
      <c r="I28" s="1670"/>
      <c r="J28" s="1349">
        <f>SUMIF(86:86,I28,87:87)-SUMIF(86:86,C28,87:87)+100</f>
        <v>100</v>
      </c>
      <c r="K28" s="1480"/>
      <c r="L28" s="1781"/>
      <c r="M28" s="1443"/>
      <c r="N28" s="1443"/>
      <c r="O28" s="1780"/>
      <c r="P28" s="3461"/>
      <c r="Q28" s="625">
        <f t="shared" si="11"/>
        <v>111</v>
      </c>
      <c r="R28" s="1511" t="s">
        <v>1664</v>
      </c>
      <c r="S28" s="1512">
        <f t="shared" ref="S28:S40" si="12">F28</f>
        <v>100</v>
      </c>
      <c r="T28" s="1511" t="s">
        <v>1664</v>
      </c>
      <c r="U28" s="1512">
        <f t="shared" ref="U28:U40" si="13">H28</f>
        <v>100</v>
      </c>
      <c r="V28" s="1511" t="s">
        <v>1664</v>
      </c>
      <c r="W28" s="1512">
        <f t="shared" ref="W28:W40" si="14">J28</f>
        <v>100</v>
      </c>
      <c r="X28" s="1506"/>
      <c r="Y28" s="3461"/>
      <c r="Z28" s="1495">
        <f t="shared" ref="Z28:Z40" si="15">Q28</f>
        <v>111</v>
      </c>
      <c r="AA28" s="1495">
        <f t="shared" si="3"/>
        <v>1</v>
      </c>
      <c r="AB28" s="1495">
        <f t="shared" si="4"/>
        <v>1</v>
      </c>
      <c r="AC28" s="1495">
        <f t="shared" si="5"/>
        <v>1</v>
      </c>
    </row>
    <row r="29" spans="1:29" ht="28.5">
      <c r="A29" s="1674" t="s">
        <v>1691</v>
      </c>
      <c r="B29" s="1330" t="s">
        <v>1692</v>
      </c>
      <c r="C29" s="1675"/>
      <c r="D29" s="1314">
        <v>100</v>
      </c>
      <c r="E29" s="1675"/>
      <c r="F29" s="1490">
        <f>SUMIF(88:88,E29,89:89)-SUMIF(88:88,C29,89:89)+100</f>
        <v>100</v>
      </c>
      <c r="G29" s="1675"/>
      <c r="H29" s="759">
        <f>SUMIF(88:88,G29,89:89)-SUMIF(88:88,C29,89:89)+100</f>
        <v>100</v>
      </c>
      <c r="I29" s="1675"/>
      <c r="J29" s="1314">
        <f>SUMIF(88:88,I29,89:89)-SUMIF(88:88,C29,89:89)+100</f>
        <v>100</v>
      </c>
      <c r="K29" s="1481"/>
      <c r="L29" s="1781"/>
      <c r="M29" s="1443"/>
      <c r="N29" s="1443"/>
      <c r="O29" s="1780"/>
      <c r="P29" s="3517" t="s">
        <v>1694</v>
      </c>
      <c r="Q29" s="625" t="str">
        <f t="shared" si="11"/>
        <v>建筑类型</v>
      </c>
      <c r="R29" s="1511" t="s">
        <v>1664</v>
      </c>
      <c r="S29" s="1512">
        <f t="shared" si="12"/>
        <v>100</v>
      </c>
      <c r="T29" s="1511" t="s">
        <v>1664</v>
      </c>
      <c r="U29" s="1512">
        <f t="shared" si="13"/>
        <v>100</v>
      </c>
      <c r="V29" s="1511" t="s">
        <v>1664</v>
      </c>
      <c r="W29" s="1512">
        <f t="shared" si="14"/>
        <v>100</v>
      </c>
      <c r="X29" s="1506"/>
      <c r="Y29" s="3462" t="s">
        <v>1694</v>
      </c>
      <c r="Z29" s="1495" t="str">
        <f t="shared" si="15"/>
        <v>建筑类型</v>
      </c>
      <c r="AA29" s="1495">
        <f t="shared" si="3"/>
        <v>1</v>
      </c>
      <c r="AB29" s="1495">
        <f t="shared" si="4"/>
        <v>1</v>
      </c>
      <c r="AC29" s="1495">
        <f t="shared" si="5"/>
        <v>1</v>
      </c>
    </row>
    <row r="30" spans="1:29" s="1295" customFormat="1" ht="15">
      <c r="A30" s="1390"/>
      <c r="B30" s="1334" t="s">
        <v>1695</v>
      </c>
      <c r="C30" s="1670"/>
      <c r="D30" s="1336">
        <v>100</v>
      </c>
      <c r="E30" s="1339"/>
      <c r="F30" s="1334" t="e">
        <f>LOOKUP(E30,91:91,92:92)-LOOKUP(C30,91:91,92:92)+100</f>
        <v>#N/A</v>
      </c>
      <c r="G30" s="1338"/>
      <c r="H30" s="1336" t="e">
        <f>LOOKUP(G30,91:91,92:92)-LOOKUP(C30,91:91,92:92)+100</f>
        <v>#N/A</v>
      </c>
      <c r="I30" s="1338"/>
      <c r="J30" s="1336" t="e">
        <f>LOOKUP(I30,91:91,92:92)-LOOKUP(C30,91:91,92:92)+100</f>
        <v>#N/A</v>
      </c>
      <c r="K30" s="1480"/>
      <c r="L30" s="1779"/>
      <c r="M30" s="1782"/>
      <c r="N30" s="1782"/>
      <c r="O30" s="1783"/>
      <c r="P30" s="3462"/>
      <c r="Q30" s="1700" t="str">
        <f t="shared" si="11"/>
        <v>项目建筑规模</v>
      </c>
      <c r="R30" s="1513" t="s">
        <v>1664</v>
      </c>
      <c r="S30" s="1514" t="e">
        <f t="shared" si="12"/>
        <v>#N/A</v>
      </c>
      <c r="T30" s="1513" t="s">
        <v>1664</v>
      </c>
      <c r="U30" s="1514" t="e">
        <f t="shared" si="13"/>
        <v>#N/A</v>
      </c>
      <c r="V30" s="1513" t="s">
        <v>1664</v>
      </c>
      <c r="W30" s="1514" t="e">
        <f t="shared" si="14"/>
        <v>#N/A</v>
      </c>
      <c r="X30" s="1515"/>
      <c r="Y30" s="3462"/>
      <c r="Z30" s="1519" t="str">
        <f t="shared" si="15"/>
        <v>项目建筑规模</v>
      </c>
      <c r="AA30" s="1495" t="e">
        <f t="shared" si="3"/>
        <v>#N/A</v>
      </c>
      <c r="AB30" s="1495" t="e">
        <f t="shared" si="4"/>
        <v>#N/A</v>
      </c>
      <c r="AC30" s="1495" t="e">
        <f t="shared" si="5"/>
        <v>#N/A</v>
      </c>
    </row>
    <row r="31" spans="1:29" ht="15">
      <c r="A31" s="1385"/>
      <c r="B31" s="1334" t="s">
        <v>1696</v>
      </c>
      <c r="C31" s="1679"/>
      <c r="D31" s="759">
        <v>100</v>
      </c>
      <c r="E31" s="1679"/>
      <c r="F31" s="1490">
        <f>SUMIF(93:93,E31,94:94)-SUMIF(93:93,C31,94:94)+100</f>
        <v>100</v>
      </c>
      <c r="G31" s="1679"/>
      <c r="H31" s="759">
        <f>SUMIF(93:93,G31,94:94)-SUMIF(93:93,C31,94:94)+100</f>
        <v>100</v>
      </c>
      <c r="I31" s="1679"/>
      <c r="J31" s="759">
        <f>SUMIF(93:93,I31,94:94)-SUMIF(93:93,C31,94:94)+100</f>
        <v>100</v>
      </c>
      <c r="K31" s="1481"/>
      <c r="L31" s="1781"/>
      <c r="M31" s="1443"/>
      <c r="N31" s="1443"/>
      <c r="O31" s="1780"/>
      <c r="P31" s="3462"/>
      <c r="Q31" s="625" t="str">
        <f t="shared" si="11"/>
        <v>建筑结构</v>
      </c>
      <c r="R31" s="1511" t="s">
        <v>1664</v>
      </c>
      <c r="S31" s="1512">
        <f t="shared" si="12"/>
        <v>100</v>
      </c>
      <c r="T31" s="1511" t="s">
        <v>1664</v>
      </c>
      <c r="U31" s="1512">
        <f t="shared" si="13"/>
        <v>100</v>
      </c>
      <c r="V31" s="1511" t="s">
        <v>1664</v>
      </c>
      <c r="W31" s="1512">
        <f t="shared" si="14"/>
        <v>100</v>
      </c>
      <c r="X31" s="1506"/>
      <c r="Y31" s="3462"/>
      <c r="Z31" s="1495" t="str">
        <f t="shared" si="15"/>
        <v>建筑结构</v>
      </c>
      <c r="AA31" s="1495">
        <f t="shared" si="3"/>
        <v>1</v>
      </c>
      <c r="AB31" s="1495">
        <f t="shared" si="4"/>
        <v>1</v>
      </c>
      <c r="AC31" s="1495">
        <f t="shared" si="5"/>
        <v>1</v>
      </c>
    </row>
    <row r="32" spans="1:29" ht="15">
      <c r="A32" s="1385"/>
      <c r="B32" s="1334" t="s">
        <v>1698</v>
      </c>
      <c r="C32" s="1679"/>
      <c r="D32" s="759">
        <v>100</v>
      </c>
      <c r="E32" s="1679"/>
      <c r="F32" s="1490">
        <f>SUMIF(95:95,E32,96:96)-SUMIF(95:95,C32,96:96)+100</f>
        <v>100</v>
      </c>
      <c r="G32" s="1679"/>
      <c r="H32" s="759">
        <f>SUMIF(95:95,G32,96:96)-SUMIF(95:95,C32,96:96)+100</f>
        <v>100</v>
      </c>
      <c r="I32" s="1679"/>
      <c r="J32" s="759">
        <f>SUMIF(95:95,I32,96:96)-SUMIF(95:95,C32,96:96)+100</f>
        <v>100</v>
      </c>
      <c r="K32" s="1481"/>
      <c r="L32" s="1781"/>
      <c r="M32" s="1443"/>
      <c r="N32" s="1443"/>
      <c r="O32" s="1780"/>
      <c r="P32" s="3462"/>
      <c r="Q32" s="625" t="str">
        <f t="shared" si="11"/>
        <v>公共部分装修</v>
      </c>
      <c r="R32" s="1511" t="s">
        <v>1664</v>
      </c>
      <c r="S32" s="1512">
        <f t="shared" si="12"/>
        <v>100</v>
      </c>
      <c r="T32" s="1511" t="s">
        <v>1664</v>
      </c>
      <c r="U32" s="1512">
        <f t="shared" si="13"/>
        <v>100</v>
      </c>
      <c r="V32" s="1511" t="s">
        <v>1664</v>
      </c>
      <c r="W32" s="1512">
        <f t="shared" si="14"/>
        <v>100</v>
      </c>
      <c r="X32" s="1506"/>
      <c r="Y32" s="3462"/>
      <c r="Z32" s="1495" t="str">
        <f t="shared" si="15"/>
        <v>公共部分装修</v>
      </c>
      <c r="AA32" s="1495">
        <f t="shared" si="3"/>
        <v>1</v>
      </c>
      <c r="AB32" s="1495">
        <f t="shared" si="4"/>
        <v>1</v>
      </c>
      <c r="AC32" s="1495">
        <f t="shared" si="5"/>
        <v>1</v>
      </c>
    </row>
    <row r="33" spans="1:29" ht="15">
      <c r="A33" s="1385"/>
      <c r="B33" s="1334" t="s">
        <v>687</v>
      </c>
      <c r="C33" s="1670"/>
      <c r="D33" s="759">
        <v>100</v>
      </c>
      <c r="E33" s="1676"/>
      <c r="F33" s="1490" t="e">
        <f>LOOKUP(E33,98:98,99:99)-LOOKUP(C33,98:98,99:99)+100</f>
        <v>#N/A</v>
      </c>
      <c r="G33" s="1676"/>
      <c r="H33" s="1490" t="e">
        <f>LOOKUP(G33,98:98,99:99)-LOOKUP(C33,98:98,99:99)+100</f>
        <v>#N/A</v>
      </c>
      <c r="I33" s="1676"/>
      <c r="J33" s="759" t="e">
        <f>LOOKUP(I33,98:98,99:99)-LOOKUP(C33,98:98,99:99)+100</f>
        <v>#N/A</v>
      </c>
      <c r="K33" s="1481"/>
      <c r="L33" s="1781"/>
      <c r="M33" s="1443"/>
      <c r="N33" s="1443"/>
      <c r="O33" s="1780"/>
      <c r="P33" s="3462"/>
      <c r="Q33" s="625" t="str">
        <f t="shared" si="11"/>
        <v>成新度</v>
      </c>
      <c r="R33" s="1511" t="s">
        <v>1664</v>
      </c>
      <c r="S33" s="1512" t="e">
        <f t="shared" si="12"/>
        <v>#N/A</v>
      </c>
      <c r="T33" s="1511" t="s">
        <v>1664</v>
      </c>
      <c r="U33" s="1512" t="e">
        <f t="shared" si="13"/>
        <v>#N/A</v>
      </c>
      <c r="V33" s="1511" t="s">
        <v>1664</v>
      </c>
      <c r="W33" s="1512" t="e">
        <f t="shared" si="14"/>
        <v>#N/A</v>
      </c>
      <c r="X33" s="1506"/>
      <c r="Y33" s="3462"/>
      <c r="Z33" s="1495" t="str">
        <f t="shared" si="15"/>
        <v>成新度</v>
      </c>
      <c r="AA33" s="1495" t="e">
        <f t="shared" si="3"/>
        <v>#N/A</v>
      </c>
      <c r="AB33" s="1495" t="e">
        <f t="shared" si="4"/>
        <v>#N/A</v>
      </c>
      <c r="AC33" s="1495" t="e">
        <f t="shared" si="5"/>
        <v>#N/A</v>
      </c>
    </row>
    <row r="34" spans="1:29" s="1293" customFormat="1" ht="15">
      <c r="A34" s="1387"/>
      <c r="B34" s="1334" t="s">
        <v>1702</v>
      </c>
      <c r="C34" s="1679"/>
      <c r="D34" s="1336">
        <v>100</v>
      </c>
      <c r="E34" s="1679"/>
      <c r="F34" s="1490">
        <f>SUMIF(100:100,E34,101:101)-SUMIF(100:100,C34,101:101)+100</f>
        <v>100</v>
      </c>
      <c r="G34" s="1679"/>
      <c r="H34" s="759">
        <f>SUMIF(100:100,G34,101:101)-SUMIF(100:100,C34,101:101)+100</f>
        <v>100</v>
      </c>
      <c r="I34" s="1679"/>
      <c r="J34" s="759">
        <f>SUMIF(100:100,I34,101:101)-SUMIF(100:100,C34,101:101)+100</f>
        <v>100</v>
      </c>
      <c r="K34" s="1481"/>
      <c r="L34" s="1773"/>
      <c r="M34" s="1774"/>
      <c r="N34" s="1774"/>
      <c r="O34" s="1775"/>
      <c r="P34" s="3462"/>
      <c r="Q34" s="794" t="str">
        <f t="shared" si="11"/>
        <v>物业管理</v>
      </c>
      <c r="R34" s="1507" t="s">
        <v>1664</v>
      </c>
      <c r="S34" s="1508">
        <f t="shared" si="12"/>
        <v>100</v>
      </c>
      <c r="T34" s="1507" t="s">
        <v>1664</v>
      </c>
      <c r="U34" s="1508">
        <f t="shared" si="13"/>
        <v>100</v>
      </c>
      <c r="V34" s="1507" t="s">
        <v>1664</v>
      </c>
      <c r="W34" s="1508">
        <f t="shared" si="14"/>
        <v>100</v>
      </c>
      <c r="X34" s="1509"/>
      <c r="Y34" s="3462"/>
      <c r="Z34" s="1518" t="str">
        <f t="shared" si="15"/>
        <v>物业管理</v>
      </c>
      <c r="AA34" s="1518">
        <f t="shared" si="3"/>
        <v>1</v>
      </c>
      <c r="AB34" s="1518">
        <f t="shared" si="4"/>
        <v>1</v>
      </c>
      <c r="AC34" s="1518">
        <f t="shared" si="5"/>
        <v>1</v>
      </c>
    </row>
    <row r="35" spans="1:29" ht="15">
      <c r="A35" s="1385"/>
      <c r="B35" s="1334" t="s">
        <v>1704</v>
      </c>
      <c r="C35" s="1679"/>
      <c r="D35" s="759">
        <v>100</v>
      </c>
      <c r="E35" s="1679"/>
      <c r="F35" s="1490">
        <f>SUMIF(102:102,E35,103:103)-SUMIF(102:102,C35,103:103)+100</f>
        <v>100</v>
      </c>
      <c r="G35" s="1679"/>
      <c r="H35" s="759">
        <f>SUMIF(102:102,G35,103:103)-SUMIF(102:102,C35,103:103)+100</f>
        <v>100</v>
      </c>
      <c r="I35" s="1679"/>
      <c r="J35" s="759">
        <f>SUMIF(102:102,I35,103:103)-SUMIF(102:102,C35,103:103)+100</f>
        <v>100</v>
      </c>
      <c r="K35" s="1481"/>
      <c r="L35" s="1781"/>
      <c r="M35" s="1443"/>
      <c r="N35" s="1443"/>
      <c r="O35" s="1780"/>
      <c r="P35" s="3462" t="s">
        <v>1694</v>
      </c>
      <c r="Q35" s="625" t="str">
        <f t="shared" si="11"/>
        <v>市政基础设施</v>
      </c>
      <c r="R35" s="1511" t="s">
        <v>1664</v>
      </c>
      <c r="S35" s="1512">
        <f t="shared" si="12"/>
        <v>100</v>
      </c>
      <c r="T35" s="1511" t="s">
        <v>1664</v>
      </c>
      <c r="U35" s="1512">
        <f t="shared" si="13"/>
        <v>100</v>
      </c>
      <c r="V35" s="1511" t="s">
        <v>1664</v>
      </c>
      <c r="W35" s="1512">
        <f t="shared" si="14"/>
        <v>100</v>
      </c>
      <c r="X35" s="1506"/>
      <c r="Y35" s="3462" t="s">
        <v>1694</v>
      </c>
      <c r="Z35" s="1495" t="str">
        <f t="shared" si="15"/>
        <v>市政基础设施</v>
      </c>
      <c r="AA35" s="1495">
        <f t="shared" si="3"/>
        <v>1</v>
      </c>
      <c r="AB35" s="1495">
        <f t="shared" si="4"/>
        <v>1</v>
      </c>
      <c r="AC35" s="1495">
        <f t="shared" si="5"/>
        <v>1</v>
      </c>
    </row>
    <row r="36" spans="1:29" ht="15">
      <c r="A36" s="1385"/>
      <c r="B36" s="1334" t="s">
        <v>1708</v>
      </c>
      <c r="C36" s="1679"/>
      <c r="D36" s="759">
        <v>100</v>
      </c>
      <c r="E36" s="1679"/>
      <c r="F36" s="1490">
        <f>SUMIF(104:104,E36,105:105)-SUMIF(104:104,C36,105:105)+100</f>
        <v>100</v>
      </c>
      <c r="G36" s="1679"/>
      <c r="H36" s="759">
        <f>SUMIF(104:104,G36,105:105)-SUMIF(104:104,C36,105:105)+100</f>
        <v>100</v>
      </c>
      <c r="I36" s="1679"/>
      <c r="J36" s="759">
        <f>SUMIF(104:104,I36,105:105)-SUMIF(104:104,C36,105:105)+100</f>
        <v>100</v>
      </c>
      <c r="K36" s="1481"/>
      <c r="L36" s="1781"/>
      <c r="M36" s="1443"/>
      <c r="N36" s="1443"/>
      <c r="O36" s="1780"/>
      <c r="P36" s="3462"/>
      <c r="Q36" s="625" t="str">
        <f t="shared" si="11"/>
        <v>内部装修</v>
      </c>
      <c r="R36" s="1511" t="s">
        <v>1664</v>
      </c>
      <c r="S36" s="1512">
        <f t="shared" si="12"/>
        <v>100</v>
      </c>
      <c r="T36" s="1511" t="s">
        <v>1664</v>
      </c>
      <c r="U36" s="1512">
        <f t="shared" si="13"/>
        <v>100</v>
      </c>
      <c r="V36" s="1511" t="s">
        <v>1664</v>
      </c>
      <c r="W36" s="1512">
        <f t="shared" si="14"/>
        <v>100</v>
      </c>
      <c r="X36" s="1506"/>
      <c r="Y36" s="3462"/>
      <c r="Z36" s="1495" t="str">
        <f t="shared" si="15"/>
        <v>内部装修</v>
      </c>
      <c r="AA36" s="1495">
        <f t="shared" si="3"/>
        <v>1</v>
      </c>
      <c r="AB36" s="1495">
        <f t="shared" si="4"/>
        <v>1</v>
      </c>
      <c r="AC36" s="1495">
        <f t="shared" si="5"/>
        <v>1</v>
      </c>
    </row>
    <row r="37" spans="1:29" ht="15">
      <c r="A37" s="1385"/>
      <c r="B37" s="1334" t="s">
        <v>2240</v>
      </c>
      <c r="C37" s="1370"/>
      <c r="D37" s="759">
        <v>100</v>
      </c>
      <c r="E37" s="1370"/>
      <c r="F37" s="1490">
        <f>SUMIF(106:106,E37,107:107)-SUMIF(106:106,C37,107:107)+100</f>
        <v>100</v>
      </c>
      <c r="G37" s="1370"/>
      <c r="H37" s="759">
        <f>SUMIF(106:106,G37,107:107)-SUMIF(106:106,C37,107:107)+100</f>
        <v>100</v>
      </c>
      <c r="I37" s="1370"/>
      <c r="J37" s="759">
        <f>SUMIF(106:106,I37,107:107)-SUMIF(106:106,C37,107:107)+100</f>
        <v>100</v>
      </c>
      <c r="K37" s="1481"/>
      <c r="L37" s="1781"/>
      <c r="M37" s="1443"/>
      <c r="N37" s="1443"/>
      <c r="O37" s="1780"/>
      <c r="P37" s="3462"/>
      <c r="Q37" s="625" t="str">
        <f t="shared" si="11"/>
        <v>内部装修状况</v>
      </c>
      <c r="R37" s="1511" t="s">
        <v>1664</v>
      </c>
      <c r="S37" s="1512">
        <f t="shared" si="12"/>
        <v>100</v>
      </c>
      <c r="T37" s="1511" t="s">
        <v>1664</v>
      </c>
      <c r="U37" s="1512">
        <f t="shared" si="13"/>
        <v>100</v>
      </c>
      <c r="V37" s="1511" t="s">
        <v>1664</v>
      </c>
      <c r="W37" s="1512">
        <f t="shared" si="14"/>
        <v>100</v>
      </c>
      <c r="X37" s="1506"/>
      <c r="Y37" s="3462"/>
      <c r="Z37" s="1495" t="str">
        <f t="shared" si="15"/>
        <v>内部装修状况</v>
      </c>
      <c r="AA37" s="1495">
        <f t="shared" si="3"/>
        <v>1</v>
      </c>
      <c r="AB37" s="1495">
        <f t="shared" si="4"/>
        <v>1</v>
      </c>
      <c r="AC37" s="1495">
        <f t="shared" si="5"/>
        <v>1</v>
      </c>
    </row>
    <row r="38" spans="1:29" s="1295" customFormat="1" ht="15">
      <c r="A38" s="1390"/>
      <c r="B38" s="1569">
        <v>111</v>
      </c>
      <c r="C38" s="1670"/>
      <c r="D38" s="759">
        <v>100</v>
      </c>
      <c r="E38" s="1345"/>
      <c r="F38" s="1490">
        <f>SUMIF(108:108,E38,109:109)-SUMIF(108:108,C38,109:109)+100</f>
        <v>100</v>
      </c>
      <c r="G38" s="1670"/>
      <c r="H38" s="759">
        <f>SUMIF(108:108,G38,109:109)-SUMIF(108:108,C38,109:109)+100</f>
        <v>100</v>
      </c>
      <c r="I38" s="1670"/>
      <c r="J38" s="759">
        <f>SUMIF(108:108,I38,109:1038)-SUMIF(108:108,C38,109:109)+100</f>
        <v>100</v>
      </c>
      <c r="K38" s="1480"/>
      <c r="L38" s="1779"/>
      <c r="M38" s="1782"/>
      <c r="N38" s="1782"/>
      <c r="O38" s="1783"/>
      <c r="P38" s="3462"/>
      <c r="Q38" s="1700">
        <f t="shared" si="11"/>
        <v>111</v>
      </c>
      <c r="R38" s="1513" t="s">
        <v>1664</v>
      </c>
      <c r="S38" s="1514">
        <f t="shared" si="12"/>
        <v>100</v>
      </c>
      <c r="T38" s="1513" t="s">
        <v>1664</v>
      </c>
      <c r="U38" s="1514">
        <f t="shared" si="13"/>
        <v>100</v>
      </c>
      <c r="V38" s="1513" t="s">
        <v>1664</v>
      </c>
      <c r="W38" s="1514">
        <f t="shared" si="14"/>
        <v>100</v>
      </c>
      <c r="X38" s="1515"/>
      <c r="Y38" s="3462"/>
      <c r="Z38" s="1519">
        <f t="shared" si="15"/>
        <v>111</v>
      </c>
      <c r="AA38" s="1495">
        <f t="shared" si="3"/>
        <v>1</v>
      </c>
      <c r="AB38" s="1495">
        <f t="shared" si="4"/>
        <v>1</v>
      </c>
      <c r="AC38" s="1495">
        <f t="shared" si="5"/>
        <v>1</v>
      </c>
    </row>
    <row r="39" spans="1:29" ht="15">
      <c r="A39" s="1385"/>
      <c r="B39" s="1569">
        <v>111</v>
      </c>
      <c r="C39" s="1670"/>
      <c r="D39" s="759">
        <v>100</v>
      </c>
      <c r="E39" s="1345"/>
      <c r="F39" s="1490">
        <f>SUMIF(110:110,E39,111:111)-SUMIF(110:110,C39,111:111)+100</f>
        <v>100</v>
      </c>
      <c r="G39" s="1670"/>
      <c r="H39" s="759">
        <f>SUMIF(110:110,G39,111:111)-SUMIF(110:110,C39,111:111)+100</f>
        <v>100</v>
      </c>
      <c r="I39" s="1670"/>
      <c r="J39" s="759">
        <f>SUMIF(110:110,I39,111:111)-SUMIF(110:110,C39,111:111)+100</f>
        <v>100</v>
      </c>
      <c r="K39" s="1480"/>
      <c r="L39" s="1781"/>
      <c r="M39" s="1443"/>
      <c r="N39" s="1443"/>
      <c r="O39" s="1780"/>
      <c r="P39" s="3462"/>
      <c r="Q39" s="625">
        <f t="shared" si="11"/>
        <v>111</v>
      </c>
      <c r="R39" s="1511" t="s">
        <v>1664</v>
      </c>
      <c r="S39" s="1512">
        <f t="shared" si="12"/>
        <v>100</v>
      </c>
      <c r="T39" s="1511" t="s">
        <v>1664</v>
      </c>
      <c r="U39" s="1512">
        <f t="shared" si="13"/>
        <v>100</v>
      </c>
      <c r="V39" s="1511" t="s">
        <v>1664</v>
      </c>
      <c r="W39" s="1512">
        <f t="shared" si="14"/>
        <v>100</v>
      </c>
      <c r="X39" s="1506"/>
      <c r="Y39" s="3462"/>
      <c r="Z39" s="1495">
        <f t="shared" si="15"/>
        <v>111</v>
      </c>
      <c r="AA39" s="1495">
        <f t="shared" si="3"/>
        <v>1</v>
      </c>
      <c r="AB39" s="1495">
        <f t="shared" si="4"/>
        <v>1</v>
      </c>
      <c r="AC39" s="1495">
        <f t="shared" si="5"/>
        <v>1</v>
      </c>
    </row>
    <row r="40" spans="1:29" ht="15">
      <c r="A40" s="1681"/>
      <c r="B40" s="1347">
        <v>111</v>
      </c>
      <c r="C40" s="1348"/>
      <c r="D40" s="1349">
        <v>100</v>
      </c>
      <c r="E40" s="1345"/>
      <c r="F40" s="1682">
        <f>SUMIF(112:112,E40,113:113)-SUMIF(112:112,C40,113:113)+100</f>
        <v>100</v>
      </c>
      <c r="G40" s="1670"/>
      <c r="H40" s="1349">
        <f>SUMIF(112:112,G40,113:113)-SUMIF(112:112,C40,113:113)+100</f>
        <v>100</v>
      </c>
      <c r="I40" s="1670"/>
      <c r="J40" s="1349">
        <f>SUMIF(112:112,I40,113:113)-SUMIF(112:112,C40,113:113)+100</f>
        <v>100</v>
      </c>
      <c r="K40" s="1480"/>
      <c r="L40" s="1781"/>
      <c r="M40" s="1443"/>
      <c r="N40" s="1443"/>
      <c r="O40" s="1780"/>
      <c r="P40" s="3463"/>
      <c r="Q40" s="625">
        <f t="shared" si="11"/>
        <v>111</v>
      </c>
      <c r="R40" s="1511" t="s">
        <v>1664</v>
      </c>
      <c r="S40" s="1512">
        <f t="shared" si="12"/>
        <v>100</v>
      </c>
      <c r="T40" s="1511" t="s">
        <v>1664</v>
      </c>
      <c r="U40" s="1512">
        <f t="shared" si="13"/>
        <v>100</v>
      </c>
      <c r="V40" s="1511" t="s">
        <v>1664</v>
      </c>
      <c r="W40" s="1512">
        <f t="shared" si="14"/>
        <v>100</v>
      </c>
      <c r="X40" s="1506"/>
      <c r="Y40" s="3463"/>
      <c r="Z40" s="1495">
        <f t="shared" si="15"/>
        <v>111</v>
      </c>
      <c r="AA40" s="1495">
        <f t="shared" si="3"/>
        <v>1</v>
      </c>
      <c r="AB40" s="1495">
        <f t="shared" si="4"/>
        <v>1</v>
      </c>
      <c r="AC40" s="1495">
        <f t="shared" si="5"/>
        <v>1</v>
      </c>
    </row>
    <row r="41" spans="1:29" ht="15">
      <c r="A41" s="1392" t="s">
        <v>1711</v>
      </c>
      <c r="B41" s="1683"/>
      <c r="C41" s="1684" t="s">
        <v>124</v>
      </c>
      <c r="D41" s="1395"/>
      <c r="E41" s="1396"/>
      <c r="F41" s="1397"/>
      <c r="G41" s="1398"/>
      <c r="H41" s="1399"/>
      <c r="I41" s="1396"/>
      <c r="J41" s="1399"/>
      <c r="K41" s="1486"/>
      <c r="L41" s="1784"/>
      <c r="M41" s="1443"/>
      <c r="N41" s="1443"/>
      <c r="O41" s="1443"/>
      <c r="P41" s="3448" t="str">
        <f>A41</f>
        <v>成交单价（元/平方米）</v>
      </c>
      <c r="Q41" s="3448"/>
      <c r="R41" s="3446">
        <f>E41</f>
        <v>0</v>
      </c>
      <c r="S41" s="3446"/>
      <c r="T41" s="3446">
        <f>G41</f>
        <v>0</v>
      </c>
      <c r="U41" s="3446"/>
      <c r="V41" s="3446">
        <f>I41</f>
        <v>0</v>
      </c>
      <c r="W41" s="3446"/>
      <c r="X41" s="1448"/>
      <c r="Y41" s="1520"/>
      <c r="Z41" s="1448"/>
      <c r="AA41" s="1448"/>
      <c r="AB41" s="1448"/>
      <c r="AC41" s="1448"/>
    </row>
    <row r="42" spans="1:29" ht="15">
      <c r="A42" s="1400" t="s">
        <v>1712</v>
      </c>
      <c r="B42" s="1685"/>
      <c r="C42" s="1686" t="e">
        <f>R43</f>
        <v>#DIV/0!</v>
      </c>
      <c r="D42" s="1403" t="s">
        <v>1713</v>
      </c>
      <c r="E42" s="1687" t="e">
        <f>R42</f>
        <v>#DIV/0!</v>
      </c>
      <c r="F42" s="1404"/>
      <c r="G42" s="1686" t="e">
        <f>T42</f>
        <v>#DIV/0!</v>
      </c>
      <c r="H42" s="1404"/>
      <c r="I42" s="1687" t="e">
        <f>V42</f>
        <v>#DIV/0!</v>
      </c>
      <c r="J42" s="1404"/>
      <c r="K42" s="1488">
        <f>F42+H42+J42</f>
        <v>0</v>
      </c>
      <c r="L42" s="1784"/>
      <c r="M42" s="1443"/>
      <c r="N42" s="1443"/>
      <c r="O42" s="1443"/>
      <c r="P42" s="3448" t="str">
        <f>A42</f>
        <v>比较价值（元/平方米）</v>
      </c>
      <c r="Q42" s="3448"/>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1448"/>
      <c r="Y42" s="1448"/>
      <c r="Z42" s="1448"/>
      <c r="AA42" s="1448"/>
      <c r="AB42" s="1448"/>
      <c r="AC42" s="1448"/>
    </row>
    <row r="43" spans="1:29" ht="15">
      <c r="A43" s="1406" t="s">
        <v>1714</v>
      </c>
      <c r="B43" s="1407"/>
      <c r="C43" s="1319" t="e">
        <f>R43</f>
        <v>#DIV/0!</v>
      </c>
      <c r="D43" s="1319"/>
      <c r="E43" s="1319"/>
      <c r="F43" s="1319"/>
      <c r="G43" s="1319"/>
      <c r="H43" s="1319"/>
      <c r="I43" s="1319"/>
      <c r="J43" s="1319"/>
      <c r="K43" s="1489"/>
      <c r="L43" s="1784"/>
      <c r="M43" s="1443"/>
      <c r="N43" s="1443"/>
      <c r="O43" s="1443"/>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1448"/>
      <c r="Y43" s="1448"/>
      <c r="Z43" s="1448"/>
      <c r="AA43" s="1448"/>
      <c r="AB43" s="1448"/>
      <c r="AC43" s="1448"/>
    </row>
    <row r="44" spans="1:29">
      <c r="A44" s="1409"/>
      <c r="B44" s="1409"/>
      <c r="C44" s="1409"/>
      <c r="D44" s="1409"/>
      <c r="E44" s="1409"/>
      <c r="F44" s="1409"/>
      <c r="G44" s="1410"/>
      <c r="H44" s="1409"/>
      <c r="I44" s="1409"/>
      <c r="J44" s="1409"/>
      <c r="K44" s="1491"/>
      <c r="L44" s="1500"/>
      <c r="M44" s="1443"/>
      <c r="N44" s="1443"/>
      <c r="O44" s="1443"/>
    </row>
    <row r="45" spans="1:29">
      <c r="A45" s="1409"/>
      <c r="B45" s="1409"/>
      <c r="C45" s="1409"/>
      <c r="D45" s="1409"/>
      <c r="E45" s="1409"/>
      <c r="F45" s="1409"/>
      <c r="G45" s="1409"/>
      <c r="H45" s="1409"/>
      <c r="I45" s="1409"/>
      <c r="J45" s="1409"/>
      <c r="K45" s="1491"/>
      <c r="L45" s="1500"/>
      <c r="M45" s="1443"/>
      <c r="N45" s="1443"/>
      <c r="O45" s="1443"/>
    </row>
    <row r="46" spans="1:29" ht="13.5" customHeight="1">
      <c r="A46" s="1409"/>
      <c r="B46" s="1409"/>
      <c r="C46" s="1411" t="s">
        <v>1715</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500"/>
      <c r="M46" s="1443"/>
      <c r="N46" s="1443"/>
      <c r="O46" s="1443"/>
    </row>
    <row r="47" spans="1:29" ht="13.5" customHeight="1">
      <c r="A47" s="1409"/>
      <c r="B47" s="1409"/>
      <c r="C47" s="1411" t="s">
        <v>1716</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500"/>
      <c r="M47" s="1443"/>
      <c r="N47" s="1443"/>
      <c r="O47" s="1443"/>
    </row>
    <row r="48" spans="1:29" s="1296" customFormat="1" ht="13.5" customHeight="1">
      <c r="A48" s="1414"/>
      <c r="B48" s="1414"/>
      <c r="C48" s="1411" t="s">
        <v>1717</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785"/>
      <c r="M48" s="1786"/>
      <c r="N48" s="1786"/>
      <c r="O48" s="1786"/>
    </row>
    <row r="49" spans="1:17" s="1296" customFormat="1">
      <c r="A49" s="1414"/>
      <c r="B49" s="1415"/>
      <c r="C49" s="1688"/>
      <c r="D49" s="1414"/>
      <c r="E49" s="1414"/>
      <c r="F49" s="1414"/>
      <c r="G49" s="1414"/>
      <c r="H49" s="1414"/>
      <c r="I49" s="1414"/>
      <c r="J49" s="1414"/>
      <c r="K49" s="1493"/>
      <c r="L49" s="1785"/>
      <c r="M49" s="1786"/>
      <c r="N49" s="1786"/>
      <c r="O49" s="1786"/>
    </row>
    <row r="50" spans="1:17">
      <c r="A50" s="1409"/>
      <c r="B50" s="1415"/>
      <c r="C50" s="1688"/>
      <c r="D50" s="1409"/>
      <c r="E50" s="1409"/>
      <c r="F50" s="1409"/>
      <c r="G50" s="1409"/>
      <c r="H50" s="1409"/>
      <c r="I50" s="1409"/>
      <c r="J50" s="1409"/>
      <c r="K50" s="1491"/>
      <c r="L50" s="1500"/>
      <c r="M50" s="1443"/>
      <c r="N50" s="1443"/>
      <c r="O50" s="1443"/>
    </row>
    <row r="51" spans="1:17" ht="21">
      <c r="A51" s="1447" t="s">
        <v>1718</v>
      </c>
      <c r="B51" s="1448"/>
      <c r="C51" s="1449"/>
      <c r="D51" s="1449"/>
      <c r="E51" s="1449"/>
      <c r="F51" s="1450"/>
      <c r="G51" s="1450"/>
      <c r="H51" s="1449"/>
      <c r="I51" s="1449"/>
      <c r="J51" s="1449"/>
      <c r="K51" s="1647"/>
      <c r="L51" s="1648"/>
      <c r="M51" s="1503"/>
      <c r="N51" s="1503"/>
      <c r="O51" s="1503"/>
      <c r="P51" s="1787"/>
      <c r="Q51" s="1788"/>
    </row>
    <row r="52" spans="1:17" s="1298" customFormat="1" ht="15">
      <c r="A52" s="1689" t="s">
        <v>1662</v>
      </c>
      <c r="B52" s="1690"/>
      <c r="C52" s="1691" t="str">
        <f>YEAR(C7)&amp;"-"&amp;MONTH(C7)</f>
        <v>2025-8</v>
      </c>
      <c r="D52" s="1692">
        <f>EDATE(C52,-1)</f>
        <v>45839</v>
      </c>
      <c r="E52" s="1692">
        <f t="shared" ref="E52:O52" si="16">EDATE(D52,-1)</f>
        <v>45809</v>
      </c>
      <c r="F52" s="1692">
        <f t="shared" si="16"/>
        <v>45778</v>
      </c>
      <c r="G52" s="1692">
        <f t="shared" si="16"/>
        <v>45748</v>
      </c>
      <c r="H52" s="1692">
        <f t="shared" si="16"/>
        <v>45717</v>
      </c>
      <c r="I52" s="1692">
        <f t="shared" si="16"/>
        <v>45689</v>
      </c>
      <c r="J52" s="1692">
        <f t="shared" si="16"/>
        <v>45658</v>
      </c>
      <c r="K52" s="1692">
        <f t="shared" si="16"/>
        <v>45627</v>
      </c>
      <c r="L52" s="1692">
        <f t="shared" si="16"/>
        <v>45597</v>
      </c>
      <c r="M52" s="1692">
        <f t="shared" si="16"/>
        <v>45566</v>
      </c>
      <c r="N52" s="1692">
        <f t="shared" si="16"/>
        <v>45536</v>
      </c>
      <c r="O52" s="1692">
        <f t="shared" si="16"/>
        <v>45505</v>
      </c>
    </row>
    <row r="53" spans="1:17" s="1293" customFormat="1" ht="15">
      <c r="A53" s="1366"/>
      <c r="B53" s="1532"/>
      <c r="C53" s="1693">
        <v>100</v>
      </c>
      <c r="D53" s="1536"/>
      <c r="E53" s="1536"/>
      <c r="F53" s="1536"/>
      <c r="G53" s="1536"/>
      <c r="H53" s="1536"/>
      <c r="I53" s="1536"/>
      <c r="J53" s="1536"/>
      <c r="K53" s="1536"/>
      <c r="L53" s="1536"/>
      <c r="M53" s="1341"/>
      <c r="N53" s="1536"/>
      <c r="O53" s="1575"/>
      <c r="P53" s="1788"/>
    </row>
    <row r="54" spans="1:17" s="1293" customFormat="1" ht="15">
      <c r="A54" s="1527" t="s">
        <v>1719</v>
      </c>
      <c r="B54" s="1528"/>
      <c r="C54" s="1529"/>
      <c r="D54" s="1530"/>
      <c r="E54" s="1530"/>
      <c r="F54" s="1530"/>
      <c r="G54" s="1530"/>
      <c r="H54" s="1530"/>
      <c r="I54" s="1530"/>
      <c r="J54" s="1530"/>
      <c r="K54" s="1530"/>
      <c r="L54" s="1530"/>
      <c r="M54" s="1570"/>
      <c r="N54" s="1789"/>
      <c r="O54" s="1790"/>
      <c r="P54" s="1788"/>
      <c r="Q54" s="1788"/>
    </row>
    <row r="55" spans="1:17" s="1293" customFormat="1" ht="15">
      <c r="A55" s="1531" t="s">
        <v>1665</v>
      </c>
      <c r="B55" s="1532"/>
      <c r="C55" s="1533" t="s">
        <v>1720</v>
      </c>
      <c r="D55" s="1534"/>
      <c r="E55" s="1534"/>
      <c r="F55" s="1534"/>
      <c r="G55" s="1534"/>
      <c r="H55" s="1534"/>
      <c r="I55" s="1534"/>
      <c r="J55" s="1534"/>
      <c r="K55" s="1534"/>
      <c r="L55" s="1572"/>
      <c r="M55" s="1573"/>
      <c r="N55" s="1791"/>
      <c r="O55" s="1791"/>
      <c r="P55" s="1792"/>
      <c r="Q55" s="1788"/>
    </row>
    <row r="56" spans="1:17" s="1293" customFormat="1" ht="15">
      <c r="A56" s="1531"/>
      <c r="B56" s="1532"/>
      <c r="C56" s="1535">
        <v>100</v>
      </c>
      <c r="D56" s="1536"/>
      <c r="E56" s="1536"/>
      <c r="F56" s="1536"/>
      <c r="G56" s="1536"/>
      <c r="H56" s="1536"/>
      <c r="I56" s="1536"/>
      <c r="J56" s="1536"/>
      <c r="K56" s="1536"/>
      <c r="L56" s="1536"/>
      <c r="M56" s="1575"/>
      <c r="N56" s="1791"/>
      <c r="O56" s="1791"/>
      <c r="P56" s="1788"/>
      <c r="Q56" s="1788"/>
    </row>
    <row r="57" spans="1:17">
      <c r="A57" s="1350" t="s">
        <v>1721</v>
      </c>
      <c r="B57" s="1537" t="s">
        <v>1669</v>
      </c>
      <c r="C57" s="621">
        <f>C9</f>
        <v>0</v>
      </c>
      <c r="D57" s="1484"/>
      <c r="E57" s="1484"/>
      <c r="F57" s="1484"/>
      <c r="G57" s="1484"/>
      <c r="H57" s="1484"/>
      <c r="I57" s="1484"/>
      <c r="J57" s="1484"/>
      <c r="K57" s="1576"/>
      <c r="L57" s="1577"/>
      <c r="M57" s="1578"/>
      <c r="N57" s="1793"/>
      <c r="O57" s="1793"/>
      <c r="P57" s="1794"/>
      <c r="Q57" s="1788"/>
    </row>
    <row r="58" spans="1:17" ht="15">
      <c r="A58" s="1337"/>
      <c r="B58" s="1538"/>
      <c r="C58" s="1539">
        <v>100</v>
      </c>
      <c r="D58" s="1539"/>
      <c r="E58" s="1539"/>
      <c r="F58" s="1539"/>
      <c r="G58" s="1539"/>
      <c r="H58" s="1539"/>
      <c r="I58" s="1539"/>
      <c r="J58" s="1539"/>
      <c r="K58" s="1539"/>
      <c r="L58" s="1539"/>
      <c r="M58" s="1580"/>
      <c r="N58" s="1795"/>
      <c r="O58" s="1795"/>
      <c r="P58" s="1794"/>
      <c r="Q58" s="1788"/>
    </row>
    <row r="59" spans="1:17" ht="27">
      <c r="A59" s="1337"/>
      <c r="B59" s="1540" t="s">
        <v>1672</v>
      </c>
      <c r="C59" s="1562"/>
      <c r="D59" s="1562"/>
      <c r="E59" s="1562"/>
      <c r="F59" s="1562"/>
      <c r="G59" s="1562"/>
      <c r="H59" s="1562"/>
      <c r="I59" s="1562"/>
      <c r="J59" s="1562"/>
      <c r="K59" s="1607"/>
      <c r="L59" s="1608"/>
      <c r="M59" s="1609"/>
      <c r="N59" s="1793"/>
      <c r="O59" s="1793"/>
      <c r="P59" s="1794"/>
      <c r="Q59" s="1788"/>
    </row>
    <row r="60" spans="1:17" ht="15">
      <c r="A60" s="1337"/>
      <c r="B60" s="1542"/>
      <c r="C60" s="1539"/>
      <c r="D60" s="1539"/>
      <c r="E60" s="1539"/>
      <c r="F60" s="1539"/>
      <c r="G60" s="1539"/>
      <c r="H60" s="1539"/>
      <c r="I60" s="1539"/>
      <c r="J60" s="1539"/>
      <c r="K60" s="1539"/>
      <c r="L60" s="1539"/>
      <c r="M60" s="1580"/>
      <c r="N60" s="1795"/>
      <c r="O60" s="1795"/>
      <c r="P60" s="1794"/>
      <c r="Q60" s="1788"/>
    </row>
    <row r="61" spans="1:17" ht="15">
      <c r="A61" s="1337"/>
      <c r="B61" s="1544" t="s">
        <v>1675</v>
      </c>
      <c r="C61" s="1545" t="str">
        <f>C62&amp;"（含）"&amp;"-"&amp;D62</f>
        <v>0（含）-2</v>
      </c>
      <c r="D61" s="1545" t="str">
        <f t="shared" ref="D61:L61" si="17">D62&amp;"（含）"&amp;"-"&amp;E62</f>
        <v>2（含）-</v>
      </c>
      <c r="E61" s="1545" t="str">
        <f t="shared" si="17"/>
        <v>（含）-</v>
      </c>
      <c r="F61" s="1545" t="str">
        <f t="shared" si="17"/>
        <v>（含）-</v>
      </c>
      <c r="G61" s="1545" t="str">
        <f t="shared" si="17"/>
        <v>（含）-</v>
      </c>
      <c r="H61" s="1545" t="str">
        <f t="shared" si="17"/>
        <v>（含）-</v>
      </c>
      <c r="I61" s="1545" t="str">
        <f t="shared" si="17"/>
        <v>（含）-</v>
      </c>
      <c r="J61" s="1545" t="str">
        <f t="shared" si="17"/>
        <v>（含）-</v>
      </c>
      <c r="K61" s="1545" t="str">
        <f t="shared" si="17"/>
        <v>（含）-</v>
      </c>
      <c r="L61" s="1545" t="str">
        <f t="shared" si="17"/>
        <v>（含）-</v>
      </c>
      <c r="M61" s="1357" t="str">
        <f>M62&amp;"（含）"&amp;"-"&amp;P62</f>
        <v>（含）-</v>
      </c>
      <c r="N61" s="1795"/>
      <c r="O61" s="1795"/>
      <c r="P61" s="1794"/>
      <c r="Q61" s="1788"/>
    </row>
    <row r="62" spans="1:17" ht="15">
      <c r="A62" s="1337"/>
      <c r="B62" s="1546"/>
      <c r="C62" s="1343">
        <v>0</v>
      </c>
      <c r="D62" s="1343">
        <v>2</v>
      </c>
      <c r="E62" s="1343"/>
      <c r="F62" s="1343"/>
      <c r="G62" s="1343"/>
      <c r="H62" s="1343"/>
      <c r="I62" s="1343"/>
      <c r="J62" s="1343"/>
      <c r="K62" s="1586"/>
      <c r="L62" s="1587"/>
      <c r="M62" s="1588"/>
      <c r="N62" s="1793"/>
      <c r="O62" s="1793"/>
      <c r="P62" s="1794"/>
      <c r="Q62" s="1788"/>
    </row>
    <row r="63" spans="1:17" ht="15">
      <c r="A63" s="1337"/>
      <c r="B63" s="1538"/>
      <c r="C63" s="1543">
        <v>100</v>
      </c>
      <c r="D63" s="1543">
        <f t="shared" ref="D63:M63" si="18">C63-$K11</f>
        <v>100</v>
      </c>
      <c r="E63" s="1543">
        <f t="shared" si="18"/>
        <v>100</v>
      </c>
      <c r="F63" s="1543">
        <f t="shared" si="18"/>
        <v>100</v>
      </c>
      <c r="G63" s="1543">
        <f t="shared" si="18"/>
        <v>100</v>
      </c>
      <c r="H63" s="1543">
        <f t="shared" si="18"/>
        <v>100</v>
      </c>
      <c r="I63" s="1543">
        <f t="shared" si="18"/>
        <v>100</v>
      </c>
      <c r="J63" s="1543">
        <f t="shared" si="18"/>
        <v>100</v>
      </c>
      <c r="K63" s="1543">
        <f t="shared" si="18"/>
        <v>100</v>
      </c>
      <c r="L63" s="1543">
        <f t="shared" si="18"/>
        <v>100</v>
      </c>
      <c r="M63" s="1585">
        <f t="shared" si="18"/>
        <v>100</v>
      </c>
      <c r="N63" s="1795"/>
      <c r="O63" s="1795"/>
      <c r="P63" s="1794"/>
      <c r="Q63" s="1788"/>
    </row>
    <row r="64" spans="1:17" s="1295" customFormat="1" ht="15">
      <c r="A64" s="1547"/>
      <c r="B64" s="1540">
        <f>B12</f>
        <v>111</v>
      </c>
      <c r="C64" s="1548"/>
      <c r="D64" s="1548"/>
      <c r="E64" s="1548"/>
      <c r="F64" s="1548"/>
      <c r="G64" s="1548"/>
      <c r="H64" s="1549"/>
      <c r="I64" s="1549"/>
      <c r="J64" s="1549"/>
      <c r="K64" s="1549"/>
      <c r="L64" s="1589"/>
      <c r="M64" s="1590"/>
      <c r="N64" s="1796"/>
      <c r="O64" s="1796"/>
      <c r="P64" s="1797"/>
      <c r="Q64" s="1798"/>
    </row>
    <row r="65" spans="1:17" s="1295" customFormat="1" ht="15">
      <c r="A65" s="1547"/>
      <c r="B65" s="1542"/>
      <c r="C65" s="1550"/>
      <c r="D65" s="1539"/>
      <c r="E65" s="1539"/>
      <c r="F65" s="1539"/>
      <c r="G65" s="1539"/>
      <c r="H65" s="1539"/>
      <c r="I65" s="1539"/>
      <c r="J65" s="1539"/>
      <c r="K65" s="1539"/>
      <c r="L65" s="1539"/>
      <c r="M65" s="1580"/>
      <c r="N65" s="1795"/>
      <c r="O65" s="1795"/>
      <c r="P65" s="1797"/>
      <c r="Q65" s="1798"/>
    </row>
    <row r="66" spans="1:17" s="1295" customFormat="1" ht="15">
      <c r="A66" s="1547"/>
      <c r="B66" s="1540">
        <f>B13</f>
        <v>111</v>
      </c>
      <c r="C66" s="1548"/>
      <c r="D66" s="1548"/>
      <c r="E66" s="1548"/>
      <c r="F66" s="1548"/>
      <c r="G66" s="1548"/>
      <c r="H66" s="1549"/>
      <c r="I66" s="1549"/>
      <c r="J66" s="1549"/>
      <c r="K66" s="1549"/>
      <c r="L66" s="1589"/>
      <c r="M66" s="1590"/>
      <c r="N66" s="1796"/>
      <c r="O66" s="1796"/>
      <c r="Q66" s="1801"/>
    </row>
    <row r="67" spans="1:17" s="1295" customFormat="1" ht="15">
      <c r="A67" s="1547"/>
      <c r="B67" s="1542"/>
      <c r="C67" s="1550"/>
      <c r="D67" s="1539"/>
      <c r="E67" s="1539"/>
      <c r="F67" s="1539"/>
      <c r="G67" s="1550"/>
      <c r="H67" s="1551"/>
      <c r="I67" s="1551"/>
      <c r="J67" s="1551"/>
      <c r="K67" s="1551"/>
      <c r="L67" s="1551"/>
      <c r="M67" s="1592"/>
      <c r="N67" s="1796"/>
      <c r="O67" s="1796"/>
      <c r="P67" s="1797"/>
      <c r="Q67" s="1798"/>
    </row>
    <row r="68" spans="1:17" s="1295" customFormat="1" ht="15">
      <c r="A68" s="1547"/>
      <c r="B68" s="1544">
        <f>B14</f>
        <v>111</v>
      </c>
      <c r="C68" s="1534"/>
      <c r="D68" s="1534"/>
      <c r="E68" s="1534"/>
      <c r="F68" s="1534"/>
      <c r="G68" s="1534"/>
      <c r="H68" s="1552"/>
      <c r="I68" s="1552"/>
      <c r="J68" s="1552"/>
      <c r="K68" s="1552"/>
      <c r="L68" s="1593"/>
      <c r="M68" s="1594"/>
      <c r="N68" s="1796"/>
      <c r="O68" s="1796"/>
      <c r="P68" s="1799"/>
      <c r="Q68" s="1798"/>
    </row>
    <row r="69" spans="1:17" s="1295" customFormat="1" ht="15">
      <c r="A69" s="1553"/>
      <c r="B69" s="1554"/>
      <c r="C69" s="1555"/>
      <c r="D69" s="1555"/>
      <c r="E69" s="1555"/>
      <c r="F69" s="1555"/>
      <c r="G69" s="1555"/>
      <c r="H69" s="1556"/>
      <c r="I69" s="1556"/>
      <c r="J69" s="1556"/>
      <c r="K69" s="1556"/>
      <c r="L69" s="1556"/>
      <c r="M69" s="1596"/>
      <c r="N69" s="1796"/>
      <c r="O69" s="1796"/>
      <c r="P69" s="1797"/>
      <c r="Q69" s="1798"/>
    </row>
    <row r="70" spans="1:17">
      <c r="A70" s="1350" t="s">
        <v>1676</v>
      </c>
      <c r="B70" s="1537" t="s">
        <v>2239</v>
      </c>
      <c r="C70" s="1557" t="s">
        <v>1722</v>
      </c>
      <c r="D70" s="1557" t="s">
        <v>1723</v>
      </c>
      <c r="E70" s="1557" t="s">
        <v>1724</v>
      </c>
      <c r="F70" s="1557" t="s">
        <v>1725</v>
      </c>
      <c r="G70" s="1557" t="s">
        <v>1726</v>
      </c>
      <c r="H70" s="621"/>
      <c r="I70" s="621"/>
      <c r="J70" s="621"/>
      <c r="K70" s="1597"/>
      <c r="L70" s="1598"/>
      <c r="M70" s="1599"/>
      <c r="N70" s="1793"/>
      <c r="O70" s="1793"/>
      <c r="P70" s="1800"/>
      <c r="Q70" s="1788"/>
    </row>
    <row r="71" spans="1:17" ht="15">
      <c r="A71" s="1337"/>
      <c r="B71" s="1542"/>
      <c r="C71" s="1543">
        <v>100</v>
      </c>
      <c r="D71" s="1543">
        <f>C71-$K15</f>
        <v>100</v>
      </c>
      <c r="E71" s="1543">
        <f>D71-$K15</f>
        <v>100</v>
      </c>
      <c r="F71" s="1543">
        <f>E71-$K15</f>
        <v>100</v>
      </c>
      <c r="G71" s="1543">
        <f>F71-$K15</f>
        <v>100</v>
      </c>
      <c r="H71" s="1543"/>
      <c r="I71" s="1543"/>
      <c r="J71" s="1543"/>
      <c r="K71" s="1543"/>
      <c r="L71" s="1543"/>
      <c r="M71" s="1585"/>
      <c r="N71" s="1795"/>
      <c r="O71" s="1795"/>
      <c r="P71" s="1794"/>
      <c r="Q71" s="1788"/>
    </row>
    <row r="72" spans="1:17" ht="15">
      <c r="A72" s="1337"/>
      <c r="B72" s="1540" t="s">
        <v>1682</v>
      </c>
      <c r="C72" s="1558" t="s">
        <v>1722</v>
      </c>
      <c r="D72" s="1558" t="s">
        <v>1723</v>
      </c>
      <c r="E72" s="1558" t="s">
        <v>1724</v>
      </c>
      <c r="F72" s="1558" t="s">
        <v>1725</v>
      </c>
      <c r="G72" s="1558" t="s">
        <v>1726</v>
      </c>
      <c r="H72" s="1541"/>
      <c r="I72" s="1541"/>
      <c r="J72" s="1541"/>
      <c r="K72" s="1582"/>
      <c r="L72" s="1583"/>
      <c r="M72" s="1584"/>
      <c r="N72" s="1793"/>
      <c r="O72" s="1793"/>
      <c r="P72" s="1794"/>
      <c r="Q72" s="1788"/>
    </row>
    <row r="73" spans="1:17" ht="15">
      <c r="A73" s="1337"/>
      <c r="B73" s="1542"/>
      <c r="C73" s="1543">
        <v>100</v>
      </c>
      <c r="D73" s="1543">
        <f>C73-$K17</f>
        <v>100</v>
      </c>
      <c r="E73" s="1543">
        <f>D73-$K17</f>
        <v>100</v>
      </c>
      <c r="F73" s="1543">
        <f>E73-$K17</f>
        <v>100</v>
      </c>
      <c r="G73" s="1543">
        <f>F73-$K17</f>
        <v>100</v>
      </c>
      <c r="H73" s="1543"/>
      <c r="I73" s="1543"/>
      <c r="J73" s="1543"/>
      <c r="K73" s="1543"/>
      <c r="L73" s="1543"/>
      <c r="M73" s="1585"/>
      <c r="N73" s="1795"/>
      <c r="O73" s="1795"/>
      <c r="P73" s="1794"/>
      <c r="Q73" s="1788"/>
    </row>
    <row r="74" spans="1:17" ht="15">
      <c r="A74" s="1337"/>
      <c r="B74" s="1540" t="s">
        <v>1683</v>
      </c>
      <c r="C74" s="1558" t="s">
        <v>1722</v>
      </c>
      <c r="D74" s="1558" t="s">
        <v>1723</v>
      </c>
      <c r="E74" s="1558" t="s">
        <v>1724</v>
      </c>
      <c r="F74" s="1558" t="s">
        <v>1725</v>
      </c>
      <c r="G74" s="1558" t="s">
        <v>1726</v>
      </c>
      <c r="H74" s="1541"/>
      <c r="I74" s="1541"/>
      <c r="J74" s="1541"/>
      <c r="K74" s="1582"/>
      <c r="L74" s="1583"/>
      <c r="M74" s="1584"/>
      <c r="N74" s="1793"/>
      <c r="O74" s="1793"/>
      <c r="P74" s="1794"/>
      <c r="Q74" s="1788"/>
    </row>
    <row r="75" spans="1:17" ht="15">
      <c r="A75" s="1337"/>
      <c r="B75" s="1542"/>
      <c r="C75" s="1543">
        <v>100</v>
      </c>
      <c r="D75" s="1543">
        <f>C75-$K19</f>
        <v>100</v>
      </c>
      <c r="E75" s="1543">
        <f>D75-$K19</f>
        <v>100</v>
      </c>
      <c r="F75" s="1543">
        <f>E75-$K19</f>
        <v>100</v>
      </c>
      <c r="G75" s="1543">
        <f>F75-$K19</f>
        <v>100</v>
      </c>
      <c r="H75" s="1543"/>
      <c r="I75" s="1543"/>
      <c r="J75" s="1543"/>
      <c r="K75" s="1543"/>
      <c r="L75" s="1543"/>
      <c r="M75" s="1585"/>
      <c r="N75" s="1795"/>
      <c r="O75" s="1795"/>
      <c r="P75" s="1794"/>
      <c r="Q75" s="1788"/>
    </row>
    <row r="76" spans="1:17" ht="15">
      <c r="A76" s="1337"/>
      <c r="B76" s="1544" t="s">
        <v>1684</v>
      </c>
      <c r="C76" s="1476" t="s">
        <v>1727</v>
      </c>
      <c r="D76" s="1476" t="s">
        <v>1728</v>
      </c>
      <c r="E76" s="1476" t="s">
        <v>1729</v>
      </c>
      <c r="F76" s="1476" t="s">
        <v>1730</v>
      </c>
      <c r="G76" s="1476" t="s">
        <v>1731</v>
      </c>
      <c r="H76" s="1541"/>
      <c r="I76" s="1541"/>
      <c r="J76" s="1541"/>
      <c r="K76" s="1541"/>
      <c r="L76" s="1541"/>
      <c r="M76" s="1704"/>
      <c r="N76" s="1795"/>
      <c r="O76" s="1795"/>
      <c r="P76" s="1794"/>
      <c r="Q76" s="1788"/>
    </row>
    <row r="77" spans="1:17" ht="15">
      <c r="A77" s="1337"/>
      <c r="B77" s="1544"/>
      <c r="C77" s="1543">
        <v>100</v>
      </c>
      <c r="D77" s="1543">
        <f>C77-$K21</f>
        <v>100</v>
      </c>
      <c r="E77" s="1543">
        <f>D77-$K21</f>
        <v>100</v>
      </c>
      <c r="F77" s="1543">
        <f>E77-$K21</f>
        <v>100</v>
      </c>
      <c r="G77" s="1543">
        <f>F77-$K21</f>
        <v>100</v>
      </c>
      <c r="H77" s="1476"/>
      <c r="I77" s="1476"/>
      <c r="J77" s="1476"/>
      <c r="K77" s="1476"/>
      <c r="L77" s="1476"/>
      <c r="M77" s="1359"/>
      <c r="N77" s="1795"/>
      <c r="O77" s="1795"/>
      <c r="P77" s="1794"/>
      <c r="Q77" s="1788"/>
    </row>
    <row r="78" spans="1:17" ht="15">
      <c r="A78" s="1337"/>
      <c r="B78" s="1540" t="s">
        <v>1685</v>
      </c>
      <c r="C78" s="1558" t="s">
        <v>1722</v>
      </c>
      <c r="D78" s="1558" t="s">
        <v>1723</v>
      </c>
      <c r="E78" s="1558" t="s">
        <v>1724</v>
      </c>
      <c r="F78" s="1558" t="s">
        <v>1725</v>
      </c>
      <c r="G78" s="1558" t="s">
        <v>1726</v>
      </c>
      <c r="H78" s="1541"/>
      <c r="I78" s="1541"/>
      <c r="J78" s="1541"/>
      <c r="K78" s="1582"/>
      <c r="L78" s="1583"/>
      <c r="M78" s="1584"/>
      <c r="N78" s="1793"/>
      <c r="O78" s="1793"/>
      <c r="P78" s="1794"/>
      <c r="Q78" s="1788"/>
    </row>
    <row r="79" spans="1:17" ht="15">
      <c r="A79" s="1337"/>
      <c r="B79" s="1542"/>
      <c r="C79" s="1543">
        <v>100</v>
      </c>
      <c r="D79" s="1543">
        <f>C79-$K23</f>
        <v>100</v>
      </c>
      <c r="E79" s="1543">
        <f>D79-$K23</f>
        <v>100</v>
      </c>
      <c r="F79" s="1543">
        <f>E79-$K23</f>
        <v>100</v>
      </c>
      <c r="G79" s="1543">
        <f>F79-$K23</f>
        <v>100</v>
      </c>
      <c r="H79" s="1543"/>
      <c r="I79" s="1543"/>
      <c r="J79" s="1543"/>
      <c r="K79" s="1543"/>
      <c r="L79" s="1543"/>
      <c r="M79" s="1585"/>
      <c r="N79" s="1795"/>
      <c r="O79" s="1795"/>
      <c r="P79" s="1794"/>
      <c r="Q79" s="1788"/>
    </row>
    <row r="80" spans="1:17" s="1293" customFormat="1" ht="15">
      <c r="A80" s="1340"/>
      <c r="B80" s="1540">
        <f>B25</f>
        <v>111</v>
      </c>
      <c r="C80" s="1548"/>
      <c r="D80" s="1548"/>
      <c r="E80" s="1548"/>
      <c r="F80" s="1548"/>
      <c r="G80" s="1548"/>
      <c r="H80" s="1548"/>
      <c r="I80" s="1548"/>
      <c r="J80" s="1548"/>
      <c r="K80" s="1548"/>
      <c r="L80" s="1705"/>
      <c r="M80" s="1706"/>
      <c r="N80" s="1791"/>
      <c r="O80" s="1791"/>
      <c r="P80" s="1794"/>
      <c r="Q80" s="1788"/>
    </row>
    <row r="81" spans="1:17" s="1293" customFormat="1" ht="15">
      <c r="A81" s="1340"/>
      <c r="B81" s="1542"/>
      <c r="C81" s="1550"/>
      <c r="D81" s="1539"/>
      <c r="E81" s="1539"/>
      <c r="F81" s="1539"/>
      <c r="G81" s="1539"/>
      <c r="H81" s="1539"/>
      <c r="I81" s="1539"/>
      <c r="J81" s="1539"/>
      <c r="K81" s="1539"/>
      <c r="L81" s="1539"/>
      <c r="M81" s="1580"/>
      <c r="N81" s="1795"/>
      <c r="O81" s="1795"/>
      <c r="P81" s="1794"/>
      <c r="Q81" s="1788"/>
    </row>
    <row r="82" spans="1:17" s="1293" customFormat="1" ht="15">
      <c r="A82" s="1340"/>
      <c r="B82" s="1540">
        <f>B26</f>
        <v>111</v>
      </c>
      <c r="C82" s="1548"/>
      <c r="D82" s="1548"/>
      <c r="E82" s="1548"/>
      <c r="F82" s="1548"/>
      <c r="G82" s="1548"/>
      <c r="H82" s="1548"/>
      <c r="I82" s="1548"/>
      <c r="J82" s="1548"/>
      <c r="K82" s="1548"/>
      <c r="L82" s="1705"/>
      <c r="M82" s="1706"/>
      <c r="N82" s="1791"/>
      <c r="O82" s="1791"/>
      <c r="P82" s="1794"/>
      <c r="Q82" s="1788"/>
    </row>
    <row r="83" spans="1:17" s="1293" customFormat="1" ht="15">
      <c r="A83" s="1340"/>
      <c r="B83" s="1542"/>
      <c r="C83" s="1550"/>
      <c r="D83" s="1539"/>
      <c r="E83" s="1539"/>
      <c r="F83" s="1539"/>
      <c r="G83" s="1539"/>
      <c r="H83" s="1539"/>
      <c r="I83" s="1539"/>
      <c r="J83" s="1539"/>
      <c r="K83" s="1539"/>
      <c r="L83" s="1539"/>
      <c r="M83" s="1580"/>
      <c r="N83" s="1795"/>
      <c r="O83" s="1795"/>
      <c r="P83" s="1794"/>
      <c r="Q83" s="1788"/>
    </row>
    <row r="84" spans="1:17" s="1295" customFormat="1" ht="15">
      <c r="A84" s="1547"/>
      <c r="B84" s="1540">
        <f>B27</f>
        <v>111</v>
      </c>
      <c r="C84" s="1548"/>
      <c r="D84" s="1548"/>
      <c r="E84" s="1548"/>
      <c r="F84" s="1548"/>
      <c r="G84" s="1548"/>
      <c r="H84" s="1548"/>
      <c r="I84" s="1548"/>
      <c r="J84" s="1548"/>
      <c r="K84" s="1548"/>
      <c r="L84" s="1705"/>
      <c r="M84" s="1706"/>
      <c r="N84" s="1796"/>
      <c r="O84" s="1796"/>
      <c r="P84" s="1797"/>
      <c r="Q84" s="1798"/>
    </row>
    <row r="85" spans="1:17" s="1295" customFormat="1" ht="15">
      <c r="A85" s="1547"/>
      <c r="B85" s="1542"/>
      <c r="C85" s="1550"/>
      <c r="D85" s="1539"/>
      <c r="E85" s="1539"/>
      <c r="F85" s="1539"/>
      <c r="G85" s="1539"/>
      <c r="H85" s="1539"/>
      <c r="I85" s="1539"/>
      <c r="J85" s="1539"/>
      <c r="K85" s="1539"/>
      <c r="L85" s="1539"/>
      <c r="M85" s="1580"/>
      <c r="N85" s="1796"/>
      <c r="O85" s="1796"/>
      <c r="P85" s="1797"/>
      <c r="Q85" s="1798"/>
    </row>
    <row r="86" spans="1:17" ht="15">
      <c r="A86" s="1337"/>
      <c r="B86" s="1544">
        <f>B28</f>
        <v>111</v>
      </c>
      <c r="C86" s="1534"/>
      <c r="D86" s="1534"/>
      <c r="E86" s="1534"/>
      <c r="F86" s="1534"/>
      <c r="G86" s="1563"/>
      <c r="H86" s="1563"/>
      <c r="I86" s="1563"/>
      <c r="J86" s="1563"/>
      <c r="K86" s="1610"/>
      <c r="L86" s="1611"/>
      <c r="M86" s="1612"/>
      <c r="N86" s="1793"/>
      <c r="O86" s="1793"/>
      <c r="P86" s="1794"/>
      <c r="Q86" s="1788"/>
    </row>
    <row r="87" spans="1:17" ht="15">
      <c r="A87" s="1346"/>
      <c r="B87" s="1554"/>
      <c r="C87" s="1555"/>
      <c r="D87" s="1555"/>
      <c r="E87" s="1555"/>
      <c r="F87" s="1555"/>
      <c r="G87" s="1564"/>
      <c r="H87" s="1564"/>
      <c r="I87" s="1564"/>
      <c r="J87" s="1564"/>
      <c r="K87" s="1564"/>
      <c r="L87" s="1564"/>
      <c r="M87" s="1613"/>
      <c r="N87" s="1795"/>
      <c r="O87" s="1795"/>
      <c r="P87" s="1794"/>
      <c r="Q87" s="1788"/>
    </row>
    <row r="88" spans="1:17">
      <c r="A88" s="1350" t="s">
        <v>1691</v>
      </c>
      <c r="B88" s="1537" t="s">
        <v>1692</v>
      </c>
      <c r="C88" s="1484"/>
      <c r="D88" s="1484"/>
      <c r="E88" s="1484"/>
      <c r="F88" s="1484"/>
      <c r="G88" s="1484"/>
      <c r="H88" s="1484"/>
      <c r="I88" s="1484"/>
      <c r="J88" s="1484"/>
      <c r="K88" s="1576"/>
      <c r="L88" s="1577"/>
      <c r="M88" s="1578"/>
      <c r="N88" s="1793"/>
      <c r="O88" s="1793"/>
      <c r="P88" s="1794"/>
      <c r="Q88" s="1788"/>
    </row>
    <row r="89" spans="1:17" ht="15">
      <c r="A89" s="1337"/>
      <c r="B89" s="1542"/>
      <c r="C89" s="1543">
        <v>100</v>
      </c>
      <c r="D89" s="1543">
        <f t="shared" ref="D89:M89" si="19">C89-$K29</f>
        <v>100</v>
      </c>
      <c r="E89" s="1543">
        <f t="shared" si="19"/>
        <v>100</v>
      </c>
      <c r="F89" s="1543">
        <f t="shared" si="19"/>
        <v>100</v>
      </c>
      <c r="G89" s="1543">
        <f t="shared" si="19"/>
        <v>100</v>
      </c>
      <c r="H89" s="1543">
        <f t="shared" si="19"/>
        <v>100</v>
      </c>
      <c r="I89" s="1543">
        <f t="shared" si="19"/>
        <v>100</v>
      </c>
      <c r="J89" s="1543">
        <f t="shared" si="19"/>
        <v>100</v>
      </c>
      <c r="K89" s="1543">
        <f t="shared" si="19"/>
        <v>100</v>
      </c>
      <c r="L89" s="1543">
        <f t="shared" si="19"/>
        <v>100</v>
      </c>
      <c r="M89" s="1585">
        <f t="shared" si="19"/>
        <v>100</v>
      </c>
      <c r="N89" s="1795"/>
      <c r="O89" s="1795"/>
      <c r="P89" s="1794"/>
      <c r="Q89" s="1788"/>
    </row>
    <row r="90" spans="1:17" ht="15">
      <c r="A90" s="1337"/>
      <c r="B90" s="1540" t="s">
        <v>1695</v>
      </c>
      <c r="C90" s="1558" t="str">
        <f>C91&amp;"(含)"&amp;"-"&amp;D91</f>
        <v>(含)-</v>
      </c>
      <c r="D90" s="1558" t="str">
        <f t="shared" ref="D90:L90" si="20">D91&amp;"(含)"&amp;"-"&amp;E91</f>
        <v>(含)-</v>
      </c>
      <c r="E90" s="1558" t="str">
        <f t="shared" si="20"/>
        <v>(含)-</v>
      </c>
      <c r="F90" s="1558" t="str">
        <f t="shared" si="20"/>
        <v>(含)-</v>
      </c>
      <c r="G90" s="1558" t="str">
        <f t="shared" si="20"/>
        <v>(含)-</v>
      </c>
      <c r="H90" s="1558" t="str">
        <f t="shared" si="20"/>
        <v>(含)-</v>
      </c>
      <c r="I90" s="1558" t="str">
        <f t="shared" si="20"/>
        <v>(含)-</v>
      </c>
      <c r="J90" s="1558" t="str">
        <f t="shared" si="20"/>
        <v>(含)-</v>
      </c>
      <c r="K90" s="1558" t="str">
        <f t="shared" si="20"/>
        <v>(含)-</v>
      </c>
      <c r="L90" s="1558" t="str">
        <f t="shared" si="20"/>
        <v>(含)-</v>
      </c>
      <c r="M90" s="1602" t="str">
        <f>M91&amp;"(含)"&amp;"-"&amp;P91</f>
        <v>(含)-</v>
      </c>
      <c r="N90" s="1791"/>
      <c r="O90" s="1791"/>
      <c r="P90" s="1794"/>
      <c r="Q90" s="1788"/>
    </row>
    <row r="91" spans="1:17" s="1295" customFormat="1">
      <c r="A91" s="1390"/>
      <c r="B91" s="1565"/>
      <c r="C91" s="1526"/>
      <c r="D91" s="1526"/>
      <c r="E91" s="1526"/>
      <c r="F91" s="1526"/>
      <c r="G91" s="1526"/>
      <c r="H91" s="1526"/>
      <c r="I91" s="1526"/>
      <c r="J91" s="1614"/>
      <c r="K91" s="1614"/>
      <c r="L91" s="1615"/>
      <c r="M91" s="1616"/>
      <c r="N91" s="1796"/>
      <c r="O91" s="1796"/>
      <c r="P91" s="1797"/>
      <c r="Q91" s="1798"/>
    </row>
    <row r="92" spans="1:17" s="1295" customFormat="1" ht="15">
      <c r="A92" s="1547"/>
      <c r="B92" s="1542"/>
      <c r="C92" s="1550"/>
      <c r="D92" s="1539"/>
      <c r="E92" s="1539"/>
      <c r="F92" s="1539"/>
      <c r="G92" s="1539"/>
      <c r="H92" s="1539"/>
      <c r="I92" s="1539"/>
      <c r="J92" s="1539"/>
      <c r="K92" s="1539"/>
      <c r="L92" s="1539"/>
      <c r="M92" s="1580"/>
      <c r="N92" s="1795"/>
      <c r="O92" s="1795"/>
      <c r="P92" s="1797"/>
      <c r="Q92" s="1798"/>
    </row>
    <row r="93" spans="1:17">
      <c r="A93" s="1385"/>
      <c r="B93" s="1540" t="s">
        <v>1696</v>
      </c>
      <c r="C93" s="1548"/>
      <c r="D93" s="1548"/>
      <c r="E93" s="1562"/>
      <c r="F93" s="1562"/>
      <c r="G93" s="1562"/>
      <c r="H93" s="1562"/>
      <c r="I93" s="1562"/>
      <c r="J93" s="1562"/>
      <c r="K93" s="1607"/>
      <c r="L93" s="1608"/>
      <c r="M93" s="1609"/>
      <c r="N93" s="1793"/>
      <c r="O93" s="1793"/>
      <c r="P93" s="1794"/>
      <c r="Q93" s="1788"/>
    </row>
    <row r="94" spans="1:17" ht="15">
      <c r="A94" s="1337"/>
      <c r="B94" s="1542"/>
      <c r="C94" s="1543">
        <v>100</v>
      </c>
      <c r="D94" s="1543">
        <f t="shared" ref="D94:M94" si="21">C94-$K31</f>
        <v>100</v>
      </c>
      <c r="E94" s="1543">
        <f t="shared" si="21"/>
        <v>100</v>
      </c>
      <c r="F94" s="1543">
        <f t="shared" si="21"/>
        <v>100</v>
      </c>
      <c r="G94" s="1543">
        <f t="shared" si="21"/>
        <v>100</v>
      </c>
      <c r="H94" s="1543">
        <f t="shared" si="21"/>
        <v>100</v>
      </c>
      <c r="I94" s="1543">
        <f t="shared" si="21"/>
        <v>100</v>
      </c>
      <c r="J94" s="1543">
        <f t="shared" si="21"/>
        <v>100</v>
      </c>
      <c r="K94" s="1543">
        <f t="shared" si="21"/>
        <v>100</v>
      </c>
      <c r="L94" s="1543">
        <f t="shared" si="21"/>
        <v>100</v>
      </c>
      <c r="M94" s="1585">
        <f t="shared" si="21"/>
        <v>100</v>
      </c>
      <c r="N94" s="1795"/>
      <c r="O94" s="1795"/>
      <c r="P94" s="1794"/>
      <c r="Q94" s="1788"/>
    </row>
    <row r="95" spans="1:17">
      <c r="A95" s="1385"/>
      <c r="B95" s="1540" t="s">
        <v>1698</v>
      </c>
      <c r="C95" s="1548"/>
      <c r="D95" s="1548"/>
      <c r="E95" s="1548"/>
      <c r="F95" s="1562"/>
      <c r="G95" s="1562"/>
      <c r="H95" s="1562"/>
      <c r="I95" s="1562"/>
      <c r="J95" s="1562"/>
      <c r="K95" s="1607"/>
      <c r="L95" s="1608"/>
      <c r="M95" s="1609"/>
      <c r="N95" s="1793"/>
      <c r="O95" s="1793"/>
      <c r="P95" s="1794"/>
      <c r="Q95" s="1788"/>
    </row>
    <row r="96" spans="1:17" ht="15">
      <c r="A96" s="1337"/>
      <c r="B96" s="1542"/>
      <c r="C96" s="1543">
        <v>100</v>
      </c>
      <c r="D96" s="1543">
        <f t="shared" ref="D96:M96" si="22">C96-$K32</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85">
        <f t="shared" si="22"/>
        <v>100</v>
      </c>
      <c r="N96" s="1795"/>
      <c r="O96" s="1795"/>
      <c r="P96" s="1794"/>
      <c r="Q96" s="1788"/>
    </row>
    <row r="97" spans="1:17">
      <c r="A97" s="1385"/>
      <c r="B97" s="1540" t="s">
        <v>687</v>
      </c>
      <c r="C97" s="1558" t="str">
        <f>C98&amp;"(含)"&amp;"-"&amp;D98</f>
        <v>0.5(含)-0.6</v>
      </c>
      <c r="D97" s="1558" t="str">
        <f>D98&amp;"(含)"&amp;"-"&amp;E98</f>
        <v>0.6(含)-0.7</v>
      </c>
      <c r="E97" s="1558" t="str">
        <f>E98&amp;"(含)"&amp;"-"&amp;F98</f>
        <v>0.7(含)-0.8</v>
      </c>
      <c r="F97" s="1558" t="str">
        <f>F98&amp;"(含)"&amp;"-"&amp;G98</f>
        <v>0.8(含)-0.9</v>
      </c>
      <c r="G97" s="1558" t="str">
        <f>G98&amp;"(含)"&amp;"-"&amp;ROUND(H98,0)&amp;"(含)"</f>
        <v>0.9(含)-1(含)</v>
      </c>
      <c r="H97" s="1558"/>
      <c r="I97" s="1562"/>
      <c r="J97" s="1562"/>
      <c r="K97" s="1607"/>
      <c r="L97" s="1608"/>
      <c r="M97" s="1609"/>
      <c r="N97" s="1793"/>
      <c r="O97" s="1793"/>
      <c r="P97" s="1794"/>
      <c r="Q97" s="1788"/>
    </row>
    <row r="98" spans="1:17">
      <c r="A98" s="1385"/>
      <c r="B98" s="1544"/>
      <c r="C98" s="794">
        <v>0.5</v>
      </c>
      <c r="D98" s="794">
        <v>0.6</v>
      </c>
      <c r="E98" s="794">
        <v>0.7</v>
      </c>
      <c r="F98" s="794">
        <v>0.8</v>
      </c>
      <c r="G98" s="794">
        <v>0.9</v>
      </c>
      <c r="H98" s="794">
        <v>1.0001</v>
      </c>
      <c r="I98" s="1763"/>
      <c r="J98" s="1763"/>
      <c r="K98" s="1764"/>
      <c r="L98" s="1765"/>
      <c r="M98" s="1766"/>
      <c r="N98" s="1793"/>
      <c r="O98" s="1793"/>
      <c r="P98" s="1794"/>
      <c r="Q98" s="1788"/>
    </row>
    <row r="99" spans="1:17" ht="15">
      <c r="A99" s="1337"/>
      <c r="B99" s="1542"/>
      <c r="C99" s="1559">
        <v>100</v>
      </c>
      <c r="D99" s="1543">
        <f>C99+$K33</f>
        <v>100</v>
      </c>
      <c r="E99" s="1543">
        <f t="shared" ref="E99:M99" si="23">D99+$K33</f>
        <v>100</v>
      </c>
      <c r="F99" s="1543">
        <f t="shared" si="23"/>
        <v>100</v>
      </c>
      <c r="G99" s="1543">
        <f t="shared" si="23"/>
        <v>100</v>
      </c>
      <c r="H99" s="1543">
        <f t="shared" si="23"/>
        <v>100</v>
      </c>
      <c r="I99" s="1543">
        <f t="shared" si="23"/>
        <v>100</v>
      </c>
      <c r="J99" s="1543">
        <f t="shared" si="23"/>
        <v>100</v>
      </c>
      <c r="K99" s="1543">
        <f t="shared" si="23"/>
        <v>100</v>
      </c>
      <c r="L99" s="1543">
        <f t="shared" si="23"/>
        <v>100</v>
      </c>
      <c r="M99" s="1543">
        <f t="shared" si="23"/>
        <v>100</v>
      </c>
      <c r="N99" s="1795"/>
      <c r="O99" s="1795"/>
      <c r="P99" s="1794"/>
      <c r="Q99" s="1788"/>
    </row>
    <row r="100" spans="1:17" s="1295" customFormat="1">
      <c r="A100" s="1390"/>
      <c r="B100" s="1540" t="s">
        <v>1702</v>
      </c>
      <c r="C100" s="1548"/>
      <c r="D100" s="1548"/>
      <c r="E100" s="1548"/>
      <c r="F100" s="1548"/>
      <c r="G100" s="1548"/>
      <c r="H100" s="1562"/>
      <c r="I100" s="1562"/>
      <c r="J100" s="1562"/>
      <c r="K100" s="1607"/>
      <c r="L100" s="1608"/>
      <c r="M100" s="1609"/>
      <c r="N100" s="1796"/>
      <c r="O100" s="1796"/>
      <c r="P100" s="1797"/>
      <c r="Q100" s="1798"/>
    </row>
    <row r="101" spans="1:17" s="1295" customFormat="1" ht="15">
      <c r="A101" s="1547"/>
      <c r="B101" s="1542"/>
      <c r="C101" s="1543">
        <v>100</v>
      </c>
      <c r="D101" s="1543">
        <f>C101-$K34</f>
        <v>100</v>
      </c>
      <c r="E101" s="1543">
        <f t="shared" ref="E101:M101" si="24">D101-$K34</f>
        <v>100</v>
      </c>
      <c r="F101" s="1543">
        <f t="shared" si="24"/>
        <v>100</v>
      </c>
      <c r="G101" s="1543">
        <f t="shared" si="24"/>
        <v>100</v>
      </c>
      <c r="H101" s="1543">
        <f t="shared" si="24"/>
        <v>100</v>
      </c>
      <c r="I101" s="1543">
        <f t="shared" si="24"/>
        <v>100</v>
      </c>
      <c r="J101" s="1543">
        <f t="shared" si="24"/>
        <v>100</v>
      </c>
      <c r="K101" s="1543">
        <f t="shared" si="24"/>
        <v>100</v>
      </c>
      <c r="L101" s="1543">
        <f t="shared" si="24"/>
        <v>100</v>
      </c>
      <c r="M101" s="1543">
        <f t="shared" si="24"/>
        <v>100</v>
      </c>
      <c r="N101" s="1796"/>
      <c r="O101" s="1796"/>
      <c r="P101" s="1797"/>
      <c r="Q101" s="1798"/>
    </row>
    <row r="102" spans="1:17">
      <c r="A102" s="1385"/>
      <c r="B102" s="1540" t="s">
        <v>1704</v>
      </c>
      <c r="C102" s="1548"/>
      <c r="D102" s="1548"/>
      <c r="E102" s="1548"/>
      <c r="F102" s="1548"/>
      <c r="G102" s="1548"/>
      <c r="H102" s="1562"/>
      <c r="I102" s="1562"/>
      <c r="J102" s="1562"/>
      <c r="K102" s="1607"/>
      <c r="L102" s="1608"/>
      <c r="M102" s="1609"/>
      <c r="N102" s="1793"/>
      <c r="O102" s="1793"/>
      <c r="P102" s="1794"/>
      <c r="Q102" s="1788"/>
    </row>
    <row r="103" spans="1:17" ht="15">
      <c r="A103" s="1337"/>
      <c r="B103" s="1542"/>
      <c r="C103" s="1543">
        <v>100</v>
      </c>
      <c r="D103" s="1543">
        <f t="shared" ref="D103:M103" si="25">C103-$K35</f>
        <v>100</v>
      </c>
      <c r="E103" s="1543">
        <f t="shared" si="25"/>
        <v>100</v>
      </c>
      <c r="F103" s="1543">
        <f t="shared" si="25"/>
        <v>100</v>
      </c>
      <c r="G103" s="1543">
        <f t="shared" si="25"/>
        <v>100</v>
      </c>
      <c r="H103" s="1543">
        <f t="shared" si="25"/>
        <v>100</v>
      </c>
      <c r="I103" s="1543">
        <f t="shared" si="25"/>
        <v>100</v>
      </c>
      <c r="J103" s="1543">
        <f t="shared" si="25"/>
        <v>100</v>
      </c>
      <c r="K103" s="1543">
        <f t="shared" si="25"/>
        <v>100</v>
      </c>
      <c r="L103" s="1543">
        <f t="shared" si="25"/>
        <v>100</v>
      </c>
      <c r="M103" s="1585">
        <f t="shared" si="25"/>
        <v>100</v>
      </c>
      <c r="N103" s="1795"/>
      <c r="O103" s="1795"/>
      <c r="P103" s="1794"/>
      <c r="Q103" s="1788"/>
    </row>
    <row r="104" spans="1:17">
      <c r="A104" s="1385"/>
      <c r="B104" s="1540" t="s">
        <v>1708</v>
      </c>
      <c r="C104" s="1548"/>
      <c r="D104" s="1548"/>
      <c r="E104" s="1548"/>
      <c r="F104" s="1548"/>
      <c r="G104" s="1548"/>
      <c r="H104" s="1562"/>
      <c r="I104" s="1562"/>
      <c r="J104" s="1562"/>
      <c r="K104" s="1607"/>
      <c r="L104" s="1608"/>
      <c r="M104" s="1609"/>
      <c r="N104" s="1793"/>
      <c r="O104" s="1793"/>
      <c r="P104" s="1794"/>
      <c r="Q104" s="1788"/>
    </row>
    <row r="105" spans="1:17" ht="15">
      <c r="A105" s="1337"/>
      <c r="B105" s="1542"/>
      <c r="C105" s="1543">
        <v>100</v>
      </c>
      <c r="D105" s="1543">
        <f>C105-$K36</f>
        <v>100</v>
      </c>
      <c r="E105" s="1543">
        <f>D105-$K36</f>
        <v>100</v>
      </c>
      <c r="F105" s="1543">
        <f>E105-$K36</f>
        <v>100</v>
      </c>
      <c r="G105" s="1543">
        <f>F105-$K36</f>
        <v>100</v>
      </c>
      <c r="H105" s="1543"/>
      <c r="I105" s="1543"/>
      <c r="J105" s="1543"/>
      <c r="K105" s="1543"/>
      <c r="L105" s="1543"/>
      <c r="M105" s="1585"/>
      <c r="N105" s="1795"/>
      <c r="O105" s="1795"/>
      <c r="P105" s="1794"/>
      <c r="Q105" s="1788"/>
    </row>
    <row r="106" spans="1:17">
      <c r="A106" s="1385"/>
      <c r="B106" s="1702" t="s">
        <v>2241</v>
      </c>
      <c r="C106" s="1558" t="s">
        <v>1722</v>
      </c>
      <c r="D106" s="1558" t="s">
        <v>1723</v>
      </c>
      <c r="E106" s="1558" t="s">
        <v>1724</v>
      </c>
      <c r="F106" s="1558" t="s">
        <v>1725</v>
      </c>
      <c r="G106" s="1558" t="s">
        <v>1726</v>
      </c>
      <c r="H106" s="1541"/>
      <c r="I106" s="1541"/>
      <c r="J106" s="1541"/>
      <c r="K106" s="1582"/>
      <c r="L106" s="1583"/>
      <c r="M106" s="1584"/>
      <c r="N106" s="1795"/>
      <c r="O106" s="1795"/>
      <c r="P106" s="825"/>
      <c r="Q106" s="1802"/>
    </row>
    <row r="107" spans="1:17" ht="15">
      <c r="A107" s="1337"/>
      <c r="B107" s="1542"/>
      <c r="C107" s="1559">
        <v>100</v>
      </c>
      <c r="D107" s="1543">
        <f t="shared" ref="D107:M107" si="26">C107-$K37</f>
        <v>100</v>
      </c>
      <c r="E107" s="1543">
        <f t="shared" si="26"/>
        <v>100</v>
      </c>
      <c r="F107" s="1543">
        <f t="shared" si="26"/>
        <v>100</v>
      </c>
      <c r="G107" s="1543">
        <f t="shared" si="26"/>
        <v>100</v>
      </c>
      <c r="H107" s="1543">
        <f t="shared" si="26"/>
        <v>100</v>
      </c>
      <c r="I107" s="1543">
        <f t="shared" si="26"/>
        <v>100</v>
      </c>
      <c r="J107" s="1543">
        <f t="shared" si="26"/>
        <v>100</v>
      </c>
      <c r="K107" s="1543">
        <f t="shared" si="26"/>
        <v>100</v>
      </c>
      <c r="L107" s="1543">
        <f t="shared" si="26"/>
        <v>100</v>
      </c>
      <c r="M107" s="1543">
        <f t="shared" si="26"/>
        <v>100</v>
      </c>
      <c r="N107" s="1795"/>
      <c r="O107" s="1795"/>
      <c r="P107" s="1794"/>
      <c r="Q107" s="1788"/>
    </row>
    <row r="108" spans="1:17" s="1295" customFormat="1">
      <c r="A108" s="1390"/>
      <c r="B108" s="1540">
        <f>B38</f>
        <v>111</v>
      </c>
      <c r="C108" s="1548"/>
      <c r="D108" s="1548"/>
      <c r="E108" s="1548"/>
      <c r="F108" s="1548"/>
      <c r="G108" s="1548"/>
      <c r="H108" s="1549"/>
      <c r="I108" s="1549"/>
      <c r="J108" s="1549"/>
      <c r="K108" s="1549"/>
      <c r="L108" s="1589"/>
      <c r="M108" s="1590"/>
      <c r="N108" s="1796"/>
      <c r="O108" s="1796"/>
      <c r="P108" s="1797"/>
      <c r="Q108" s="1798"/>
    </row>
    <row r="109" spans="1:17" s="1295" customFormat="1" ht="15">
      <c r="A109" s="1547"/>
      <c r="B109" s="1538"/>
      <c r="C109" s="1550"/>
      <c r="D109" s="1539"/>
      <c r="E109" s="1539"/>
      <c r="F109" s="1539"/>
      <c r="G109" s="1550"/>
      <c r="H109" s="1551"/>
      <c r="I109" s="1551"/>
      <c r="J109" s="1551"/>
      <c r="K109" s="1551"/>
      <c r="L109" s="1551"/>
      <c r="M109" s="1592"/>
      <c r="N109" s="1796"/>
      <c r="O109" s="1796"/>
      <c r="P109" s="1797"/>
      <c r="Q109" s="1798"/>
    </row>
    <row r="110" spans="1:17">
      <c r="A110" s="1385"/>
      <c r="B110" s="1540">
        <f>B39</f>
        <v>111</v>
      </c>
      <c r="C110" s="1548"/>
      <c r="D110" s="1548"/>
      <c r="E110" s="1548"/>
      <c r="F110" s="1548"/>
      <c r="G110" s="1548"/>
      <c r="H110" s="1549"/>
      <c r="I110" s="1549"/>
      <c r="J110" s="1549"/>
      <c r="K110" s="1549"/>
      <c r="L110" s="1589"/>
      <c r="M110" s="1590"/>
      <c r="N110" s="1793"/>
      <c r="O110" s="1793"/>
      <c r="P110" s="1794"/>
      <c r="Q110" s="1788"/>
    </row>
    <row r="111" spans="1:17" ht="15">
      <c r="A111" s="1337"/>
      <c r="B111" s="1542"/>
      <c r="C111" s="1550"/>
      <c r="D111" s="1539"/>
      <c r="E111" s="1539"/>
      <c r="F111" s="1539"/>
      <c r="G111" s="1550"/>
      <c r="H111" s="1551"/>
      <c r="I111" s="1551"/>
      <c r="J111" s="1551"/>
      <c r="K111" s="1551"/>
      <c r="L111" s="1551"/>
      <c r="M111" s="1592"/>
      <c r="N111" s="1795"/>
      <c r="O111" s="1795"/>
      <c r="P111" s="1794"/>
      <c r="Q111" s="1788"/>
    </row>
    <row r="112" spans="1:17">
      <c r="A112" s="1385"/>
      <c r="B112" s="1544">
        <f>B40</f>
        <v>111</v>
      </c>
      <c r="C112" s="1534"/>
      <c r="D112" s="1534"/>
      <c r="E112" s="1534"/>
      <c r="F112" s="1534"/>
      <c r="G112" s="1563"/>
      <c r="H112" s="1563"/>
      <c r="I112" s="1563"/>
      <c r="J112" s="1563"/>
      <c r="K112" s="1534"/>
      <c r="L112" s="1572"/>
      <c r="M112" s="1612"/>
      <c r="N112" s="1793"/>
      <c r="O112" s="1793"/>
      <c r="P112" s="1794"/>
      <c r="Q112" s="1788"/>
    </row>
    <row r="113" spans="1:17" ht="15">
      <c r="A113" s="1346"/>
      <c r="B113" s="1554"/>
      <c r="C113" s="1555"/>
      <c r="D113" s="1555"/>
      <c r="E113" s="1555"/>
      <c r="F113" s="1555"/>
      <c r="G113" s="1564"/>
      <c r="H113" s="1564"/>
      <c r="I113" s="1564"/>
      <c r="J113" s="1564"/>
      <c r="K113" s="1564"/>
      <c r="L113" s="1564"/>
      <c r="M113" s="1613"/>
      <c r="N113" s="1795"/>
      <c r="O113" s="1795"/>
      <c r="P113" s="1794"/>
      <c r="Q113" s="17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5.5" style="1299" customWidth="1"/>
    <col min="10" max="10" width="12.25" style="1299" customWidth="1"/>
    <col min="11" max="11" width="12.25" style="1300" customWidth="1"/>
    <col min="12" max="12" width="12.25" style="1301" customWidth="1"/>
    <col min="13" max="15" width="12.25" style="1299" customWidth="1"/>
    <col min="16" max="16" width="4.75" style="1713"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2242</v>
      </c>
      <c r="B1" s="1653" t="s">
        <v>600</v>
      </c>
      <c r="C1" s="1654" t="s">
        <v>1644</v>
      </c>
      <c r="D1" s="1655"/>
      <c r="E1" s="1656"/>
      <c r="F1" s="1657"/>
      <c r="G1" s="1714" t="s">
        <v>1647</v>
      </c>
      <c r="H1" s="1715"/>
      <c r="I1" s="1715"/>
      <c r="J1" s="1715"/>
      <c r="K1" s="1742"/>
      <c r="L1" s="1743"/>
      <c r="M1" s="1744"/>
      <c r="N1" s="1744"/>
      <c r="O1" s="1744"/>
      <c r="P1" s="1745"/>
      <c r="Q1" s="1654"/>
      <c r="R1" s="1654"/>
      <c r="S1" s="1654"/>
      <c r="T1" s="1654"/>
      <c r="U1" s="1654"/>
      <c r="V1" s="1654"/>
      <c r="W1" s="1654"/>
      <c r="X1" s="1654"/>
      <c r="Y1" s="1654"/>
      <c r="Z1" s="1654"/>
      <c r="AA1" s="1654"/>
      <c r="AB1" s="1654"/>
      <c r="AC1" s="1701"/>
    </row>
    <row r="2" spans="1:29" s="1292" customFormat="1" ht="28.5" customHeight="1">
      <c r="A2" s="1660" t="s">
        <v>1648</v>
      </c>
      <c r="B2" s="1661" t="b">
        <f>IF(E1="项目模式",IF(C2="——",IF(B37="元/平方米",ROUND(C39*D3/10000,0),ROUND(F3*C39/10000,0)),IF(B37="元/平方米",ROUND(C39*D3/10000,0),ROUND(F3*C39/10000,0))-D2),IF(E1="单套模式",IF(C2="——",IF(B37="元/平方米",ROUND(C39*D3/10000,0),ROUND(F3*C39/10000,0)),IF(B37="元/平方米",ROUND(C39*D3/10000,0),ROUND(F3*C39/10000,0))-D2)))</f>
        <v>0</v>
      </c>
      <c r="C2" s="1662"/>
      <c r="D2" s="1621" t="e">
        <f ca="1">IF(E1="项目模式",SUMIF(INDIRECT("'"&amp;F2&amp;"'"&amp;"!A:A"),"承租人权益价值",INDIRECT("'"&amp;F2&amp;"'"&amp;"!c:c")),SUMIF(INDIRECT("'"&amp;F2&amp;"'"&amp;"!A:A"),"承租人权益价值（单套）",INDIRECT("'"&amp;F2&amp;"'"&amp;"!c:c")))</f>
        <v>#REF!</v>
      </c>
      <c r="E2" s="1663" t="s">
        <v>1649</v>
      </c>
      <c r="F2" s="1664"/>
      <c r="G2" s="1308"/>
      <c r="H2" s="1308"/>
      <c r="I2" s="1308"/>
      <c r="J2" s="1308"/>
      <c r="K2" s="1454"/>
      <c r="L2" s="1455"/>
      <c r="M2" s="1456"/>
      <c r="N2" s="1456"/>
      <c r="O2" s="1456"/>
      <c r="P2" s="1746"/>
      <c r="Q2" s="1304"/>
      <c r="R2" s="1304"/>
      <c r="S2" s="1304"/>
      <c r="T2" s="1304"/>
      <c r="U2" s="1304"/>
      <c r="V2" s="1304"/>
      <c r="W2" s="1304"/>
      <c r="X2" s="1304"/>
      <c r="Y2" s="1304"/>
      <c r="Z2" s="1304"/>
      <c r="AA2" s="1304"/>
      <c r="AB2" s="1304"/>
      <c r="AC2" s="895"/>
    </row>
    <row r="3" spans="1:29" s="1292" customFormat="1" ht="28.5" customHeight="1">
      <c r="A3" s="346" t="s">
        <v>1650</v>
      </c>
      <c r="B3" s="1310" t="e">
        <f>IF(AND(C2="——",B37="元/平方米"),C39,ROUND(B2*10000/D3,0))</f>
        <v>#DIV/0!</v>
      </c>
      <c r="C3" s="1665" t="s">
        <v>1651</v>
      </c>
      <c r="D3" s="1666">
        <f>SUMIF('数据-汇总表'!$C19:$C33,D1,'数据-汇总表'!$E19:$E33)</f>
        <v>0</v>
      </c>
      <c r="E3" s="1665" t="s">
        <v>2243</v>
      </c>
      <c r="F3" s="1666">
        <f>SUMIF('数据-取费表'!A5:A15,D1,'数据-取费表'!AH5:AH15)</f>
        <v>0</v>
      </c>
      <c r="G3" s="1308"/>
      <c r="H3" s="1308"/>
      <c r="I3" s="1308"/>
      <c r="J3" s="1308"/>
      <c r="K3" s="1454"/>
      <c r="L3" s="1455"/>
      <c r="M3" s="1456" t="e">
        <f ca="1">IF(C2="——",IF(B37="元/平方米",ROUND(C39*D3/10000,0),ROUND(F3*C39/10000,0)),IF(B37="元/平方米",ROUND(C39*D3/10000,0),ROUND(F3*C39/10000,0))-D2)</f>
        <v>#DIV/0!</v>
      </c>
      <c r="N3" s="1456"/>
      <c r="O3" s="1456"/>
      <c r="P3" s="1746"/>
      <c r="Q3" s="1304"/>
      <c r="R3" s="1304"/>
      <c r="S3" s="1304"/>
      <c r="T3" s="1304"/>
      <c r="U3" s="1304"/>
      <c r="V3" s="1304"/>
      <c r="W3" s="1304"/>
      <c r="X3" s="1304"/>
      <c r="Y3" s="1304"/>
      <c r="Z3" s="1304"/>
      <c r="AA3" s="1304"/>
      <c r="AB3" s="1517"/>
      <c r="AC3" s="895"/>
    </row>
    <row r="4" spans="1:29" ht="15">
      <c r="A4" s="1312" t="s">
        <v>1652</v>
      </c>
      <c r="B4" s="1313"/>
      <c r="C4" s="3469" t="s">
        <v>1653</v>
      </c>
      <c r="D4" s="3470"/>
      <c r="E4" s="3471" t="s">
        <v>1654</v>
      </c>
      <c r="F4" s="3472"/>
      <c r="G4" s="3469" t="s">
        <v>1655</v>
      </c>
      <c r="H4" s="3470"/>
      <c r="I4" s="3469" t="s">
        <v>1656</v>
      </c>
      <c r="J4" s="3470"/>
      <c r="K4" s="1457" t="s">
        <v>1657</v>
      </c>
      <c r="L4" s="1458"/>
      <c r="M4" s="1409"/>
      <c r="N4" s="1409"/>
      <c r="O4" s="1409"/>
      <c r="P4" s="3508" t="s">
        <v>1658</v>
      </c>
      <c r="Q4" s="3509"/>
      <c r="R4" s="3512" t="s">
        <v>1654</v>
      </c>
      <c r="S4" s="3513"/>
      <c r="T4" s="3512" t="s">
        <v>1655</v>
      </c>
      <c r="U4" s="3513"/>
      <c r="V4" s="3446" t="s">
        <v>1656</v>
      </c>
      <c r="W4" s="3446"/>
      <c r="X4" s="1506"/>
      <c r="Y4" s="3512" t="s">
        <v>1658</v>
      </c>
      <c r="Z4" s="3513"/>
      <c r="AA4" s="3507" t="s">
        <v>1654</v>
      </c>
      <c r="AB4" s="3428" t="s">
        <v>1655</v>
      </c>
      <c r="AC4" s="3507" t="s">
        <v>1656</v>
      </c>
    </row>
    <row r="5" spans="1:29" ht="15">
      <c r="A5" s="1316"/>
      <c r="B5" s="1317"/>
      <c r="C5" s="3473" t="s">
        <v>1659</v>
      </c>
      <c r="D5" s="3474"/>
      <c r="E5" s="3475" t="s">
        <v>2200</v>
      </c>
      <c r="F5" s="3476"/>
      <c r="G5" s="3473" t="s">
        <v>2201</v>
      </c>
      <c r="H5" s="3474"/>
      <c r="I5" s="3473" t="s">
        <v>2202</v>
      </c>
      <c r="J5" s="3474"/>
      <c r="K5" s="1457"/>
      <c r="L5" s="1458"/>
      <c r="M5" s="1409"/>
      <c r="N5" s="1409"/>
      <c r="O5" s="1409"/>
      <c r="P5" s="3510"/>
      <c r="Q5" s="3436"/>
      <c r="R5" s="3441"/>
      <c r="S5" s="3442"/>
      <c r="T5" s="3441"/>
      <c r="U5" s="3442"/>
      <c r="V5" s="3446"/>
      <c r="W5" s="3446"/>
      <c r="X5" s="1506"/>
      <c r="Y5" s="3441"/>
      <c r="Z5" s="3442"/>
      <c r="AA5" s="3428"/>
      <c r="AB5" s="3428"/>
      <c r="AC5" s="3428"/>
    </row>
    <row r="6" spans="1:29" ht="15">
      <c r="A6" s="1318"/>
      <c r="B6" s="1319"/>
      <c r="C6" s="3464" t="s">
        <v>1660</v>
      </c>
      <c r="D6" s="3465"/>
      <c r="E6" s="3466" t="s">
        <v>1660</v>
      </c>
      <c r="F6" s="3467"/>
      <c r="G6" s="3464" t="s">
        <v>1660</v>
      </c>
      <c r="H6" s="3465"/>
      <c r="I6" s="3464" t="s">
        <v>1660</v>
      </c>
      <c r="J6" s="3465"/>
      <c r="K6" s="1457" t="s">
        <v>1661</v>
      </c>
      <c r="L6" s="1458"/>
      <c r="M6" s="1409"/>
      <c r="N6" s="1409"/>
      <c r="O6" s="1409"/>
      <c r="P6" s="3511"/>
      <c r="Q6" s="3438"/>
      <c r="R6" s="3441"/>
      <c r="S6" s="3442"/>
      <c r="T6" s="3443"/>
      <c r="U6" s="3444"/>
      <c r="V6" s="3446"/>
      <c r="W6" s="3446"/>
      <c r="X6" s="1506"/>
      <c r="Y6" s="3443"/>
      <c r="Z6" s="3444"/>
      <c r="AA6" s="3429"/>
      <c r="AB6" s="3429"/>
      <c r="AC6" s="3429"/>
    </row>
    <row r="7" spans="1:29" s="1293" customFormat="1" ht="15">
      <c r="A7" s="1321" t="s">
        <v>1662</v>
      </c>
      <c r="B7" s="1322"/>
      <c r="C7" s="1323">
        <f>'数据-取费表'!B2</f>
        <v>45882</v>
      </c>
      <c r="D7" s="1324">
        <v>100</v>
      </c>
      <c r="E7" s="1325"/>
      <c r="F7" s="1326">
        <f>SUMIF(48:48,YEAR(E7)&amp;"-"&amp;MONTH(E7),49:49)</f>
        <v>0</v>
      </c>
      <c r="G7" s="1325"/>
      <c r="H7" s="1324">
        <f>SUMIF(48:48,YEAR(G7)&amp;"-"&amp;MONTH(G7),49:49)</f>
        <v>0</v>
      </c>
      <c r="I7" s="1325"/>
      <c r="J7" s="1324">
        <f>SUMIF(48:48,YEAR(I7)&amp;"-"&amp;MONTH(I7),49:49)</f>
        <v>0</v>
      </c>
      <c r="K7" s="1462"/>
      <c r="L7" s="1463"/>
      <c r="M7" s="1464"/>
      <c r="N7" s="1464"/>
      <c r="O7" s="1464"/>
      <c r="P7" s="3452" t="s">
        <v>1663</v>
      </c>
      <c r="Q7" s="3468"/>
      <c r="R7" s="1507" t="s">
        <v>1664</v>
      </c>
      <c r="S7" s="1508">
        <f t="shared" ref="S7:S14" si="0">F7</f>
        <v>0</v>
      </c>
      <c r="T7" s="1507" t="s">
        <v>1664</v>
      </c>
      <c r="U7" s="1508">
        <f t="shared" ref="U7:U14" si="1">H7</f>
        <v>0</v>
      </c>
      <c r="V7" s="1507" t="s">
        <v>1664</v>
      </c>
      <c r="W7" s="1508">
        <f t="shared" ref="W7:W14" si="2">J7</f>
        <v>0</v>
      </c>
      <c r="X7" s="1509"/>
      <c r="Y7" s="3452" t="s">
        <v>1663</v>
      </c>
      <c r="Z7" s="3453"/>
      <c r="AA7" s="1518" t="e">
        <f>D7/F7</f>
        <v>#DIV/0!</v>
      </c>
      <c r="AB7" s="1518" t="e">
        <f>D7/H7</f>
        <v>#DIV/0!</v>
      </c>
      <c r="AC7" s="1518" t="e">
        <f>D7/J7</f>
        <v>#DIV/0!</v>
      </c>
    </row>
    <row r="8" spans="1:29" s="1293" customFormat="1" ht="15">
      <c r="A8" s="1321" t="s">
        <v>1665</v>
      </c>
      <c r="B8" s="1322"/>
      <c r="C8" s="1328"/>
      <c r="D8" s="1324">
        <v>100</v>
      </c>
      <c r="E8" s="1328"/>
      <c r="F8" s="1326">
        <f>SUMIF(51:51,E8,52:52)-SUMIF(51:51,C8,52:52)+100</f>
        <v>100</v>
      </c>
      <c r="G8" s="1328"/>
      <c r="H8" s="1324">
        <f>SUMIF(51:51,G8,52:52)-SUMIF(51:51,C8,52:52)+100</f>
        <v>100</v>
      </c>
      <c r="I8" s="1328"/>
      <c r="J8" s="1324">
        <f>SUMIF(51:51,I8,52:52)-SUMIF(51:51,C8,52:52)+100</f>
        <v>100</v>
      </c>
      <c r="K8" s="1462"/>
      <c r="L8" s="1463"/>
      <c r="M8" s="1464"/>
      <c r="N8" s="1464"/>
      <c r="O8" s="1464"/>
      <c r="P8" s="3452" t="s">
        <v>1667</v>
      </c>
      <c r="Q8" s="3453"/>
      <c r="R8" s="1507" t="s">
        <v>1664</v>
      </c>
      <c r="S8" s="1508">
        <f t="shared" si="0"/>
        <v>100</v>
      </c>
      <c r="T8" s="1507" t="s">
        <v>1664</v>
      </c>
      <c r="U8" s="1508">
        <f t="shared" si="1"/>
        <v>100</v>
      </c>
      <c r="V8" s="1507" t="s">
        <v>1664</v>
      </c>
      <c r="W8" s="1508">
        <f t="shared" si="2"/>
        <v>100</v>
      </c>
      <c r="X8" s="1509"/>
      <c r="Y8" s="3452" t="s">
        <v>1667</v>
      </c>
      <c r="Z8" s="3453"/>
      <c r="AA8" s="1518">
        <f t="shared" ref="AA8:AA36" si="3">D8/F8</f>
        <v>1</v>
      </c>
      <c r="AB8" s="1518">
        <f t="shared" ref="AB8:AB36" si="4">D8/H8</f>
        <v>1</v>
      </c>
      <c r="AC8" s="1518">
        <f t="shared" ref="AC8:AC36" si="5">D8/J8</f>
        <v>1</v>
      </c>
    </row>
    <row r="9" spans="1:29" s="1293" customFormat="1">
      <c r="A9" s="1716" t="s">
        <v>1668</v>
      </c>
      <c r="B9" s="1717" t="s">
        <v>1669</v>
      </c>
      <c r="C9" s="1667"/>
      <c r="D9" s="1332">
        <v>100</v>
      </c>
      <c r="E9" s="1668"/>
      <c r="F9" s="1332">
        <f>SUMIF(53:53,E9,54:54)-SUMIF(53:53,C9,54:54)+100</f>
        <v>100</v>
      </c>
      <c r="G9" s="1718"/>
      <c r="H9" s="1332">
        <f>SUMIF(53:53,G9,54:54)-SUMIF(53:53,C9,54:54)+100</f>
        <v>100</v>
      </c>
      <c r="I9" s="1718"/>
      <c r="J9" s="1332">
        <f>SUMIF(53:53,I9,54:54)-SUMIF(53:53,C9,54:54)+100</f>
        <v>100</v>
      </c>
      <c r="K9" s="1462"/>
      <c r="L9" s="1463"/>
      <c r="M9" s="1464"/>
      <c r="N9" s="1464"/>
      <c r="O9" s="1464"/>
      <c r="P9" s="3448" t="s">
        <v>1670</v>
      </c>
      <c r="Q9" s="794" t="str">
        <f t="shared" ref="Q9:Q14" si="6">B9</f>
        <v>用途</v>
      </c>
      <c r="R9" s="1507" t="s">
        <v>1664</v>
      </c>
      <c r="S9" s="1508">
        <f t="shared" si="0"/>
        <v>100</v>
      </c>
      <c r="T9" s="1507" t="s">
        <v>1664</v>
      </c>
      <c r="U9" s="1508">
        <f t="shared" si="1"/>
        <v>100</v>
      </c>
      <c r="V9" s="1507" t="s">
        <v>1664</v>
      </c>
      <c r="W9" s="1508">
        <f t="shared" si="2"/>
        <v>100</v>
      </c>
      <c r="X9" s="1509"/>
      <c r="Y9" s="3342" t="s">
        <v>1671</v>
      </c>
      <c r="Z9" s="1518" t="str">
        <f t="shared" ref="Z9:Z14" si="7">Q9</f>
        <v>用途</v>
      </c>
      <c r="AA9" s="1518">
        <f t="shared" si="3"/>
        <v>1</v>
      </c>
      <c r="AB9" s="1518">
        <f t="shared" si="4"/>
        <v>1</v>
      </c>
      <c r="AC9" s="1518">
        <f t="shared" si="5"/>
        <v>1</v>
      </c>
    </row>
    <row r="10" spans="1:29" s="1294" customFormat="1" ht="27">
      <c r="A10" s="1719"/>
      <c r="B10" s="1720" t="s">
        <v>1672</v>
      </c>
      <c r="C10" s="1669"/>
      <c r="D10" s="1336">
        <v>100</v>
      </c>
      <c r="E10" s="1669"/>
      <c r="F10" s="1336">
        <f>SUMIF(55:55,E10,56:56)-SUMIF(55:55,C10,56:56)+100</f>
        <v>100</v>
      </c>
      <c r="G10" s="1721"/>
      <c r="H10" s="1336">
        <f>SUMIF(55:55,G10,56:56)-SUMIF(55:55,C10,56:56)+100</f>
        <v>100</v>
      </c>
      <c r="I10" s="1669"/>
      <c r="J10" s="1336">
        <f>SUMIF(55:55,I10,56:56)-SUMIF(55:55,C10,56:56)+100</f>
        <v>100</v>
      </c>
      <c r="K10" s="1462"/>
      <c r="L10" s="1468"/>
      <c r="M10" s="1469"/>
      <c r="N10" s="1469"/>
      <c r="O10" s="1469"/>
      <c r="P10" s="3448"/>
      <c r="Q10" s="794" t="str">
        <f t="shared" si="6"/>
        <v>土地使用年限（年）</v>
      </c>
      <c r="R10" s="1507" t="s">
        <v>1664</v>
      </c>
      <c r="S10" s="1508">
        <f t="shared" si="0"/>
        <v>100</v>
      </c>
      <c r="T10" s="1507" t="s">
        <v>1664</v>
      </c>
      <c r="U10" s="1508">
        <f t="shared" si="1"/>
        <v>100</v>
      </c>
      <c r="V10" s="1507" t="s">
        <v>1664</v>
      </c>
      <c r="W10" s="1508">
        <f t="shared" si="2"/>
        <v>100</v>
      </c>
      <c r="X10" s="1509"/>
      <c r="Y10" s="3342"/>
      <c r="Z10" s="1518" t="str">
        <f t="shared" si="7"/>
        <v>土地使用年限（年）</v>
      </c>
      <c r="AA10" s="1518">
        <f t="shared" si="3"/>
        <v>1</v>
      </c>
      <c r="AB10" s="1518">
        <f t="shared" si="4"/>
        <v>1</v>
      </c>
      <c r="AC10" s="1518">
        <f t="shared" si="5"/>
        <v>1</v>
      </c>
    </row>
    <row r="11" spans="1:29" ht="15">
      <c r="A11" s="1722"/>
      <c r="B11" s="1723">
        <v>111</v>
      </c>
      <c r="C11" s="1335"/>
      <c r="D11" s="1336">
        <v>100</v>
      </c>
      <c r="E11" s="1335"/>
      <c r="F11" s="1336">
        <f>SUMIF(57:57,E11,58:58)-SUMIF(57:57,C11,58:58)+100</f>
        <v>100</v>
      </c>
      <c r="G11" s="1335"/>
      <c r="H11" s="1336">
        <f>SUMIF(57:57,G11,58:58)-SUMIF(57:57,C11,58:58)+100</f>
        <v>100</v>
      </c>
      <c r="I11" s="1335"/>
      <c r="J11" s="1336">
        <f>SUMIF(57:57,I11,58:58)-SUMIF(57:57,C11,58:58)+100</f>
        <v>100</v>
      </c>
      <c r="K11" s="1480"/>
      <c r="L11" s="1472"/>
      <c r="M11" s="1409"/>
      <c r="N11" s="1409"/>
      <c r="O11" s="1409"/>
      <c r="P11" s="3448"/>
      <c r="Q11" s="794">
        <f t="shared" si="6"/>
        <v>111</v>
      </c>
      <c r="R11" s="1507" t="s">
        <v>1664</v>
      </c>
      <c r="S11" s="1508">
        <f t="shared" si="0"/>
        <v>100</v>
      </c>
      <c r="T11" s="1507" t="s">
        <v>1664</v>
      </c>
      <c r="U11" s="1508">
        <f t="shared" si="1"/>
        <v>100</v>
      </c>
      <c r="V11" s="1507" t="s">
        <v>1664</v>
      </c>
      <c r="W11" s="1508">
        <f t="shared" si="2"/>
        <v>100</v>
      </c>
      <c r="X11" s="1509"/>
      <c r="Y11" s="3342"/>
      <c r="Z11" s="1518">
        <f t="shared" si="7"/>
        <v>111</v>
      </c>
      <c r="AA11" s="1518">
        <f t="shared" si="3"/>
        <v>1</v>
      </c>
      <c r="AB11" s="1518">
        <f t="shared" si="4"/>
        <v>1</v>
      </c>
      <c r="AC11" s="1518">
        <f t="shared" si="5"/>
        <v>1</v>
      </c>
    </row>
    <row r="12" spans="1:29" s="1293" customFormat="1" ht="15">
      <c r="A12" s="1724"/>
      <c r="B12" s="1723">
        <v>111</v>
      </c>
      <c r="C12" s="1335"/>
      <c r="D12" s="1342">
        <v>100</v>
      </c>
      <c r="E12" s="1335"/>
      <c r="F12" s="1336">
        <f>SUMIF(59:59,E12,60:60)-SUMIF(59:59,C12,60:60)+100</f>
        <v>100</v>
      </c>
      <c r="G12" s="1335"/>
      <c r="H12" s="1336">
        <f>SUMIF(59:59,G12,60:60)-SUMIF(59:59,C12,60:60)+100</f>
        <v>100</v>
      </c>
      <c r="I12" s="1335"/>
      <c r="J12" s="1336">
        <f>SUMIF(59:59,I12,60:60)-SUMIF(59:59,C12,60:60)+100</f>
        <v>100</v>
      </c>
      <c r="K12" s="1480"/>
      <c r="L12" s="1463"/>
      <c r="M12" s="1464"/>
      <c r="N12" s="1464"/>
      <c r="O12" s="1464"/>
      <c r="P12" s="3448"/>
      <c r="Q12" s="794">
        <f t="shared" si="6"/>
        <v>111</v>
      </c>
      <c r="R12" s="1507" t="s">
        <v>1664</v>
      </c>
      <c r="S12" s="1508">
        <f t="shared" si="0"/>
        <v>100</v>
      </c>
      <c r="T12" s="1507" t="s">
        <v>1664</v>
      </c>
      <c r="U12" s="1508">
        <f t="shared" si="1"/>
        <v>100</v>
      </c>
      <c r="V12" s="1507" t="s">
        <v>1664</v>
      </c>
      <c r="W12" s="1508">
        <f t="shared" si="2"/>
        <v>100</v>
      </c>
      <c r="X12" s="1509"/>
      <c r="Y12" s="3342"/>
      <c r="Z12" s="1518">
        <f t="shared" si="7"/>
        <v>111</v>
      </c>
      <c r="AA12" s="1518">
        <f t="shared" si="3"/>
        <v>1</v>
      </c>
      <c r="AB12" s="1518">
        <f t="shared" si="4"/>
        <v>1</v>
      </c>
      <c r="AC12" s="1518">
        <f t="shared" si="5"/>
        <v>1</v>
      </c>
    </row>
    <row r="13" spans="1:29" ht="15">
      <c r="A13" s="1725"/>
      <c r="B13" s="1723">
        <v>111</v>
      </c>
      <c r="C13" s="1345"/>
      <c r="D13" s="759">
        <v>100</v>
      </c>
      <c r="E13" s="1335"/>
      <c r="F13" s="1336">
        <f>SUMIF(61:61,E13,62:62)-SUMIF(61:61,C13,62:62)+100</f>
        <v>100</v>
      </c>
      <c r="G13" s="1335"/>
      <c r="H13" s="759">
        <f>SUMIF(61:61,G13,62:62)-SUMIF(61:61,C13,62:62)+100</f>
        <v>100</v>
      </c>
      <c r="I13" s="1335"/>
      <c r="J13" s="759">
        <f>SUMIF(61:61,I13,62:62)-SUMIF(61:61,C13,62:62)+100</f>
        <v>100</v>
      </c>
      <c r="K13" s="1480"/>
      <c r="L13" s="1474"/>
      <c r="M13" s="1409"/>
      <c r="N13" s="1409"/>
      <c r="O13" s="1409"/>
      <c r="P13" s="3448"/>
      <c r="Q13" s="794">
        <f t="shared" si="6"/>
        <v>111</v>
      </c>
      <c r="R13" s="1507" t="s">
        <v>1664</v>
      </c>
      <c r="S13" s="1508">
        <f t="shared" si="0"/>
        <v>100</v>
      </c>
      <c r="T13" s="1507" t="s">
        <v>1664</v>
      </c>
      <c r="U13" s="1508">
        <f t="shared" si="1"/>
        <v>100</v>
      </c>
      <c r="V13" s="1507" t="s">
        <v>1664</v>
      </c>
      <c r="W13" s="1508">
        <f t="shared" si="2"/>
        <v>100</v>
      </c>
      <c r="X13" s="1509"/>
      <c r="Y13" s="3342"/>
      <c r="Z13" s="1518">
        <f t="shared" si="7"/>
        <v>111</v>
      </c>
      <c r="AA13" s="1518">
        <f t="shared" si="3"/>
        <v>1</v>
      </c>
      <c r="AB13" s="1518">
        <f t="shared" si="4"/>
        <v>1</v>
      </c>
      <c r="AC13" s="1518">
        <f t="shared" si="5"/>
        <v>1</v>
      </c>
    </row>
    <row r="14" spans="1:29" ht="15">
      <c r="A14" s="1312" t="s">
        <v>1676</v>
      </c>
      <c r="B14" s="1351" t="s">
        <v>1682</v>
      </c>
      <c r="C14" s="1352">
        <f>IF(B1="工业",估价对象房地状况!G4,估价对象房地状况!C6)</f>
        <v>0</v>
      </c>
      <c r="D14" s="1353">
        <v>100</v>
      </c>
      <c r="E14" s="1354"/>
      <c r="F14" s="1672">
        <f>SUMIF(63:63,E15,64:64)-SUMIF(63:63,C15,64:64)+100</f>
        <v>100</v>
      </c>
      <c r="G14" s="1475"/>
      <c r="H14" s="1353">
        <f>SUMIF(63:63,G15,64:64)-SUMIF(63:63,C15,64:64)+100</f>
        <v>100</v>
      </c>
      <c r="I14" s="1354"/>
      <c r="J14" s="1353">
        <f>SUMIF(63:63,I15,64:64)-SUMIF(63:63,C15,64:64)+100</f>
        <v>100</v>
      </c>
      <c r="K14" s="1697"/>
      <c r="L14" s="1474"/>
      <c r="M14" s="1409"/>
      <c r="N14" s="1409"/>
      <c r="O14" s="1409"/>
      <c r="P14" s="3460" t="s">
        <v>1678</v>
      </c>
      <c r="Q14" s="625" t="str">
        <f t="shared" si="6"/>
        <v>交通便捷度</v>
      </c>
      <c r="R14" s="1511" t="s">
        <v>1664</v>
      </c>
      <c r="S14" s="1512">
        <f t="shared" si="0"/>
        <v>100</v>
      </c>
      <c r="T14" s="1511" t="s">
        <v>1664</v>
      </c>
      <c r="U14" s="1512">
        <f t="shared" si="1"/>
        <v>100</v>
      </c>
      <c r="V14" s="1511" t="s">
        <v>1664</v>
      </c>
      <c r="W14" s="1512">
        <f t="shared" si="2"/>
        <v>100</v>
      </c>
      <c r="X14" s="1506"/>
      <c r="Y14" s="3460" t="s">
        <v>1678</v>
      </c>
      <c r="Z14" s="1495" t="str">
        <f t="shared" si="7"/>
        <v>交通便捷度</v>
      </c>
      <c r="AA14" s="1495">
        <f t="shared" si="3"/>
        <v>1</v>
      </c>
      <c r="AB14" s="1495">
        <f t="shared" si="4"/>
        <v>1</v>
      </c>
      <c r="AC14" s="1495">
        <f t="shared" si="5"/>
        <v>1</v>
      </c>
    </row>
    <row r="15" spans="1:29" ht="15">
      <c r="A15" s="1316"/>
      <c r="B15" s="1726"/>
      <c r="C15" s="1356"/>
      <c r="D15" s="1357"/>
      <c r="E15" s="1356"/>
      <c r="F15" s="1461"/>
      <c r="G15" s="1356"/>
      <c r="H15" s="1359"/>
      <c r="I15" s="1356"/>
      <c r="J15" s="1357"/>
      <c r="K15" s="1698"/>
      <c r="L15" s="1474"/>
      <c r="M15" s="1409"/>
      <c r="N15" s="1409"/>
      <c r="O15" s="1409"/>
      <c r="P15" s="3461"/>
      <c r="Q15" s="625"/>
      <c r="R15" s="1511"/>
      <c r="S15" s="1512"/>
      <c r="T15" s="1511"/>
      <c r="U15" s="1512"/>
      <c r="V15" s="1511"/>
      <c r="W15" s="1512"/>
      <c r="X15" s="1506"/>
      <c r="Y15" s="3461"/>
      <c r="Z15" s="1495"/>
      <c r="AA15" s="1495">
        <v>1</v>
      </c>
      <c r="AB15" s="1495">
        <v>1</v>
      </c>
      <c r="AC15" s="1495">
        <v>1</v>
      </c>
    </row>
    <row r="16" spans="1:29" ht="15">
      <c r="A16" s="1316"/>
      <c r="B16" s="1360" t="s">
        <v>1683</v>
      </c>
      <c r="C16" s="1361">
        <f>IF(B1="工业",估价对象房地状况!G5,估价对象房地状况!C7)</f>
        <v>0</v>
      </c>
      <c r="D16" s="1363">
        <v>100</v>
      </c>
      <c r="E16" s="1629"/>
      <c r="F16" s="1459">
        <f>SUMIF(65:65,E17,66:66)-SUMIF(65:65,C17,66:66)+100</f>
        <v>100</v>
      </c>
      <c r="G16" s="1636"/>
      <c r="H16" s="1363">
        <f>SUMIF(65:65,G17,66:66)-SUMIF(65:65,C17,66:66)+100</f>
        <v>100</v>
      </c>
      <c r="I16" s="1629"/>
      <c r="J16" s="1363">
        <f>SUMIF(65:65,I17,66:66)-SUMIF(65:65,C17,66:66)+100</f>
        <v>100</v>
      </c>
      <c r="K16" s="1697"/>
      <c r="L16" s="1474"/>
      <c r="M16" s="1409"/>
      <c r="N16" s="1409"/>
      <c r="O16" s="1409"/>
      <c r="P16" s="3461"/>
      <c r="Q16" s="625" t="str">
        <f>B16</f>
        <v>公共配套设施</v>
      </c>
      <c r="R16" s="1511" t="s">
        <v>1664</v>
      </c>
      <c r="S16" s="1512">
        <f>F16</f>
        <v>100</v>
      </c>
      <c r="T16" s="1511" t="s">
        <v>1664</v>
      </c>
      <c r="U16" s="1512">
        <f>H16</f>
        <v>100</v>
      </c>
      <c r="V16" s="1511" t="s">
        <v>1664</v>
      </c>
      <c r="W16" s="1512">
        <f>J16</f>
        <v>100</v>
      </c>
      <c r="X16" s="1506"/>
      <c r="Y16" s="3461"/>
      <c r="Z16" s="1495" t="str">
        <f>Q16</f>
        <v>公共配套设施</v>
      </c>
      <c r="AA16" s="1495">
        <f t="shared" si="3"/>
        <v>1</v>
      </c>
      <c r="AB16" s="1495">
        <f t="shared" si="4"/>
        <v>1</v>
      </c>
      <c r="AC16" s="1495">
        <f t="shared" si="5"/>
        <v>1</v>
      </c>
    </row>
    <row r="17" spans="1:29" ht="15">
      <c r="A17" s="1316"/>
      <c r="B17" s="1364"/>
      <c r="C17" s="1627"/>
      <c r="D17" s="1357"/>
      <c r="E17" s="1356"/>
      <c r="F17" s="1461"/>
      <c r="G17" s="1356"/>
      <c r="H17" s="1357"/>
      <c r="I17" s="1356"/>
      <c r="J17" s="1357"/>
      <c r="K17" s="1698"/>
      <c r="L17" s="1474"/>
      <c r="M17" s="1409"/>
      <c r="N17" s="1409"/>
      <c r="O17" s="1409"/>
      <c r="P17" s="3461"/>
      <c r="Q17" s="625"/>
      <c r="R17" s="1511"/>
      <c r="S17" s="1512"/>
      <c r="T17" s="1511"/>
      <c r="U17" s="1512"/>
      <c r="V17" s="1511"/>
      <c r="W17" s="1512"/>
      <c r="X17" s="1506"/>
      <c r="Y17" s="3461"/>
      <c r="Z17" s="1495"/>
      <c r="AA17" s="1495">
        <v>1</v>
      </c>
      <c r="AB17" s="1495">
        <v>1</v>
      </c>
      <c r="AC17" s="1495">
        <v>1</v>
      </c>
    </row>
    <row r="18" spans="1:29" ht="15">
      <c r="A18" s="1316"/>
      <c r="B18" s="1367" t="s">
        <v>1684</v>
      </c>
      <c r="C18" s="1361">
        <f>IF(B1="工业",估价对象房地状况!G6,估价对象房地状况!C8)</f>
        <v>0</v>
      </c>
      <c r="D18" s="1359">
        <v>100</v>
      </c>
      <c r="E18" s="1362"/>
      <c r="F18" s="1459">
        <f>SUMIF(67:67,E19,68:68)-SUMIF(67:67,C19,68:68)+100</f>
        <v>100</v>
      </c>
      <c r="G18" s="1477"/>
      <c r="H18" s="1363">
        <f>SUMIF(67:67,G19,68:68)-SUMIF(67:67,C19,68:68)+100</f>
        <v>100</v>
      </c>
      <c r="I18" s="1362"/>
      <c r="J18" s="1363">
        <f>SUMIF(67:67,I19,68:68)-SUMIF(67:67,C19,68:68)+100</f>
        <v>100</v>
      </c>
      <c r="K18" s="1697"/>
      <c r="L18" s="1474"/>
      <c r="M18" s="1409"/>
      <c r="N18" s="1409"/>
      <c r="O18" s="1409"/>
      <c r="P18" s="3461"/>
      <c r="Q18" s="625" t="str">
        <f>B18</f>
        <v>基础设施水平</v>
      </c>
      <c r="R18" s="1511" t="s">
        <v>1664</v>
      </c>
      <c r="S18" s="1512">
        <f>F18</f>
        <v>100</v>
      </c>
      <c r="T18" s="1511" t="s">
        <v>1664</v>
      </c>
      <c r="U18" s="1512">
        <f>H18</f>
        <v>100</v>
      </c>
      <c r="V18" s="1511" t="s">
        <v>1664</v>
      </c>
      <c r="W18" s="1512">
        <f>J18</f>
        <v>100</v>
      </c>
      <c r="X18" s="1506"/>
      <c r="Y18" s="3461"/>
      <c r="Z18" s="1495" t="str">
        <f>Q18</f>
        <v>基础设施水平</v>
      </c>
      <c r="AA18" s="1495">
        <f t="shared" ref="AA18" si="8">D18/F18</f>
        <v>1</v>
      </c>
      <c r="AB18" s="1495">
        <f t="shared" ref="AB18" si="9">D18/H18</f>
        <v>1</v>
      </c>
      <c r="AC18" s="1495">
        <f t="shared" ref="AC18" si="10">D18/J18</f>
        <v>1</v>
      </c>
    </row>
    <row r="19" spans="1:29" ht="15">
      <c r="A19" s="1316"/>
      <c r="B19" s="1367"/>
      <c r="C19" s="1627"/>
      <c r="D19" s="1359"/>
      <c r="E19" s="1627"/>
      <c r="F19" s="1460"/>
      <c r="G19" s="1627"/>
      <c r="H19" s="1357"/>
      <c r="I19" s="1356"/>
      <c r="J19" s="1357"/>
      <c r="K19" s="1699"/>
      <c r="L19" s="1474"/>
      <c r="M19" s="1409"/>
      <c r="N19" s="1409"/>
      <c r="O19" s="1409"/>
      <c r="P19" s="3461"/>
      <c r="Q19" s="625"/>
      <c r="R19" s="1511"/>
      <c r="S19" s="1512"/>
      <c r="T19" s="1511"/>
      <c r="U19" s="1512"/>
      <c r="V19" s="1511"/>
      <c r="W19" s="1512"/>
      <c r="X19" s="1506"/>
      <c r="Y19" s="3461"/>
      <c r="Z19" s="1495"/>
      <c r="AA19" s="1495">
        <v>1</v>
      </c>
      <c r="AB19" s="1495">
        <v>1</v>
      </c>
      <c r="AC19" s="1495">
        <v>1</v>
      </c>
    </row>
    <row r="20" spans="1:29" ht="15">
      <c r="A20" s="1316"/>
      <c r="B20" s="1360" t="s">
        <v>2204</v>
      </c>
      <c r="C20" s="1361">
        <f>IF(B1="工业",估价对象房地状况!G7,估价对象房地状况!C9)</f>
        <v>0</v>
      </c>
      <c r="D20" s="1363">
        <v>100</v>
      </c>
      <c r="E20" s="1629"/>
      <c r="F20" s="1459">
        <f>SUMIF(69:69,E21,70:70)-SUMIF(69:69,C21,70:70)+100</f>
        <v>100</v>
      </c>
      <c r="G20" s="1636"/>
      <c r="H20" s="1359">
        <f>SUMIF(69:69,G21,70:70)-SUMIF(69:69,C21,70:70)+100</f>
        <v>100</v>
      </c>
      <c r="I20" s="1362"/>
      <c r="J20" s="1359">
        <f>SUMIF(69:69,I21,70:70)-SUMIF(69:69,C21,70:70)+100</f>
        <v>100</v>
      </c>
      <c r="K20" s="1697"/>
      <c r="L20" s="1474"/>
      <c r="M20" s="1409"/>
      <c r="N20" s="1409"/>
      <c r="O20" s="1409"/>
      <c r="P20" s="3461"/>
      <c r="Q20" s="625" t="str">
        <f>B20</f>
        <v>自然及人文环境</v>
      </c>
      <c r="R20" s="1511" t="s">
        <v>1664</v>
      </c>
      <c r="S20" s="1512">
        <f>F20</f>
        <v>100</v>
      </c>
      <c r="T20" s="1511" t="s">
        <v>1664</v>
      </c>
      <c r="U20" s="1512">
        <f>H20</f>
        <v>100</v>
      </c>
      <c r="V20" s="1511" t="s">
        <v>1664</v>
      </c>
      <c r="W20" s="1512">
        <f>J20</f>
        <v>100</v>
      </c>
      <c r="X20" s="1506"/>
      <c r="Y20" s="3461"/>
      <c r="Z20" s="1495" t="str">
        <f>Q20</f>
        <v>自然及人文环境</v>
      </c>
      <c r="AA20" s="1495">
        <f t="shared" si="3"/>
        <v>1</v>
      </c>
      <c r="AB20" s="1495">
        <f t="shared" si="4"/>
        <v>1</v>
      </c>
      <c r="AC20" s="1495">
        <f t="shared" si="5"/>
        <v>1</v>
      </c>
    </row>
    <row r="21" spans="1:29" ht="15">
      <c r="A21" s="1316"/>
      <c r="B21" s="1364"/>
      <c r="C21" s="1356"/>
      <c r="D21" s="1357"/>
      <c r="E21" s="1356"/>
      <c r="F21" s="1461"/>
      <c r="G21" s="1356"/>
      <c r="H21" s="1357"/>
      <c r="I21" s="1356"/>
      <c r="J21" s="1357"/>
      <c r="K21" s="1698"/>
      <c r="L21" s="1474"/>
      <c r="M21" s="1409"/>
      <c r="N21" s="1409"/>
      <c r="O21" s="1409"/>
      <c r="P21" s="3461"/>
      <c r="Q21" s="625"/>
      <c r="R21" s="1511"/>
      <c r="S21" s="1512"/>
      <c r="T21" s="1511"/>
      <c r="U21" s="1512"/>
      <c r="V21" s="1511"/>
      <c r="W21" s="1512"/>
      <c r="X21" s="1506"/>
      <c r="Y21" s="3461"/>
      <c r="Z21" s="1495"/>
      <c r="AA21" s="1495">
        <v>1</v>
      </c>
      <c r="AB21" s="1495">
        <v>1</v>
      </c>
      <c r="AC21" s="1495">
        <v>1</v>
      </c>
    </row>
    <row r="22" spans="1:29" ht="15">
      <c r="A22" s="1316"/>
      <c r="B22" s="1360" t="s">
        <v>1689</v>
      </c>
      <c r="C22" s="1370"/>
      <c r="D22" s="1359">
        <v>100</v>
      </c>
      <c r="E22" s="1370"/>
      <c r="F22" s="1490">
        <f>SUMIF(71:71,E22,72:72)-SUMIF(71:71,C22,72:72)+100</f>
        <v>100</v>
      </c>
      <c r="G22" s="1370"/>
      <c r="H22" s="759">
        <f>SUMIF(71:71,G22,72:72)-SUMIF(71:71,C22,72:72)+100</f>
        <v>100</v>
      </c>
      <c r="I22" s="1370"/>
      <c r="J22" s="759">
        <f>SUMIF(71:71,I22,72:72)-SUMIF(71:71,C22,72:72)+100</f>
        <v>100</v>
      </c>
      <c r="K22" s="1481"/>
      <c r="L22" s="1474"/>
      <c r="M22" s="1409"/>
      <c r="N22" s="1409"/>
      <c r="O22" s="1409"/>
      <c r="P22" s="3461"/>
      <c r="Q22" s="625" t="str">
        <f>B22</f>
        <v>楼层</v>
      </c>
      <c r="R22" s="1511" t="s">
        <v>1664</v>
      </c>
      <c r="S22" s="1512">
        <f>F22</f>
        <v>100</v>
      </c>
      <c r="T22" s="1511" t="s">
        <v>1664</v>
      </c>
      <c r="U22" s="1512">
        <f>H22</f>
        <v>100</v>
      </c>
      <c r="V22" s="1511" t="s">
        <v>1664</v>
      </c>
      <c r="W22" s="1512">
        <f>J22</f>
        <v>100</v>
      </c>
      <c r="X22" s="1506"/>
      <c r="Y22" s="3461"/>
      <c r="Z22" s="1495" t="str">
        <f>Q22</f>
        <v>楼层</v>
      </c>
      <c r="AA22" s="1495">
        <f t="shared" si="3"/>
        <v>1</v>
      </c>
      <c r="AB22" s="1495">
        <f t="shared" si="4"/>
        <v>1</v>
      </c>
      <c r="AC22" s="1495">
        <f t="shared" si="5"/>
        <v>1</v>
      </c>
    </row>
    <row r="23" spans="1:29" ht="15">
      <c r="A23" s="1316"/>
      <c r="B23" s="1575">
        <v>111</v>
      </c>
      <c r="C23" s="1335"/>
      <c r="D23" s="759">
        <v>100</v>
      </c>
      <c r="E23" s="1335"/>
      <c r="F23" s="1490">
        <f>SUMIF(73:73,E23,74:74)-SUMIF(73:73,C23,74:74)+100</f>
        <v>100</v>
      </c>
      <c r="G23" s="1335"/>
      <c r="H23" s="759">
        <f>SUMIF(73:73,G23,74:74)-SUMIF(73:73,C23,74:74)+100</f>
        <v>100</v>
      </c>
      <c r="I23" s="1335"/>
      <c r="J23" s="759">
        <f>SUMIF(73:73,I23,74:74)-SUMIF(73:73,C23,74:74)+100</f>
        <v>100</v>
      </c>
      <c r="K23" s="1480"/>
      <c r="L23" s="1474"/>
      <c r="M23" s="1409"/>
      <c r="N23" s="1409"/>
      <c r="O23" s="1409"/>
      <c r="P23" s="3461"/>
      <c r="Q23" s="625">
        <f>B23</f>
        <v>111</v>
      </c>
      <c r="R23" s="1511" t="s">
        <v>1664</v>
      </c>
      <c r="S23" s="1512">
        <f>F23</f>
        <v>100</v>
      </c>
      <c r="T23" s="1511" t="s">
        <v>1664</v>
      </c>
      <c r="U23" s="1512">
        <f>H23</f>
        <v>100</v>
      </c>
      <c r="V23" s="1511" t="s">
        <v>1664</v>
      </c>
      <c r="W23" s="1512">
        <f>J23</f>
        <v>100</v>
      </c>
      <c r="X23" s="1506"/>
      <c r="Y23" s="3461"/>
      <c r="Z23" s="1495">
        <f>Q23</f>
        <v>111</v>
      </c>
      <c r="AA23" s="1495">
        <f t="shared" si="3"/>
        <v>1</v>
      </c>
      <c r="AB23" s="1495">
        <f t="shared" si="4"/>
        <v>1</v>
      </c>
      <c r="AC23" s="1495">
        <f t="shared" si="5"/>
        <v>1</v>
      </c>
    </row>
    <row r="24" spans="1:29" ht="15">
      <c r="A24" s="1316"/>
      <c r="B24" s="1575">
        <v>111</v>
      </c>
      <c r="C24" s="1335"/>
      <c r="D24" s="759">
        <v>100</v>
      </c>
      <c r="E24" s="1335"/>
      <c r="F24" s="1490">
        <f>SUMIF(75:75,E24,76:76)-SUMIF(75:75,C24,76:76)+100</f>
        <v>100</v>
      </c>
      <c r="G24" s="1335"/>
      <c r="H24" s="759">
        <f>SUMIF(75:75,G24,76:76)-SUMIF(75:75,C24,76:76)+100</f>
        <v>100</v>
      </c>
      <c r="I24" s="1335"/>
      <c r="J24" s="759">
        <f>SUMIF(75:75,I24,76:76)-SUMIF(75:75,C24,76:76)+100</f>
        <v>100</v>
      </c>
      <c r="K24" s="1480"/>
      <c r="L24" s="1474"/>
      <c r="M24" s="1409"/>
      <c r="N24" s="1409"/>
      <c r="O24" s="1409"/>
      <c r="P24" s="3461"/>
      <c r="Q24" s="625">
        <f t="shared" ref="Q24:Q36" si="11">B24</f>
        <v>111</v>
      </c>
      <c r="R24" s="1511" t="s">
        <v>1664</v>
      </c>
      <c r="S24" s="1512">
        <f>F24</f>
        <v>100</v>
      </c>
      <c r="T24" s="1511" t="s">
        <v>1664</v>
      </c>
      <c r="U24" s="1512">
        <f>H24</f>
        <v>100</v>
      </c>
      <c r="V24" s="1511" t="s">
        <v>1664</v>
      </c>
      <c r="W24" s="1512">
        <f>J24</f>
        <v>100</v>
      </c>
      <c r="X24" s="1506"/>
      <c r="Y24" s="3461"/>
      <c r="Z24" s="1495">
        <f>Q24</f>
        <v>111</v>
      </c>
      <c r="AA24" s="1495">
        <f t="shared" si="3"/>
        <v>1</v>
      </c>
      <c r="AB24" s="1495">
        <f t="shared" si="4"/>
        <v>1</v>
      </c>
      <c r="AC24" s="1495">
        <f t="shared" si="5"/>
        <v>1</v>
      </c>
    </row>
    <row r="25" spans="1:29" s="1293" customFormat="1" ht="15">
      <c r="A25" s="1366"/>
      <c r="B25" s="1727">
        <v>111</v>
      </c>
      <c r="C25" s="1348"/>
      <c r="D25" s="1728">
        <v>100</v>
      </c>
      <c r="E25" s="1729"/>
      <c r="F25" s="1730">
        <f>SUMIF(77:77,E25,78:78)-SUMIF(77:77,C25,78:78)+100</f>
        <v>100</v>
      </c>
      <c r="G25" s="1729"/>
      <c r="H25" s="1728">
        <f>SUMIF(77:77,G25,78:78)-SUMIF(77:77,C25,78:78)+100</f>
        <v>100</v>
      </c>
      <c r="I25" s="1729"/>
      <c r="J25" s="1728">
        <f>SUMIF(77:77,I25,78:78)-SUMIF(77:77,C25,78:78)+100</f>
        <v>100</v>
      </c>
      <c r="K25" s="1480"/>
      <c r="L25" s="1463"/>
      <c r="M25" s="1464"/>
      <c r="N25" s="1464"/>
      <c r="O25" s="1464"/>
      <c r="P25" s="3461"/>
      <c r="Q25" s="794">
        <f t="shared" si="11"/>
        <v>111</v>
      </c>
      <c r="R25" s="1507" t="s">
        <v>1664</v>
      </c>
      <c r="S25" s="1508">
        <f>F25</f>
        <v>100</v>
      </c>
      <c r="T25" s="1507" t="s">
        <v>1664</v>
      </c>
      <c r="U25" s="1508">
        <f>H25</f>
        <v>100</v>
      </c>
      <c r="V25" s="1507" t="s">
        <v>1664</v>
      </c>
      <c r="W25" s="1508">
        <f>J25</f>
        <v>100</v>
      </c>
      <c r="X25" s="1509"/>
      <c r="Y25" s="3461"/>
      <c r="Z25" s="1518">
        <f>Q25</f>
        <v>111</v>
      </c>
      <c r="AA25" s="1495">
        <f t="shared" si="3"/>
        <v>1</v>
      </c>
      <c r="AB25" s="1495">
        <f t="shared" si="4"/>
        <v>1</v>
      </c>
      <c r="AC25" s="1495">
        <f t="shared" si="5"/>
        <v>1</v>
      </c>
    </row>
    <row r="26" spans="1:29" ht="28.5">
      <c r="A26" s="1731" t="s">
        <v>1691</v>
      </c>
      <c r="B26" s="1332" t="s">
        <v>2244</v>
      </c>
      <c r="C26" s="1732" t="str">
        <f>B1</f>
        <v>车库</v>
      </c>
      <c r="D26" s="1357">
        <v>100</v>
      </c>
      <c r="E26" s="1356"/>
      <c r="F26" s="1461">
        <f>SUMIF(79:79,E26,80:80)-SUMIF(79:79,C26,80:80)+100</f>
        <v>0</v>
      </c>
      <c r="G26" s="1356"/>
      <c r="H26" s="1357">
        <f>SUMIF(79:79,G26,80:80)-SUMIF(79:79,C26,80:80)+100</f>
        <v>0</v>
      </c>
      <c r="I26" s="1356"/>
      <c r="J26" s="1357">
        <f>SUMIF(79:79,I26,80:80)-SUMIF(79:79,C26,80:80)+100</f>
        <v>0</v>
      </c>
      <c r="K26" s="1481"/>
      <c r="L26" s="1474"/>
      <c r="M26" s="1409"/>
      <c r="N26" s="1409"/>
      <c r="O26" s="1409"/>
      <c r="P26" s="3517" t="s">
        <v>1694</v>
      </c>
      <c r="Q26" s="625" t="str">
        <f t="shared" si="11"/>
        <v>配套类型</v>
      </c>
      <c r="R26" s="1511" t="s">
        <v>1664</v>
      </c>
      <c r="S26" s="1512">
        <f t="shared" ref="S26:S36" si="12">F26</f>
        <v>0</v>
      </c>
      <c r="T26" s="1511" t="s">
        <v>1664</v>
      </c>
      <c r="U26" s="1512">
        <f t="shared" ref="U26:U36" si="13">H26</f>
        <v>0</v>
      </c>
      <c r="V26" s="1511" t="s">
        <v>1664</v>
      </c>
      <c r="W26" s="1512">
        <f t="shared" ref="W26:W36" si="14">J26</f>
        <v>0</v>
      </c>
      <c r="X26" s="1506"/>
      <c r="Y26" s="3462" t="s">
        <v>1694</v>
      </c>
      <c r="Z26" s="1495" t="str">
        <f t="shared" ref="Z26:Z36" si="15">Q26</f>
        <v>配套类型</v>
      </c>
      <c r="AA26" s="1495" t="e">
        <f t="shared" si="3"/>
        <v>#DIV/0!</v>
      </c>
      <c r="AB26" s="1495" t="e">
        <f t="shared" si="4"/>
        <v>#DIV/0!</v>
      </c>
      <c r="AC26" s="1495" t="e">
        <f t="shared" si="5"/>
        <v>#DIV/0!</v>
      </c>
    </row>
    <row r="27" spans="1:29" s="1295" customFormat="1" ht="15">
      <c r="A27" s="1733"/>
      <c r="B27" s="1336" t="s">
        <v>2245</v>
      </c>
      <c r="C27" s="1734"/>
      <c r="D27" s="1336">
        <v>100</v>
      </c>
      <c r="E27" s="1734"/>
      <c r="F27" s="1490">
        <f>SUMIF(81:81,E27,82:82)-SUMIF(81:81,C27,82:82)+100</f>
        <v>100</v>
      </c>
      <c r="G27" s="1734"/>
      <c r="H27" s="759">
        <f>SUMIF(81:81,G27,82:82)-SUMIF(81:81,C27,82:82)+100</f>
        <v>100</v>
      </c>
      <c r="I27" s="1734"/>
      <c r="J27" s="759">
        <f>SUMIF(81:81,I27,82:82)-SUMIF(81:81,C27,82:82)+100</f>
        <v>100</v>
      </c>
      <c r="K27" s="1480"/>
      <c r="L27" s="1472"/>
      <c r="M27" s="1482"/>
      <c r="N27" s="1482"/>
      <c r="O27" s="1482"/>
      <c r="P27" s="3462"/>
      <c r="Q27" s="1700" t="str">
        <f t="shared" si="11"/>
        <v>项目停车位配比</v>
      </c>
      <c r="R27" s="1513" t="s">
        <v>1664</v>
      </c>
      <c r="S27" s="1514">
        <f t="shared" si="12"/>
        <v>100</v>
      </c>
      <c r="T27" s="1513" t="s">
        <v>1664</v>
      </c>
      <c r="U27" s="1514">
        <f t="shared" si="13"/>
        <v>100</v>
      </c>
      <c r="V27" s="1513" t="s">
        <v>1664</v>
      </c>
      <c r="W27" s="1514">
        <f t="shared" si="14"/>
        <v>100</v>
      </c>
      <c r="X27" s="1515"/>
      <c r="Y27" s="3462"/>
      <c r="Z27" s="1519" t="str">
        <f t="shared" si="15"/>
        <v>项目停车位配比</v>
      </c>
      <c r="AA27" s="1495">
        <f t="shared" si="3"/>
        <v>1</v>
      </c>
      <c r="AB27" s="1495">
        <f t="shared" si="4"/>
        <v>1</v>
      </c>
      <c r="AC27" s="1495">
        <f t="shared" si="5"/>
        <v>1</v>
      </c>
    </row>
    <row r="28" spans="1:29" ht="15">
      <c r="A28" s="1735"/>
      <c r="B28" s="1336" t="s">
        <v>1698</v>
      </c>
      <c r="C28" s="1679"/>
      <c r="D28" s="759">
        <v>100</v>
      </c>
      <c r="E28" s="1679"/>
      <c r="F28" s="1490">
        <f>SUMIF(83:83,E28,84:84)-SUMIF(83:83,C28,84:84)+100</f>
        <v>100</v>
      </c>
      <c r="G28" s="1679"/>
      <c r="H28" s="759">
        <f>SUMIF(83:83,G28,84:84)-SUMIF(83:83,C28,84:84)+100</f>
        <v>100</v>
      </c>
      <c r="I28" s="1679"/>
      <c r="J28" s="759">
        <f>SUMIF(83:83,I28,84:84)-SUMIF(83:83,C28,84:84)+100</f>
        <v>100</v>
      </c>
      <c r="K28" s="1481"/>
      <c r="L28" s="1474"/>
      <c r="M28" s="1409"/>
      <c r="N28" s="1409"/>
      <c r="O28" s="1409"/>
      <c r="P28" s="3462"/>
      <c r="Q28" s="625" t="str">
        <f t="shared" si="11"/>
        <v>公共部分装修</v>
      </c>
      <c r="R28" s="1511" t="s">
        <v>1664</v>
      </c>
      <c r="S28" s="1512">
        <f t="shared" si="12"/>
        <v>100</v>
      </c>
      <c r="T28" s="1511" t="s">
        <v>1664</v>
      </c>
      <c r="U28" s="1512">
        <f t="shared" si="13"/>
        <v>100</v>
      </c>
      <c r="V28" s="1511" t="s">
        <v>1664</v>
      </c>
      <c r="W28" s="1512">
        <f t="shared" si="14"/>
        <v>100</v>
      </c>
      <c r="X28" s="1506"/>
      <c r="Y28" s="3462"/>
      <c r="Z28" s="1495" t="str">
        <f t="shared" si="15"/>
        <v>公共部分装修</v>
      </c>
      <c r="AA28" s="1495">
        <f t="shared" si="3"/>
        <v>1</v>
      </c>
      <c r="AB28" s="1495">
        <f t="shared" si="4"/>
        <v>1</v>
      </c>
      <c r="AC28" s="1495">
        <f t="shared" si="5"/>
        <v>1</v>
      </c>
    </row>
    <row r="29" spans="1:29" ht="15">
      <c r="A29" s="1735"/>
      <c r="B29" s="1336" t="s">
        <v>2246</v>
      </c>
      <c r="C29" s="1676"/>
      <c r="D29" s="759">
        <v>100</v>
      </c>
      <c r="E29" s="1676"/>
      <c r="F29" s="1490" t="e">
        <f>LOOKUP(E29,86:86,87:87)-LOOKUP(C29,86:86,87:87)+100</f>
        <v>#N/A</v>
      </c>
      <c r="G29" s="1676"/>
      <c r="H29" s="1490" t="e">
        <f>LOOKUP(G29,86:86,87:87)-LOOKUP(C29,86:86,87:87)+100</f>
        <v>#N/A</v>
      </c>
      <c r="I29" s="1676"/>
      <c r="J29" s="759" t="e">
        <f>LOOKUP(I29,86:86,87:87)-LOOKUP(C29,86:86,87:87)+100</f>
        <v>#N/A</v>
      </c>
      <c r="K29" s="1481"/>
      <c r="L29" s="1474"/>
      <c r="M29" s="1409"/>
      <c r="N29" s="1409"/>
      <c r="O29" s="1409"/>
      <c r="P29" s="3462"/>
      <c r="Q29" s="625" t="str">
        <f t="shared" si="11"/>
        <v>成新率</v>
      </c>
      <c r="R29" s="1511" t="s">
        <v>1664</v>
      </c>
      <c r="S29" s="1512" t="e">
        <f t="shared" si="12"/>
        <v>#N/A</v>
      </c>
      <c r="T29" s="1511" t="s">
        <v>1664</v>
      </c>
      <c r="U29" s="1512" t="e">
        <f t="shared" si="13"/>
        <v>#N/A</v>
      </c>
      <c r="V29" s="1511" t="s">
        <v>1664</v>
      </c>
      <c r="W29" s="1512" t="e">
        <f t="shared" si="14"/>
        <v>#N/A</v>
      </c>
      <c r="X29" s="1506"/>
      <c r="Y29" s="3462"/>
      <c r="Z29" s="1495" t="str">
        <f t="shared" si="15"/>
        <v>成新率</v>
      </c>
      <c r="AA29" s="1495" t="e">
        <f t="shared" si="3"/>
        <v>#N/A</v>
      </c>
      <c r="AB29" s="1495" t="e">
        <f t="shared" si="4"/>
        <v>#N/A</v>
      </c>
      <c r="AC29" s="1495" t="e">
        <f t="shared" si="5"/>
        <v>#N/A</v>
      </c>
    </row>
    <row r="30" spans="1:29" ht="15">
      <c r="A30" s="1735"/>
      <c r="B30" s="1336" t="s">
        <v>2247</v>
      </c>
      <c r="C30" s="1680"/>
      <c r="D30" s="759">
        <v>100</v>
      </c>
      <c r="E30" s="1680"/>
      <c r="F30" s="1490">
        <f>SUMIF(88:88,E30,89:89)-SUMIF(88:88,C30,89:89)+100</f>
        <v>100</v>
      </c>
      <c r="G30" s="1680"/>
      <c r="H30" s="759">
        <f>SUMIF(88:88,E30,89:89)-SUMIF(88:88,C30,89:89)+100</f>
        <v>100</v>
      </c>
      <c r="I30" s="1680"/>
      <c r="J30" s="759">
        <f>SUMIF(88:88,E30,89:89)-SUMIF(88:88,C30,89:89)+100</f>
        <v>100</v>
      </c>
      <c r="K30" s="1481"/>
      <c r="L30" s="1474"/>
      <c r="M30" s="1409"/>
      <c r="N30" s="1409"/>
      <c r="O30" s="1409"/>
      <c r="P30" s="3462"/>
      <c r="Q30" s="625" t="str">
        <f t="shared" si="11"/>
        <v>物业等级</v>
      </c>
      <c r="R30" s="1511" t="s">
        <v>1664</v>
      </c>
      <c r="S30" s="1512">
        <f t="shared" si="12"/>
        <v>100</v>
      </c>
      <c r="T30" s="1511" t="s">
        <v>1664</v>
      </c>
      <c r="U30" s="1512">
        <f t="shared" si="13"/>
        <v>100</v>
      </c>
      <c r="V30" s="1511" t="s">
        <v>1664</v>
      </c>
      <c r="W30" s="1512">
        <f t="shared" si="14"/>
        <v>100</v>
      </c>
      <c r="X30" s="1506"/>
      <c r="Y30" s="3462"/>
      <c r="Z30" s="1495" t="str">
        <f t="shared" si="15"/>
        <v>物业等级</v>
      </c>
      <c r="AA30" s="1495">
        <f t="shared" si="3"/>
        <v>1</v>
      </c>
      <c r="AB30" s="1495">
        <f t="shared" si="4"/>
        <v>1</v>
      </c>
      <c r="AC30" s="1495">
        <f t="shared" si="5"/>
        <v>1</v>
      </c>
    </row>
    <row r="31" spans="1:29" s="1293" customFormat="1" ht="15">
      <c r="A31" s="1736"/>
      <c r="B31" s="1336" t="s">
        <v>2248</v>
      </c>
      <c r="C31" s="1670"/>
      <c r="D31" s="1336">
        <v>100</v>
      </c>
      <c r="E31" s="1670"/>
      <c r="F31" s="1490" t="e">
        <f>LOOKUP(E31,91:91,92:92)-LOOKUP(C31,91:91,92:92)+100</f>
        <v>#N/A</v>
      </c>
      <c r="G31" s="1670"/>
      <c r="H31" s="759" t="e">
        <f>LOOKUP(G31,91:91,92:92)-LOOKUP(C31,91:91,92:92)+100</f>
        <v>#N/A</v>
      </c>
      <c r="I31" s="1670"/>
      <c r="J31" s="759" t="e">
        <f>LOOKUP(I31,91:91,92:92)-LOOKUP(C31,91:91,92:92)+100</f>
        <v>#N/A</v>
      </c>
      <c r="K31" s="1481"/>
      <c r="L31" s="1463"/>
      <c r="M31" s="1464"/>
      <c r="N31" s="1464"/>
      <c r="O31" s="1464"/>
      <c r="P31" s="3462"/>
      <c r="Q31" s="794" t="str">
        <f t="shared" si="11"/>
        <v>停车位面积</v>
      </c>
      <c r="R31" s="1507" t="s">
        <v>1664</v>
      </c>
      <c r="S31" s="1508" t="e">
        <f t="shared" si="12"/>
        <v>#N/A</v>
      </c>
      <c r="T31" s="1507" t="s">
        <v>1664</v>
      </c>
      <c r="U31" s="1508" t="e">
        <f t="shared" si="13"/>
        <v>#N/A</v>
      </c>
      <c r="V31" s="1507" t="s">
        <v>1664</v>
      </c>
      <c r="W31" s="1508" t="e">
        <f t="shared" si="14"/>
        <v>#N/A</v>
      </c>
      <c r="X31" s="1509"/>
      <c r="Y31" s="3462"/>
      <c r="Z31" s="1518" t="str">
        <f t="shared" si="15"/>
        <v>停车位面积</v>
      </c>
      <c r="AA31" s="1518" t="e">
        <f t="shared" si="3"/>
        <v>#N/A</v>
      </c>
      <c r="AB31" s="1518" t="e">
        <f t="shared" si="4"/>
        <v>#N/A</v>
      </c>
      <c r="AC31" s="1518" t="e">
        <f t="shared" si="5"/>
        <v>#N/A</v>
      </c>
    </row>
    <row r="32" spans="1:29" ht="15">
      <c r="A32" s="1735"/>
      <c r="B32" s="1336" t="s">
        <v>2249</v>
      </c>
      <c r="C32" s="1679"/>
      <c r="D32" s="759">
        <v>100</v>
      </c>
      <c r="E32" s="1679"/>
      <c r="F32" s="1490">
        <f>SUMIF(93:93,E32,94:94)-SUMIF(93:93,C32,94:94)+100</f>
        <v>100</v>
      </c>
      <c r="G32" s="1679"/>
      <c r="H32" s="759">
        <f>SUMIF(93:93,G32,94:94)-SUMIF(93:93,C32,94:94)+100</f>
        <v>100</v>
      </c>
      <c r="I32" s="1679"/>
      <c r="J32" s="759">
        <f>SUMIF(93:93,I32,94:94)-SUMIF(93:93,C32,94:94)+100</f>
        <v>100</v>
      </c>
      <c r="K32" s="1481"/>
      <c r="L32" s="1474"/>
      <c r="M32" s="1409"/>
      <c r="N32" s="1409"/>
      <c r="O32" s="1409"/>
      <c r="P32" s="3462" t="s">
        <v>1694</v>
      </c>
      <c r="Q32" s="625" t="str">
        <f t="shared" si="11"/>
        <v>车位类型</v>
      </c>
      <c r="R32" s="1511" t="s">
        <v>1664</v>
      </c>
      <c r="S32" s="1512">
        <f t="shared" si="12"/>
        <v>100</v>
      </c>
      <c r="T32" s="1511" t="s">
        <v>1664</v>
      </c>
      <c r="U32" s="1512">
        <f t="shared" si="13"/>
        <v>100</v>
      </c>
      <c r="V32" s="1511" t="s">
        <v>1664</v>
      </c>
      <c r="W32" s="1512">
        <f t="shared" si="14"/>
        <v>100</v>
      </c>
      <c r="X32" s="1506"/>
      <c r="Y32" s="3462" t="s">
        <v>1694</v>
      </c>
      <c r="Z32" s="1495" t="str">
        <f t="shared" si="15"/>
        <v>车位类型</v>
      </c>
      <c r="AA32" s="1495">
        <f t="shared" si="3"/>
        <v>1</v>
      </c>
      <c r="AB32" s="1495">
        <f t="shared" si="4"/>
        <v>1</v>
      </c>
      <c r="AC32" s="1495">
        <f t="shared" si="5"/>
        <v>1</v>
      </c>
    </row>
    <row r="33" spans="1:29" ht="15">
      <c r="A33" s="1735"/>
      <c r="B33" s="1336" t="s">
        <v>2250</v>
      </c>
      <c r="C33" s="1679"/>
      <c r="D33" s="759">
        <v>100</v>
      </c>
      <c r="E33" s="1679"/>
      <c r="F33" s="1490">
        <f>SUMIF(95:95,E33,96:96)-SUMIF(95:95,C33,96:96)+100</f>
        <v>100</v>
      </c>
      <c r="G33" s="1679"/>
      <c r="H33" s="759">
        <f>SUMIF(95:95,G33,96:96)-SUMIF(95:95,C33,96:96)+100</f>
        <v>100</v>
      </c>
      <c r="I33" s="1679"/>
      <c r="J33" s="759">
        <f>SUMIF(95:95,I33,96:96)-SUMIF(95:95,C33,96:96)+100</f>
        <v>100</v>
      </c>
      <c r="K33" s="1481"/>
      <c r="L33" s="1474"/>
      <c r="M33" s="1409"/>
      <c r="N33" s="1409"/>
      <c r="O33" s="1409"/>
      <c r="P33" s="3462"/>
      <c r="Q33" s="625" t="str">
        <f t="shared" si="11"/>
        <v>是否直接入户</v>
      </c>
      <c r="R33" s="1511" t="s">
        <v>1664</v>
      </c>
      <c r="S33" s="1512">
        <f t="shared" si="12"/>
        <v>100</v>
      </c>
      <c r="T33" s="1511" t="s">
        <v>1664</v>
      </c>
      <c r="U33" s="1512">
        <f t="shared" si="13"/>
        <v>100</v>
      </c>
      <c r="V33" s="1511" t="s">
        <v>1664</v>
      </c>
      <c r="W33" s="1512">
        <f t="shared" si="14"/>
        <v>100</v>
      </c>
      <c r="X33" s="1506"/>
      <c r="Y33" s="3462"/>
      <c r="Z33" s="1495" t="str">
        <f t="shared" si="15"/>
        <v>是否直接入户</v>
      </c>
      <c r="AA33" s="1495">
        <f t="shared" si="3"/>
        <v>1</v>
      </c>
      <c r="AB33" s="1495">
        <f t="shared" si="4"/>
        <v>1</v>
      </c>
      <c r="AC33" s="1495">
        <f t="shared" si="5"/>
        <v>1</v>
      </c>
    </row>
    <row r="34" spans="1:29" ht="15">
      <c r="A34" s="1735"/>
      <c r="B34" s="1575">
        <v>111</v>
      </c>
      <c r="C34" s="1335"/>
      <c r="D34" s="759">
        <v>100</v>
      </c>
      <c r="E34" s="1335"/>
      <c r="F34" s="1490">
        <f>SUMIF(97:97,E34,98:98)-SUMIF(97:97,C34,98:98)+100</f>
        <v>100</v>
      </c>
      <c r="G34" s="1335"/>
      <c r="H34" s="759">
        <f>SUMIF(97:97,G34,98:98)-SUMIF(97:97,C34,98:98)+100</f>
        <v>100</v>
      </c>
      <c r="I34" s="1335"/>
      <c r="J34" s="759">
        <f>SUMIF(97:97,I34,98:98)-SUMIF(97:97,C34,98:98)+100</f>
        <v>100</v>
      </c>
      <c r="K34" s="1480"/>
      <c r="L34" s="1474"/>
      <c r="M34" s="1409"/>
      <c r="N34" s="1409"/>
      <c r="O34" s="1409"/>
      <c r="P34" s="3462"/>
      <c r="Q34" s="625">
        <f t="shared" si="11"/>
        <v>111</v>
      </c>
      <c r="R34" s="1511" t="s">
        <v>1664</v>
      </c>
      <c r="S34" s="1512">
        <f t="shared" si="12"/>
        <v>100</v>
      </c>
      <c r="T34" s="1511" t="s">
        <v>1664</v>
      </c>
      <c r="U34" s="1512">
        <f t="shared" si="13"/>
        <v>100</v>
      </c>
      <c r="V34" s="1511" t="s">
        <v>1664</v>
      </c>
      <c r="W34" s="1512">
        <f t="shared" si="14"/>
        <v>100</v>
      </c>
      <c r="X34" s="1506"/>
      <c r="Y34" s="3462"/>
      <c r="Z34" s="1495">
        <f t="shared" si="15"/>
        <v>111</v>
      </c>
      <c r="AA34" s="1495">
        <f t="shared" si="3"/>
        <v>1</v>
      </c>
      <c r="AB34" s="1495">
        <f t="shared" si="4"/>
        <v>1</v>
      </c>
      <c r="AC34" s="1495">
        <f t="shared" si="5"/>
        <v>1</v>
      </c>
    </row>
    <row r="35" spans="1:29" s="1295" customFormat="1" ht="15">
      <c r="A35" s="1733"/>
      <c r="B35" s="1575">
        <v>111</v>
      </c>
      <c r="C35" s="1335"/>
      <c r="D35" s="759">
        <v>100</v>
      </c>
      <c r="E35" s="1335"/>
      <c r="F35" s="1490">
        <f>SUMIF(99:99,E35,100:100)-SUMIF(99:99,C35,100:100)+100</f>
        <v>100</v>
      </c>
      <c r="G35" s="1335"/>
      <c r="H35" s="759">
        <f>SUMIF(99:99,G35,100:100)-SUMIF(99:99,C35,100:100)+100</f>
        <v>100</v>
      </c>
      <c r="I35" s="1335"/>
      <c r="J35" s="759">
        <f>SUMIF(99:99,I35,100:100)-SUMIF(99:99,C35,100:100)+100</f>
        <v>100</v>
      </c>
      <c r="K35" s="1480"/>
      <c r="L35" s="1472"/>
      <c r="M35" s="1482"/>
      <c r="N35" s="1482"/>
      <c r="O35" s="1482"/>
      <c r="P35" s="3462"/>
      <c r="Q35" s="1700">
        <f t="shared" si="11"/>
        <v>111</v>
      </c>
      <c r="R35" s="1513" t="s">
        <v>1664</v>
      </c>
      <c r="S35" s="1514">
        <f t="shared" si="12"/>
        <v>100</v>
      </c>
      <c r="T35" s="1513" t="s">
        <v>1664</v>
      </c>
      <c r="U35" s="1514">
        <f t="shared" si="13"/>
        <v>100</v>
      </c>
      <c r="V35" s="1513" t="s">
        <v>1664</v>
      </c>
      <c r="W35" s="1514">
        <f t="shared" si="14"/>
        <v>100</v>
      </c>
      <c r="X35" s="1515"/>
      <c r="Y35" s="3462"/>
      <c r="Z35" s="1519">
        <f t="shared" si="15"/>
        <v>111</v>
      </c>
      <c r="AA35" s="1495">
        <f t="shared" si="3"/>
        <v>1</v>
      </c>
      <c r="AB35" s="1495">
        <f t="shared" si="4"/>
        <v>1</v>
      </c>
      <c r="AC35" s="1495">
        <f t="shared" si="5"/>
        <v>1</v>
      </c>
    </row>
    <row r="36" spans="1:29" ht="15">
      <c r="A36" s="1737"/>
      <c r="B36" s="1727">
        <v>111</v>
      </c>
      <c r="C36" s="1345"/>
      <c r="D36" s="759">
        <v>100</v>
      </c>
      <c r="E36" s="1335"/>
      <c r="F36" s="1490">
        <f>SUMIF(101:101,E36,102:102)-SUMIF(101:101,C36,102:102)+100</f>
        <v>100</v>
      </c>
      <c r="G36" s="1335"/>
      <c r="H36" s="759">
        <f>SUMIF(101:101,G36,102:102)-SUMIF(101:101,C36,102:102)+100</f>
        <v>100</v>
      </c>
      <c r="I36" s="1335"/>
      <c r="J36" s="759">
        <f>SUMIF(101:101,I36,102:102)-SUMIF(101:101,C36,102:102)+100</f>
        <v>100</v>
      </c>
      <c r="K36" s="1480"/>
      <c r="L36" s="1474"/>
      <c r="M36" s="1409"/>
      <c r="N36" s="1409"/>
      <c r="O36" s="1409"/>
      <c r="P36" s="3462"/>
      <c r="Q36" s="625">
        <f t="shared" si="11"/>
        <v>111</v>
      </c>
      <c r="R36" s="1511" t="s">
        <v>1664</v>
      </c>
      <c r="S36" s="1512">
        <f t="shared" si="12"/>
        <v>100</v>
      </c>
      <c r="T36" s="1511" t="s">
        <v>1664</v>
      </c>
      <c r="U36" s="1512">
        <f t="shared" si="13"/>
        <v>100</v>
      </c>
      <c r="V36" s="1511" t="s">
        <v>1664</v>
      </c>
      <c r="W36" s="1512">
        <f t="shared" si="14"/>
        <v>100</v>
      </c>
      <c r="X36" s="1506"/>
      <c r="Y36" s="3462"/>
      <c r="Z36" s="1495">
        <f t="shared" si="15"/>
        <v>111</v>
      </c>
      <c r="AA36" s="1495">
        <f t="shared" si="3"/>
        <v>1</v>
      </c>
      <c r="AB36" s="1495">
        <f t="shared" si="4"/>
        <v>1</v>
      </c>
      <c r="AC36" s="1495">
        <f t="shared" si="5"/>
        <v>1</v>
      </c>
    </row>
    <row r="37" spans="1:29" ht="15">
      <c r="A37" s="1392" t="s">
        <v>2251</v>
      </c>
      <c r="B37" s="1738" t="s">
        <v>2252</v>
      </c>
      <c r="C37" s="1684" t="s">
        <v>124</v>
      </c>
      <c r="D37" s="1395"/>
      <c r="E37" s="1396"/>
      <c r="F37" s="1397"/>
      <c r="G37" s="1398"/>
      <c r="H37" s="1399"/>
      <c r="I37" s="1396"/>
      <c r="J37" s="1399"/>
      <c r="K37" s="1747"/>
      <c r="L37" s="1487"/>
      <c r="M37" s="1409"/>
      <c r="N37" s="1409"/>
      <c r="O37" s="1409"/>
      <c r="P37" s="3448" t="str">
        <f>A37</f>
        <v>成交单价</v>
      </c>
      <c r="Q37" s="3448"/>
      <c r="R37" s="3446">
        <f>E37</f>
        <v>0</v>
      </c>
      <c r="S37" s="3446"/>
      <c r="T37" s="3446">
        <f>G37</f>
        <v>0</v>
      </c>
      <c r="U37" s="3446"/>
      <c r="V37" s="3446">
        <f>I37</f>
        <v>0</v>
      </c>
      <c r="W37" s="3446"/>
      <c r="X37" s="1448"/>
      <c r="Y37" s="1520"/>
      <c r="Z37" s="1448"/>
      <c r="AA37" s="1448"/>
      <c r="AB37" s="1448"/>
      <c r="AC37" s="1448"/>
    </row>
    <row r="38" spans="1:29" ht="15">
      <c r="A38" s="1400" t="s">
        <v>1712</v>
      </c>
      <c r="B38" s="1685" t="str">
        <f>B37</f>
        <v>元/平方米</v>
      </c>
      <c r="C38" s="1686" t="e">
        <f>R39</f>
        <v>#DIV/0!</v>
      </c>
      <c r="D38" s="1403" t="s">
        <v>1713</v>
      </c>
      <c r="E38" s="1687" t="e">
        <f>R38</f>
        <v>#DIV/0!</v>
      </c>
      <c r="F38" s="1404"/>
      <c r="G38" s="1686" t="e">
        <f>T38</f>
        <v>#DIV/0!</v>
      </c>
      <c r="H38" s="1404"/>
      <c r="I38" s="1687" t="e">
        <f>V38</f>
        <v>#DIV/0!</v>
      </c>
      <c r="J38" s="1404"/>
      <c r="K38" s="1488">
        <f>F38+H38+J38</f>
        <v>0</v>
      </c>
      <c r="L38" s="1487"/>
      <c r="M38" s="1409"/>
      <c r="N38" s="1409"/>
      <c r="O38" s="1409"/>
      <c r="P38" s="3448" t="str">
        <f>A38</f>
        <v>比较价值（元/平方米）</v>
      </c>
      <c r="Q38" s="3448"/>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1448"/>
      <c r="Y38" s="1448"/>
      <c r="Z38" s="1448"/>
      <c r="AA38" s="1448"/>
      <c r="AB38" s="1448"/>
      <c r="AC38" s="1448"/>
    </row>
    <row r="39" spans="1:29" ht="15">
      <c r="A39" s="1406" t="s">
        <v>2253</v>
      </c>
      <c r="B39" s="1407"/>
      <c r="C39" s="1319" t="e">
        <f>R39</f>
        <v>#DIV/0!</v>
      </c>
      <c r="D39" s="1319"/>
      <c r="E39" s="1319"/>
      <c r="F39" s="1319"/>
      <c r="G39" s="1319"/>
      <c r="H39" s="1319"/>
      <c r="I39" s="1319"/>
      <c r="J39" s="1319"/>
      <c r="K39" s="1748"/>
      <c r="L39" s="1487"/>
      <c r="M39" s="1409"/>
      <c r="N39" s="1409"/>
      <c r="O39" s="1409"/>
      <c r="P39" s="3514" t="str">
        <f>A39</f>
        <v>估价对象XX用房的比较价值（楼面单价，元/平方米）</v>
      </c>
      <c r="Q39" s="3515"/>
      <c r="R39" s="3518" t="e">
        <f>IF(F1="售价",ROUND(IF(D38="简单平均",AVERAGE(R38:W38),R38*F38+T38*H38+V38*J38),0),ROUND(IF(D38="简单平均",AVERAGE(R38:V38),R38*F38+T38*H38+V38*J38),1))</f>
        <v>#DIV/0!</v>
      </c>
      <c r="S39" s="3518"/>
      <c r="T39" s="3518"/>
      <c r="U39" s="3518"/>
      <c r="V39" s="3518"/>
      <c r="W39" s="3518"/>
      <c r="X39" s="1448"/>
      <c r="Y39" s="1448"/>
      <c r="Z39" s="1448"/>
      <c r="AA39" s="1448"/>
      <c r="AB39" s="1448"/>
      <c r="AC39" s="1448"/>
    </row>
    <row r="40" spans="1:29">
      <c r="A40" s="1409"/>
      <c r="B40" s="1409"/>
      <c r="C40" s="1409"/>
      <c r="D40" s="1409"/>
      <c r="E40" s="1409"/>
      <c r="F40" s="1409"/>
      <c r="G40" s="1410"/>
      <c r="H40" s="1409"/>
      <c r="I40" s="1409"/>
      <c r="J40" s="1409"/>
      <c r="K40" s="1491"/>
      <c r="L40" s="1492"/>
      <c r="M40" s="1409"/>
      <c r="N40" s="1409"/>
      <c r="O40" s="1409"/>
      <c r="P40" s="1749"/>
      <c r="Q40" s="1409"/>
      <c r="R40" s="1409"/>
      <c r="S40" s="1409"/>
      <c r="T40" s="1409"/>
      <c r="U40" s="1409"/>
      <c r="V40" s="1409"/>
      <c r="W40" s="1409"/>
      <c r="X40" s="1409"/>
      <c r="Y40" s="1409"/>
      <c r="Z40" s="1409"/>
      <c r="AA40" s="1409"/>
      <c r="AB40" s="1409"/>
      <c r="AC40" s="1409"/>
    </row>
    <row r="41" spans="1:29">
      <c r="A41" s="1409"/>
      <c r="B41" s="1409"/>
      <c r="C41" s="1409"/>
      <c r="D41" s="1409"/>
      <c r="E41" s="1409"/>
      <c r="F41" s="1409"/>
      <c r="G41" s="1409"/>
      <c r="H41" s="1409"/>
      <c r="I41" s="1409"/>
      <c r="J41" s="1409"/>
      <c r="K41" s="1491"/>
      <c r="L41" s="1492"/>
      <c r="M41" s="1409"/>
      <c r="N41" s="1409"/>
      <c r="O41" s="1409"/>
      <c r="P41" s="1749"/>
      <c r="Q41" s="1409"/>
      <c r="R41" s="1409"/>
      <c r="S41" s="1409"/>
      <c r="T41" s="1409"/>
      <c r="U41" s="1409"/>
      <c r="V41" s="1409"/>
      <c r="W41" s="1409"/>
      <c r="X41" s="1409"/>
      <c r="Y41" s="1409"/>
      <c r="Z41" s="1409"/>
      <c r="AA41" s="1409"/>
      <c r="AB41" s="1409"/>
      <c r="AC41" s="1409"/>
    </row>
    <row r="42" spans="1:29" ht="13.5" customHeight="1">
      <c r="A42" s="1409"/>
      <c r="B42" s="1409"/>
      <c r="C42" s="1411" t="s">
        <v>1715</v>
      </c>
      <c r="D42" s="667"/>
      <c r="E42" s="1412" t="e">
        <f>IF(E37&lt;E38,E38/E37-1,E37/E38-1)</f>
        <v>#DIV/0!</v>
      </c>
      <c r="F42" s="1413" t="e">
        <f>IF(OR(E42&gt;=0.3,E42&lt;=-0.3),"超过30%","")</f>
        <v>#DIV/0!</v>
      </c>
      <c r="G42" s="1412" t="e">
        <f>IF(G37&lt;G38,G38/G37-1,G37/G38-1)</f>
        <v>#DIV/0!</v>
      </c>
      <c r="H42" s="1413" t="e">
        <f>IF(OR(G42&gt;=0.3,G42&lt;=-0.3),"超过30%","")</f>
        <v>#DIV/0!</v>
      </c>
      <c r="I42" s="1412" t="e">
        <f>IF(I37&lt;I38,I38/I37-1,I37/I38-1)</f>
        <v>#DIV/0!</v>
      </c>
      <c r="J42" s="1413" t="e">
        <f>IF(OR(I42&gt;=0.3,I42&lt;=-0.3),"超过30%","")</f>
        <v>#DIV/0!</v>
      </c>
      <c r="K42" s="1491"/>
      <c r="L42" s="1492"/>
      <c r="M42" s="1409"/>
      <c r="N42" s="1409"/>
      <c r="O42" s="1409"/>
      <c r="P42" s="1749"/>
      <c r="Q42" s="1409"/>
      <c r="R42" s="1409"/>
      <c r="S42" s="1409"/>
      <c r="T42" s="1409"/>
      <c r="U42" s="1409"/>
      <c r="V42" s="1409"/>
      <c r="W42" s="1409"/>
      <c r="X42" s="1409"/>
      <c r="Y42" s="1409"/>
      <c r="Z42" s="1409"/>
      <c r="AA42" s="1409"/>
      <c r="AB42" s="1409"/>
      <c r="AC42" s="1409"/>
    </row>
    <row r="43" spans="1:29" ht="13.5" customHeight="1">
      <c r="A43" s="1409"/>
      <c r="B43" s="1409"/>
      <c r="C43" s="1411" t="s">
        <v>1716</v>
      </c>
      <c r="D43" s="666"/>
      <c r="E43" s="1412" t="e">
        <f>IF(E38&lt;G38,G38/E38-1,E38/G38-1)</f>
        <v>#DIV/0!</v>
      </c>
      <c r="F43" s="1413" t="e">
        <f>IF(OR(E43&gt;=0.2,E43&lt;=-0.2),"超过20%","")</f>
        <v>#DIV/0!</v>
      </c>
      <c r="G43" s="1412" t="e">
        <f>IF(G38&lt;I38,I38/G38-1,G38/I38-1)</f>
        <v>#DIV/0!</v>
      </c>
      <c r="H43" s="1413" t="e">
        <f>IF(OR(G43&gt;=0.2,G43&lt;=-0.2),"超过20%","")</f>
        <v>#DIV/0!</v>
      </c>
      <c r="I43" s="1412" t="e">
        <f>IF(I38&lt;E38,E38/I38-1,I38/E38-1)</f>
        <v>#DIV/0!</v>
      </c>
      <c r="J43" s="1413" t="e">
        <f>IF(OR(I43&gt;=0.2,I43&lt;=-0.2),"超过20%","")</f>
        <v>#DIV/0!</v>
      </c>
      <c r="K43" s="1491"/>
      <c r="L43" s="1492"/>
      <c r="M43" s="1409"/>
      <c r="N43" s="1409"/>
      <c r="O43" s="1409"/>
      <c r="P43" s="1749"/>
      <c r="Q43" s="1409"/>
      <c r="R43" s="1409"/>
      <c r="S43" s="1409"/>
      <c r="T43" s="1409"/>
      <c r="U43" s="1409"/>
      <c r="V43" s="1409"/>
      <c r="W43" s="1409"/>
      <c r="X43" s="1409"/>
      <c r="Y43" s="1409"/>
      <c r="Z43" s="1409"/>
      <c r="AA43" s="1409"/>
      <c r="AB43" s="1409"/>
      <c r="AC43" s="1409"/>
    </row>
    <row r="44" spans="1:29" s="1296" customFormat="1" ht="13.5" customHeight="1">
      <c r="A44" s="1414"/>
      <c r="B44" s="1414"/>
      <c r="C44" s="1411" t="s">
        <v>1717</v>
      </c>
      <c r="D44" s="666"/>
      <c r="E44" s="1412" t="e">
        <f>IF(E37&lt;G37,G37/E37-1,E37/G37-1)</f>
        <v>#DIV/0!</v>
      </c>
      <c r="F44" s="1413" t="e">
        <f>IF(OR(E44&gt;=0.3,E44&lt;=-0.3),"超过30%","")</f>
        <v>#DIV/0!</v>
      </c>
      <c r="G44" s="1412" t="e">
        <f>IF(G37&lt;I37,I37/G37-1,G37/I37-1)</f>
        <v>#DIV/0!</v>
      </c>
      <c r="H44" s="1413" t="e">
        <f>IF(OR(G44&gt;=0.3,G44&lt;=-0.3),"超过30%","")</f>
        <v>#DIV/0!</v>
      </c>
      <c r="I44" s="1412" t="e">
        <f>IF(I37&lt;E37,E37/I37-1,I37/E37-1)</f>
        <v>#DIV/0!</v>
      </c>
      <c r="J44" s="1413" t="e">
        <f>IF(OR(I44&gt;=0.3,I44&lt;=-0.3),"超过30%","")</f>
        <v>#DIV/0!</v>
      </c>
      <c r="K44" s="1493"/>
      <c r="L44" s="1494"/>
      <c r="M44" s="1414"/>
      <c r="N44" s="1414"/>
      <c r="O44" s="1414"/>
      <c r="P44" s="1750"/>
      <c r="Q44" s="1414"/>
      <c r="R44" s="1414"/>
      <c r="S44" s="1414"/>
      <c r="T44" s="1414"/>
      <c r="U44" s="1414"/>
      <c r="V44" s="1414"/>
      <c r="W44" s="1414"/>
      <c r="X44" s="1414"/>
      <c r="Y44" s="1414"/>
      <c r="Z44" s="1414"/>
      <c r="AA44" s="1414"/>
      <c r="AB44" s="1414"/>
      <c r="AC44" s="1414"/>
    </row>
    <row r="45" spans="1:29" s="1296" customFormat="1">
      <c r="A45" s="1414"/>
      <c r="B45" s="1415"/>
      <c r="C45" s="1688"/>
      <c r="D45" s="1414"/>
      <c r="E45" s="1414"/>
      <c r="F45" s="1414"/>
      <c r="G45" s="1414"/>
      <c r="H45" s="1414"/>
      <c r="I45" s="1414"/>
      <c r="J45" s="1414"/>
      <c r="K45" s="1493"/>
      <c r="L45" s="1494"/>
      <c r="M45" s="1414"/>
      <c r="N45" s="1414"/>
      <c r="O45" s="1414"/>
      <c r="P45" s="1750"/>
      <c r="Q45" s="1414"/>
      <c r="R45" s="1414"/>
      <c r="S45" s="1414"/>
      <c r="T45" s="1414"/>
      <c r="U45" s="1414"/>
      <c r="V45" s="1414"/>
      <c r="W45" s="1414"/>
      <c r="X45" s="1414"/>
      <c r="Y45" s="1414"/>
      <c r="Z45" s="1414"/>
      <c r="AA45" s="1414"/>
      <c r="AB45" s="1414"/>
      <c r="AC45" s="1414"/>
    </row>
    <row r="46" spans="1:29">
      <c r="A46" s="1409"/>
      <c r="B46" s="1415"/>
      <c r="C46" s="1688"/>
      <c r="D46" s="1409"/>
      <c r="E46" s="1409"/>
      <c r="F46" s="1409"/>
      <c r="G46" s="1409"/>
      <c r="H46" s="1409"/>
      <c r="I46" s="1409"/>
      <c r="J46" s="1409"/>
      <c r="K46" s="1491"/>
      <c r="L46" s="1492"/>
      <c r="M46" s="1409"/>
      <c r="N46" s="1409"/>
      <c r="O46" s="1409"/>
      <c r="P46" s="1749"/>
      <c r="Q46" s="1409"/>
      <c r="R46" s="1409"/>
      <c r="S46" s="1409"/>
      <c r="T46" s="1409"/>
      <c r="U46" s="1409"/>
      <c r="V46" s="1409"/>
      <c r="W46" s="1409"/>
      <c r="X46" s="1409"/>
      <c r="Y46" s="1409"/>
      <c r="Z46" s="1409"/>
      <c r="AA46" s="1409"/>
      <c r="AB46" s="1409"/>
      <c r="AC46" s="1409"/>
    </row>
    <row r="47" spans="1:29" ht="21">
      <c r="A47" s="1739" t="s">
        <v>1718</v>
      </c>
      <c r="B47" s="1443"/>
      <c r="C47" s="1503"/>
      <c r="D47" s="1503"/>
      <c r="E47" s="1503"/>
      <c r="F47" s="1740"/>
      <c r="G47" s="1740"/>
      <c r="H47" s="1503"/>
      <c r="I47" s="1503"/>
      <c r="J47" s="1503"/>
      <c r="K47" s="1647"/>
      <c r="L47" s="1648"/>
      <c r="M47" s="1503"/>
      <c r="N47" s="1504"/>
      <c r="O47" s="1504"/>
      <c r="P47" s="1751"/>
      <c r="Q47" s="1516"/>
      <c r="R47" s="1409"/>
      <c r="S47" s="1409"/>
      <c r="T47" s="1409"/>
      <c r="U47" s="1409"/>
      <c r="V47" s="1409"/>
      <c r="W47" s="1409"/>
      <c r="X47" s="1409"/>
      <c r="Y47" s="1409"/>
      <c r="Z47" s="1409"/>
      <c r="AA47" s="1409"/>
      <c r="AB47" s="1409"/>
      <c r="AC47" s="1409"/>
    </row>
    <row r="48" spans="1:29" s="1298" customFormat="1" ht="15">
      <c r="A48" s="1689" t="s">
        <v>1662</v>
      </c>
      <c r="B48" s="1690"/>
      <c r="C48" s="1691" t="str">
        <f>YEAR(C7)&amp;"-"&amp;MONTH(C7)</f>
        <v>2025-8</v>
      </c>
      <c r="D48" s="1692">
        <f>EDATE(C48,-1)</f>
        <v>45839</v>
      </c>
      <c r="E48" s="1692">
        <f t="shared" ref="E48:O48" si="16">EDATE(D48,-1)</f>
        <v>45809</v>
      </c>
      <c r="F48" s="1692">
        <f t="shared" si="16"/>
        <v>45778</v>
      </c>
      <c r="G48" s="1692">
        <f t="shared" si="16"/>
        <v>45748</v>
      </c>
      <c r="H48" s="1692">
        <f t="shared" si="16"/>
        <v>45717</v>
      </c>
      <c r="I48" s="1692">
        <f t="shared" si="16"/>
        <v>45689</v>
      </c>
      <c r="J48" s="1692">
        <f t="shared" si="16"/>
        <v>45658</v>
      </c>
      <c r="K48" s="1692">
        <f t="shared" si="16"/>
        <v>45627</v>
      </c>
      <c r="L48" s="1692">
        <f t="shared" si="16"/>
        <v>45597</v>
      </c>
      <c r="M48" s="1692">
        <f t="shared" si="16"/>
        <v>45566</v>
      </c>
      <c r="N48" s="1692">
        <f t="shared" si="16"/>
        <v>45536</v>
      </c>
      <c r="O48" s="1692">
        <f t="shared" si="16"/>
        <v>45505</v>
      </c>
      <c r="P48" s="1752"/>
      <c r="Q48" s="1568"/>
      <c r="R48" s="1568"/>
      <c r="S48" s="1568"/>
      <c r="T48" s="1568"/>
      <c r="U48" s="1568"/>
      <c r="V48" s="1568"/>
      <c r="W48" s="1568"/>
      <c r="X48" s="1568"/>
      <c r="Y48" s="1568"/>
      <c r="Z48" s="1568"/>
      <c r="AA48" s="1568"/>
      <c r="AB48" s="1568"/>
      <c r="AC48" s="1568"/>
    </row>
    <row r="49" spans="1:29" s="1293" customFormat="1" ht="15">
      <c r="A49" s="1366"/>
      <c r="B49" s="1532"/>
      <c r="C49" s="1741">
        <v>100</v>
      </c>
      <c r="D49" s="1536"/>
      <c r="E49" s="1536"/>
      <c r="F49" s="1536"/>
      <c r="G49" s="1536"/>
      <c r="H49" s="1536"/>
      <c r="I49" s="1536"/>
      <c r="J49" s="1536"/>
      <c r="K49" s="1536"/>
      <c r="L49" s="1536"/>
      <c r="M49" s="1341"/>
      <c r="N49" s="1536"/>
      <c r="O49" s="1341"/>
      <c r="P49" s="1753"/>
      <c r="Q49" s="1464"/>
      <c r="R49" s="1464"/>
      <c r="S49" s="1464"/>
      <c r="T49" s="1464"/>
      <c r="U49" s="1464"/>
      <c r="V49" s="1464"/>
      <c r="W49" s="1464"/>
      <c r="X49" s="1464"/>
      <c r="Y49" s="1464"/>
      <c r="Z49" s="1464"/>
      <c r="AA49" s="1464"/>
      <c r="AB49" s="1464"/>
      <c r="AC49" s="1464"/>
    </row>
    <row r="50" spans="1:29" s="1293" customFormat="1" ht="15">
      <c r="A50" s="1527" t="s">
        <v>1719</v>
      </c>
      <c r="B50" s="1528"/>
      <c r="C50" s="1529"/>
      <c r="D50" s="1530"/>
      <c r="E50" s="1530"/>
      <c r="F50" s="1530"/>
      <c r="G50" s="1530"/>
      <c r="H50" s="1530"/>
      <c r="I50" s="1530"/>
      <c r="J50" s="1530"/>
      <c r="K50" s="1530"/>
      <c r="L50" s="1530"/>
      <c r="M50" s="1570"/>
      <c r="N50" s="1530"/>
      <c r="O50" s="1570"/>
      <c r="P50" s="1753"/>
      <c r="Q50" s="1516"/>
      <c r="R50" s="1464"/>
      <c r="S50" s="1464"/>
      <c r="T50" s="1464"/>
      <c r="U50" s="1464"/>
      <c r="V50" s="1464"/>
      <c r="W50" s="1464"/>
      <c r="X50" s="1464"/>
      <c r="Y50" s="1464"/>
      <c r="Z50" s="1464"/>
      <c r="AA50" s="1464"/>
      <c r="AB50" s="1464"/>
      <c r="AC50" s="1464"/>
    </row>
    <row r="51" spans="1:29" s="1293" customFormat="1" ht="15">
      <c r="A51" s="1531" t="s">
        <v>1665</v>
      </c>
      <c r="B51" s="1532"/>
      <c r="C51" s="1533" t="s">
        <v>1720</v>
      </c>
      <c r="D51" s="1534"/>
      <c r="E51" s="1534"/>
      <c r="F51" s="1534"/>
      <c r="G51" s="1534"/>
      <c r="H51" s="1534"/>
      <c r="I51" s="1534"/>
      <c r="J51" s="1534"/>
      <c r="K51" s="1534"/>
      <c r="L51" s="1572"/>
      <c r="M51" s="1573"/>
      <c r="N51" s="1574"/>
      <c r="O51" s="1574"/>
      <c r="P51" s="1754"/>
      <c r="Q51" s="1516"/>
      <c r="R51" s="1464"/>
      <c r="S51" s="1464"/>
      <c r="T51" s="1464"/>
      <c r="U51" s="1464"/>
      <c r="V51" s="1464"/>
      <c r="W51" s="1464"/>
      <c r="X51" s="1464"/>
      <c r="Y51" s="1464"/>
      <c r="Z51" s="1464"/>
      <c r="AA51" s="1464"/>
      <c r="AB51" s="1464"/>
      <c r="AC51" s="1464"/>
    </row>
    <row r="52" spans="1:29" s="1293" customFormat="1" ht="15">
      <c r="A52" s="1531"/>
      <c r="B52" s="1532"/>
      <c r="C52" s="1535">
        <v>100</v>
      </c>
      <c r="D52" s="1536"/>
      <c r="E52" s="1536"/>
      <c r="F52" s="1536"/>
      <c r="G52" s="1536"/>
      <c r="H52" s="1536"/>
      <c r="I52" s="1536"/>
      <c r="J52" s="1536"/>
      <c r="K52" s="1536"/>
      <c r="L52" s="1536"/>
      <c r="M52" s="1575"/>
      <c r="N52" s="1574"/>
      <c r="O52" s="1574"/>
      <c r="P52" s="1753"/>
      <c r="Q52" s="1516"/>
      <c r="R52" s="1464"/>
      <c r="S52" s="1464"/>
      <c r="T52" s="1464"/>
      <c r="U52" s="1464"/>
      <c r="V52" s="1464"/>
      <c r="W52" s="1464"/>
      <c r="X52" s="1464"/>
      <c r="Y52" s="1464"/>
      <c r="Z52" s="1464"/>
      <c r="AA52" s="1464"/>
      <c r="AB52" s="1464"/>
      <c r="AC52" s="1464"/>
    </row>
    <row r="53" spans="1:29">
      <c r="A53" s="1350" t="s">
        <v>1721</v>
      </c>
      <c r="B53" s="1537" t="s">
        <v>1669</v>
      </c>
      <c r="C53" s="621">
        <f>C9</f>
        <v>0</v>
      </c>
      <c r="D53" s="1484"/>
      <c r="E53" s="1484"/>
      <c r="F53" s="1484"/>
      <c r="G53" s="1484"/>
      <c r="H53" s="1484"/>
      <c r="I53" s="1484"/>
      <c r="J53" s="1484"/>
      <c r="K53" s="1576"/>
      <c r="L53" s="1577"/>
      <c r="M53" s="1578"/>
      <c r="N53" s="1579"/>
      <c r="O53" s="1579"/>
      <c r="P53" s="1755"/>
      <c r="Q53" s="1516"/>
      <c r="R53" s="1409"/>
      <c r="S53" s="1409"/>
      <c r="T53" s="1409"/>
      <c r="U53" s="1409"/>
      <c r="V53" s="1409"/>
      <c r="W53" s="1409"/>
      <c r="X53" s="1409"/>
      <c r="Y53" s="1409"/>
      <c r="Z53" s="1409"/>
      <c r="AA53" s="1409"/>
      <c r="AB53" s="1409"/>
      <c r="AC53" s="1409"/>
    </row>
    <row r="54" spans="1:29" ht="15">
      <c r="A54" s="1337"/>
      <c r="B54" s="1538"/>
      <c r="C54" s="1539">
        <v>100</v>
      </c>
      <c r="D54" s="1539"/>
      <c r="E54" s="1539"/>
      <c r="F54" s="1539"/>
      <c r="G54" s="1539"/>
      <c r="H54" s="1539"/>
      <c r="I54" s="1539"/>
      <c r="J54" s="1539"/>
      <c r="K54" s="1539"/>
      <c r="L54" s="1539"/>
      <c r="M54" s="1580"/>
      <c r="N54" s="1581"/>
      <c r="O54" s="1581"/>
      <c r="P54" s="1755"/>
      <c r="Q54" s="1516"/>
      <c r="R54" s="1409"/>
      <c r="S54" s="1409"/>
      <c r="T54" s="1409"/>
      <c r="U54" s="1409"/>
      <c r="V54" s="1409"/>
      <c r="W54" s="1409"/>
      <c r="X54" s="1409"/>
      <c r="Y54" s="1409"/>
      <c r="Z54" s="1409"/>
      <c r="AA54" s="1409"/>
      <c r="AB54" s="1409"/>
      <c r="AC54" s="1409"/>
    </row>
    <row r="55" spans="1:29" ht="27">
      <c r="A55" s="1337"/>
      <c r="B55" s="1540" t="s">
        <v>1672</v>
      </c>
      <c r="C55" s="1562"/>
      <c r="D55" s="1562"/>
      <c r="E55" s="1562"/>
      <c r="F55" s="1562"/>
      <c r="G55" s="1562"/>
      <c r="H55" s="1562"/>
      <c r="I55" s="1562"/>
      <c r="J55" s="1562"/>
      <c r="K55" s="1607"/>
      <c r="L55" s="1608"/>
      <c r="M55" s="1609"/>
      <c r="N55" s="1579"/>
      <c r="O55" s="1579"/>
      <c r="P55" s="1755"/>
      <c r="Q55" s="1516"/>
      <c r="R55" s="1409"/>
      <c r="S55" s="1409"/>
      <c r="T55" s="1409"/>
      <c r="U55" s="1409"/>
      <c r="V55" s="1409"/>
      <c r="W55" s="1409"/>
      <c r="X55" s="1409"/>
      <c r="Y55" s="1409"/>
      <c r="Z55" s="1409"/>
      <c r="AA55" s="1409"/>
      <c r="AB55" s="1409"/>
      <c r="AC55" s="1409"/>
    </row>
    <row r="56" spans="1:29" ht="15">
      <c r="A56" s="1337"/>
      <c r="B56" s="1542"/>
      <c r="C56" s="1539"/>
      <c r="D56" s="1539"/>
      <c r="E56" s="1539"/>
      <c r="F56" s="1539"/>
      <c r="G56" s="1539"/>
      <c r="H56" s="1539"/>
      <c r="I56" s="1539"/>
      <c r="J56" s="1539"/>
      <c r="K56" s="1539"/>
      <c r="L56" s="1539"/>
      <c r="M56" s="1580"/>
      <c r="N56" s="1581"/>
      <c r="O56" s="1581"/>
      <c r="P56" s="1755"/>
      <c r="Q56" s="1516"/>
      <c r="R56" s="1409"/>
      <c r="S56" s="1409"/>
      <c r="T56" s="1409"/>
      <c r="U56" s="1409"/>
      <c r="V56" s="1409"/>
      <c r="W56" s="1409"/>
      <c r="X56" s="1409"/>
      <c r="Y56" s="1409"/>
      <c r="Z56" s="1409"/>
      <c r="AA56" s="1409"/>
      <c r="AB56" s="1409"/>
      <c r="AC56" s="1409"/>
    </row>
    <row r="57" spans="1:29" ht="15">
      <c r="A57" s="1337"/>
      <c r="B57" s="1476">
        <f>B11</f>
        <v>111</v>
      </c>
      <c r="C57" s="1343"/>
      <c r="D57" s="1343"/>
      <c r="E57" s="1343"/>
      <c r="F57" s="1343"/>
      <c r="G57" s="1343"/>
      <c r="H57" s="1343"/>
      <c r="I57" s="1343"/>
      <c r="J57" s="1343"/>
      <c r="K57" s="1586"/>
      <c r="L57" s="1587"/>
      <c r="M57" s="1588"/>
      <c r="N57" s="1579"/>
      <c r="O57" s="1579"/>
      <c r="P57" s="1755"/>
      <c r="Q57" s="1516"/>
      <c r="R57" s="1409"/>
      <c r="S57" s="1409"/>
      <c r="T57" s="1409"/>
      <c r="U57" s="1409"/>
      <c r="V57" s="1409"/>
      <c r="W57" s="1409"/>
      <c r="X57" s="1409"/>
      <c r="Y57" s="1409"/>
      <c r="Z57" s="1409"/>
      <c r="AA57" s="1409"/>
      <c r="AB57" s="1409"/>
      <c r="AC57" s="1409"/>
    </row>
    <row r="58" spans="1:29" ht="15">
      <c r="A58" s="1337"/>
      <c r="B58" s="1538"/>
      <c r="C58" s="1550"/>
      <c r="D58" s="1539"/>
      <c r="E58" s="1539"/>
      <c r="F58" s="1539"/>
      <c r="G58" s="1539"/>
      <c r="H58" s="1539"/>
      <c r="I58" s="1539"/>
      <c r="J58" s="1539"/>
      <c r="K58" s="1539"/>
      <c r="L58" s="1539"/>
      <c r="M58" s="1580"/>
      <c r="N58" s="1581"/>
      <c r="O58" s="1581"/>
      <c r="P58" s="1755"/>
      <c r="Q58" s="1516"/>
      <c r="R58" s="1409"/>
      <c r="S58" s="1409"/>
      <c r="T58" s="1409"/>
      <c r="U58" s="1409"/>
      <c r="V58" s="1409"/>
      <c r="W58" s="1409"/>
      <c r="X58" s="1409"/>
      <c r="Y58" s="1409"/>
      <c r="Z58" s="1409"/>
      <c r="AA58" s="1409"/>
      <c r="AB58" s="1409"/>
      <c r="AC58" s="1409"/>
    </row>
    <row r="59" spans="1:29" s="1295" customFormat="1" ht="15">
      <c r="A59" s="1547"/>
      <c r="B59" s="1540">
        <f>B12</f>
        <v>111</v>
      </c>
      <c r="C59" s="1343"/>
      <c r="D59" s="1343"/>
      <c r="E59" s="1343"/>
      <c r="F59" s="1343"/>
      <c r="G59" s="1548"/>
      <c r="H59" s="1549"/>
      <c r="I59" s="1549"/>
      <c r="J59" s="1549"/>
      <c r="K59" s="1549"/>
      <c r="L59" s="1589"/>
      <c r="M59" s="1590"/>
      <c r="N59" s="1591"/>
      <c r="O59" s="1591"/>
      <c r="P59" s="1756"/>
      <c r="Q59" s="1619"/>
      <c r="R59" s="1482"/>
      <c r="S59" s="1482"/>
      <c r="T59" s="1482"/>
      <c r="U59" s="1482"/>
      <c r="V59" s="1482"/>
      <c r="W59" s="1482"/>
      <c r="X59" s="1482"/>
      <c r="Y59" s="1482"/>
      <c r="Z59" s="1482"/>
      <c r="AA59" s="1482"/>
      <c r="AB59" s="1482"/>
      <c r="AC59" s="1482"/>
    </row>
    <row r="60" spans="1:29" s="1295" customFormat="1" ht="15">
      <c r="A60" s="1547"/>
      <c r="B60" s="1542"/>
      <c r="C60" s="1550"/>
      <c r="D60" s="1539"/>
      <c r="E60" s="1539"/>
      <c r="F60" s="1539"/>
      <c r="G60" s="1539"/>
      <c r="H60" s="1539"/>
      <c r="I60" s="1539"/>
      <c r="J60" s="1539"/>
      <c r="K60" s="1539"/>
      <c r="L60" s="1539"/>
      <c r="M60" s="1580"/>
      <c r="N60" s="1581"/>
      <c r="O60" s="1581"/>
      <c r="P60" s="1756"/>
      <c r="Q60" s="1619"/>
      <c r="R60" s="1482"/>
      <c r="S60" s="1482"/>
      <c r="T60" s="1482"/>
      <c r="U60" s="1482"/>
      <c r="V60" s="1482"/>
      <c r="W60" s="1482"/>
      <c r="X60" s="1482"/>
      <c r="Y60" s="1482"/>
      <c r="Z60" s="1482"/>
      <c r="AA60" s="1482"/>
      <c r="AB60" s="1482"/>
      <c r="AC60" s="1482"/>
    </row>
    <row r="61" spans="1:29" s="1295" customFormat="1" ht="15">
      <c r="A61" s="1547"/>
      <c r="B61" s="1540">
        <f>B13</f>
        <v>111</v>
      </c>
      <c r="C61" s="1548"/>
      <c r="D61" s="1548"/>
      <c r="E61" s="1548"/>
      <c r="F61" s="1548"/>
      <c r="G61" s="1548"/>
      <c r="H61" s="1549"/>
      <c r="I61" s="1549"/>
      <c r="J61" s="1549"/>
      <c r="K61" s="1549"/>
      <c r="L61" s="1589"/>
      <c r="M61" s="1590"/>
      <c r="N61" s="1591"/>
      <c r="O61" s="1591"/>
      <c r="P61" s="1757"/>
      <c r="Q61" s="1620"/>
      <c r="R61" s="1482"/>
      <c r="S61" s="1482"/>
      <c r="T61" s="1482"/>
      <c r="U61" s="1482"/>
      <c r="V61" s="1482"/>
      <c r="W61" s="1482"/>
      <c r="X61" s="1482"/>
      <c r="Y61" s="1482"/>
      <c r="Z61" s="1482"/>
      <c r="AA61" s="1482"/>
      <c r="AB61" s="1482"/>
      <c r="AC61" s="1482"/>
    </row>
    <row r="62" spans="1:29" s="1295" customFormat="1" ht="15">
      <c r="A62" s="1547"/>
      <c r="B62" s="1542"/>
      <c r="C62" s="1550"/>
      <c r="D62" s="1550"/>
      <c r="E62" s="1550"/>
      <c r="F62" s="1550"/>
      <c r="G62" s="1550"/>
      <c r="H62" s="1551"/>
      <c r="I62" s="1551"/>
      <c r="J62" s="1551"/>
      <c r="K62" s="1551"/>
      <c r="L62" s="1551"/>
      <c r="M62" s="1592"/>
      <c r="N62" s="1591"/>
      <c r="O62" s="1591"/>
      <c r="P62" s="1756"/>
      <c r="Q62" s="1619"/>
      <c r="R62" s="1482"/>
      <c r="S62" s="1482"/>
      <c r="T62" s="1482"/>
      <c r="U62" s="1482"/>
      <c r="V62" s="1482"/>
      <c r="W62" s="1482"/>
      <c r="X62" s="1482"/>
      <c r="Y62" s="1482"/>
      <c r="Z62" s="1482"/>
      <c r="AA62" s="1482"/>
      <c r="AB62" s="1482"/>
      <c r="AC62" s="1482"/>
    </row>
    <row r="63" spans="1:29">
      <c r="A63" s="1350" t="s">
        <v>1676</v>
      </c>
      <c r="B63" s="1537" t="s">
        <v>1682</v>
      </c>
      <c r="C63" s="1557" t="s">
        <v>1722</v>
      </c>
      <c r="D63" s="1557" t="s">
        <v>1723</v>
      </c>
      <c r="E63" s="1557" t="s">
        <v>1724</v>
      </c>
      <c r="F63" s="1557" t="s">
        <v>1725</v>
      </c>
      <c r="G63" s="1557" t="s">
        <v>1726</v>
      </c>
      <c r="H63" s="621"/>
      <c r="I63" s="621"/>
      <c r="J63" s="621"/>
      <c r="K63" s="1597"/>
      <c r="L63" s="1598"/>
      <c r="M63" s="1599"/>
      <c r="N63" s="1579"/>
      <c r="O63" s="1579"/>
      <c r="P63" s="1758"/>
      <c r="Q63" s="1516"/>
      <c r="R63" s="1409"/>
      <c r="S63" s="1409"/>
      <c r="T63" s="1409"/>
      <c r="U63" s="1409"/>
      <c r="V63" s="1409"/>
      <c r="W63" s="1409"/>
      <c r="X63" s="1409"/>
      <c r="Y63" s="1409"/>
      <c r="Z63" s="1409"/>
      <c r="AA63" s="1409"/>
      <c r="AB63" s="1409"/>
      <c r="AC63" s="1409"/>
    </row>
    <row r="64" spans="1:29" ht="15">
      <c r="A64" s="1337"/>
      <c r="B64" s="1542"/>
      <c r="C64" s="1543">
        <v>100</v>
      </c>
      <c r="D64" s="1543">
        <f>C64-$K14</f>
        <v>100</v>
      </c>
      <c r="E64" s="1543">
        <f>D64-$K14</f>
        <v>100</v>
      </c>
      <c r="F64" s="1543">
        <f>E64-$K14</f>
        <v>100</v>
      </c>
      <c r="G64" s="1543">
        <f>F64-$K14</f>
        <v>100</v>
      </c>
      <c r="H64" s="1543"/>
      <c r="I64" s="1543"/>
      <c r="J64" s="1543"/>
      <c r="K64" s="1543"/>
      <c r="L64" s="1543"/>
      <c r="M64" s="1585"/>
      <c r="N64" s="1581"/>
      <c r="O64" s="1581"/>
      <c r="P64" s="1755"/>
      <c r="Q64" s="1516"/>
      <c r="R64" s="1409"/>
      <c r="S64" s="1409"/>
      <c r="T64" s="1409"/>
      <c r="U64" s="1409"/>
      <c r="V64" s="1409"/>
      <c r="W64" s="1409"/>
      <c r="X64" s="1409"/>
      <c r="Y64" s="1409"/>
      <c r="Z64" s="1409"/>
      <c r="AA64" s="1409"/>
      <c r="AB64" s="1409"/>
      <c r="AC64" s="1409"/>
    </row>
    <row r="65" spans="1:29" ht="15">
      <c r="A65" s="1337"/>
      <c r="B65" s="1540" t="s">
        <v>1683</v>
      </c>
      <c r="C65" s="1558" t="s">
        <v>1722</v>
      </c>
      <c r="D65" s="1558" t="s">
        <v>1723</v>
      </c>
      <c r="E65" s="1558" t="s">
        <v>1724</v>
      </c>
      <c r="F65" s="1558" t="s">
        <v>1725</v>
      </c>
      <c r="G65" s="1558" t="s">
        <v>1726</v>
      </c>
      <c r="H65" s="1541"/>
      <c r="I65" s="1541"/>
      <c r="J65" s="1541"/>
      <c r="K65" s="1582"/>
      <c r="L65" s="1583"/>
      <c r="M65" s="1584"/>
      <c r="N65" s="1579"/>
      <c r="O65" s="1579"/>
      <c r="P65" s="1755"/>
      <c r="Q65" s="1516"/>
      <c r="R65" s="1409"/>
      <c r="S65" s="1409"/>
      <c r="T65" s="1409"/>
      <c r="U65" s="1409"/>
      <c r="V65" s="1409"/>
      <c r="W65" s="1409"/>
      <c r="X65" s="1409"/>
      <c r="Y65" s="1409"/>
      <c r="Z65" s="1409"/>
      <c r="AA65" s="1409"/>
      <c r="AB65" s="1409"/>
      <c r="AC65" s="1409"/>
    </row>
    <row r="66" spans="1:29" ht="15">
      <c r="A66" s="1337"/>
      <c r="B66" s="1542"/>
      <c r="C66" s="1543">
        <v>100</v>
      </c>
      <c r="D66" s="1543">
        <f>C66-$K16</f>
        <v>100</v>
      </c>
      <c r="E66" s="1543">
        <f>D66-$K16</f>
        <v>100</v>
      </c>
      <c r="F66" s="1543">
        <f>E66-$K16</f>
        <v>100</v>
      </c>
      <c r="G66" s="1543">
        <f>F66-$K16</f>
        <v>100</v>
      </c>
      <c r="H66" s="1543"/>
      <c r="I66" s="1543"/>
      <c r="J66" s="1543"/>
      <c r="K66" s="1543"/>
      <c r="L66" s="1543"/>
      <c r="M66" s="1585"/>
      <c r="N66" s="1581"/>
      <c r="O66" s="1581"/>
      <c r="P66" s="1755"/>
      <c r="Q66" s="1516"/>
      <c r="R66" s="1409"/>
      <c r="S66" s="1409"/>
      <c r="T66" s="1409"/>
      <c r="U66" s="1409"/>
      <c r="V66" s="1409"/>
      <c r="W66" s="1409"/>
      <c r="X66" s="1409"/>
      <c r="Y66" s="1409"/>
      <c r="Z66" s="1409"/>
      <c r="AA66" s="1409"/>
      <c r="AB66" s="1409"/>
      <c r="AC66" s="1409"/>
    </row>
    <row r="67" spans="1:29" ht="15">
      <c r="A67" s="1337"/>
      <c r="B67" s="1544" t="s">
        <v>1684</v>
      </c>
      <c r="C67" s="1476" t="s">
        <v>1727</v>
      </c>
      <c r="D67" s="1476" t="s">
        <v>1728</v>
      </c>
      <c r="E67" s="1476" t="s">
        <v>1729</v>
      </c>
      <c r="F67" s="1476" t="s">
        <v>1730</v>
      </c>
      <c r="G67" s="1476" t="s">
        <v>1731</v>
      </c>
      <c r="H67" s="1541"/>
      <c r="I67" s="1541"/>
      <c r="J67" s="1541"/>
      <c r="K67" s="1541"/>
      <c r="L67" s="1541"/>
      <c r="M67" s="1704"/>
      <c r="N67" s="1581"/>
      <c r="O67" s="1581"/>
      <c r="P67" s="1755"/>
      <c r="Q67" s="1516"/>
      <c r="R67" s="1409"/>
      <c r="S67" s="1409"/>
      <c r="T67" s="1409"/>
      <c r="U67" s="1409"/>
      <c r="V67" s="1409"/>
      <c r="W67" s="1409"/>
      <c r="X67" s="1409"/>
      <c r="Y67" s="1409"/>
      <c r="Z67" s="1409"/>
      <c r="AA67" s="1409"/>
      <c r="AB67" s="1409"/>
      <c r="AC67" s="1409"/>
    </row>
    <row r="68" spans="1:29" ht="15">
      <c r="A68" s="1337"/>
      <c r="B68" s="1544"/>
      <c r="C68" s="1543">
        <v>100</v>
      </c>
      <c r="D68" s="1543">
        <f>C68-$K18</f>
        <v>100</v>
      </c>
      <c r="E68" s="1543">
        <f>D68-$K18</f>
        <v>100</v>
      </c>
      <c r="F68" s="1543">
        <f>E68-$K18</f>
        <v>100</v>
      </c>
      <c r="G68" s="1543">
        <f>F68-$K18</f>
        <v>100</v>
      </c>
      <c r="H68" s="1476"/>
      <c r="I68" s="1476"/>
      <c r="J68" s="1476"/>
      <c r="K68" s="1476"/>
      <c r="L68" s="1476"/>
      <c r="M68" s="1359"/>
      <c r="N68" s="1581"/>
      <c r="O68" s="1581"/>
      <c r="P68" s="1755"/>
      <c r="Q68" s="1516"/>
      <c r="R68" s="1409"/>
      <c r="S68" s="1409"/>
      <c r="T68" s="1409"/>
      <c r="U68" s="1409"/>
      <c r="V68" s="1409"/>
      <c r="W68" s="1409"/>
      <c r="X68" s="1409"/>
      <c r="Y68" s="1409"/>
      <c r="Z68" s="1409"/>
      <c r="AA68" s="1409"/>
      <c r="AB68" s="1409"/>
      <c r="AC68" s="1409"/>
    </row>
    <row r="69" spans="1:29" ht="15">
      <c r="A69" s="1337"/>
      <c r="B69" s="1540" t="s">
        <v>2204</v>
      </c>
      <c r="C69" s="1558" t="s">
        <v>1722</v>
      </c>
      <c r="D69" s="1558" t="s">
        <v>1723</v>
      </c>
      <c r="E69" s="1558" t="s">
        <v>1724</v>
      </c>
      <c r="F69" s="1558" t="s">
        <v>1725</v>
      </c>
      <c r="G69" s="1558" t="s">
        <v>1726</v>
      </c>
      <c r="H69" s="1541"/>
      <c r="I69" s="1541"/>
      <c r="J69" s="1541"/>
      <c r="K69" s="1582"/>
      <c r="L69" s="1583"/>
      <c r="M69" s="1584"/>
      <c r="N69" s="1579"/>
      <c r="O69" s="1579"/>
      <c r="P69" s="1755"/>
      <c r="Q69" s="1516"/>
      <c r="R69" s="1409"/>
      <c r="S69" s="1409"/>
      <c r="T69" s="1409"/>
      <c r="U69" s="1409"/>
      <c r="V69" s="1409"/>
      <c r="W69" s="1409"/>
      <c r="X69" s="1409"/>
      <c r="Y69" s="1409"/>
      <c r="Z69" s="1409"/>
      <c r="AA69" s="1409"/>
      <c r="AB69" s="1409"/>
      <c r="AC69" s="1409"/>
    </row>
    <row r="70" spans="1:29" ht="15">
      <c r="A70" s="1337"/>
      <c r="B70" s="1542"/>
      <c r="C70" s="1543">
        <v>100</v>
      </c>
      <c r="D70" s="1543">
        <f>C70-$K20</f>
        <v>100</v>
      </c>
      <c r="E70" s="1543">
        <f>D70-$K20</f>
        <v>100</v>
      </c>
      <c r="F70" s="1543">
        <f>E70-$K20</f>
        <v>100</v>
      </c>
      <c r="G70" s="1543">
        <f>F70-$K20</f>
        <v>100</v>
      </c>
      <c r="H70" s="1543"/>
      <c r="I70" s="1543"/>
      <c r="J70" s="1543"/>
      <c r="K70" s="1543"/>
      <c r="L70" s="1543"/>
      <c r="M70" s="1585"/>
      <c r="N70" s="1581"/>
      <c r="O70" s="1581"/>
      <c r="P70" s="1755"/>
      <c r="Q70" s="1516"/>
      <c r="R70" s="1409"/>
      <c r="S70" s="1409"/>
      <c r="T70" s="1409"/>
      <c r="U70" s="1409"/>
      <c r="V70" s="1409"/>
      <c r="W70" s="1409"/>
      <c r="X70" s="1409"/>
      <c r="Y70" s="1409"/>
      <c r="Z70" s="1409"/>
      <c r="AA70" s="1409"/>
      <c r="AB70" s="1409"/>
      <c r="AC70" s="1409"/>
    </row>
    <row r="71" spans="1:29" ht="15">
      <c r="A71" s="1337"/>
      <c r="B71" s="1540" t="s">
        <v>1689</v>
      </c>
      <c r="C71" s="1548"/>
      <c r="D71" s="1548"/>
      <c r="E71" s="1548"/>
      <c r="F71" s="1548"/>
      <c r="G71" s="1548"/>
      <c r="H71" s="1562"/>
      <c r="I71" s="1562"/>
      <c r="J71" s="1562"/>
      <c r="K71" s="1607"/>
      <c r="L71" s="1608"/>
      <c r="M71" s="1609"/>
      <c r="N71" s="1579"/>
      <c r="O71" s="1579"/>
      <c r="P71" s="1755"/>
      <c r="Q71" s="1516"/>
      <c r="R71" s="1409"/>
      <c r="S71" s="1409"/>
      <c r="T71" s="1409"/>
      <c r="U71" s="1409"/>
      <c r="V71" s="1409"/>
      <c r="W71" s="1409"/>
      <c r="X71" s="1409"/>
      <c r="Y71" s="1409"/>
      <c r="Z71" s="1409"/>
      <c r="AA71" s="1409"/>
      <c r="AB71" s="1409"/>
      <c r="AC71" s="1409"/>
    </row>
    <row r="72" spans="1:29" ht="15">
      <c r="A72" s="1337"/>
      <c r="B72" s="1542"/>
      <c r="C72" s="1543">
        <v>100</v>
      </c>
      <c r="D72" s="1543">
        <f>C72-$K22</f>
        <v>100</v>
      </c>
      <c r="E72" s="1543">
        <f>D72-$K22</f>
        <v>100</v>
      </c>
      <c r="F72" s="1543">
        <f>E72-$K22</f>
        <v>100</v>
      </c>
      <c r="G72" s="1543">
        <f>F72-$K22</f>
        <v>100</v>
      </c>
      <c r="H72" s="1543"/>
      <c r="I72" s="1543"/>
      <c r="J72" s="1543"/>
      <c r="K72" s="1543"/>
      <c r="L72" s="1543"/>
      <c r="M72" s="1585"/>
      <c r="N72" s="1581"/>
      <c r="O72" s="1581"/>
      <c r="P72" s="1755"/>
      <c r="Q72" s="1516"/>
      <c r="R72" s="1409"/>
      <c r="S72" s="1409"/>
      <c r="T72" s="1409"/>
      <c r="U72" s="1409"/>
      <c r="V72" s="1409"/>
      <c r="W72" s="1409"/>
      <c r="X72" s="1409"/>
      <c r="Y72" s="1409"/>
      <c r="Z72" s="1409"/>
      <c r="AA72" s="1409"/>
      <c r="AB72" s="1409"/>
      <c r="AC72" s="1409"/>
    </row>
    <row r="73" spans="1:29" s="1293" customFormat="1" ht="15">
      <c r="A73" s="1340"/>
      <c r="B73" s="1540">
        <f>B23</f>
        <v>111</v>
      </c>
      <c r="C73" s="1343"/>
      <c r="D73" s="1343"/>
      <c r="E73" s="1343"/>
      <c r="F73" s="1343"/>
      <c r="G73" s="1548"/>
      <c r="H73" s="1548"/>
      <c r="I73" s="1548"/>
      <c r="J73" s="1548"/>
      <c r="K73" s="1548"/>
      <c r="L73" s="1705"/>
      <c r="M73" s="1706"/>
      <c r="N73" s="1574"/>
      <c r="O73" s="1574"/>
      <c r="P73" s="1755"/>
      <c r="Q73" s="1516"/>
      <c r="R73" s="1464"/>
      <c r="S73" s="1464"/>
      <c r="T73" s="1464"/>
      <c r="U73" s="1464"/>
      <c r="V73" s="1464"/>
      <c r="W73" s="1464"/>
      <c r="X73" s="1464"/>
      <c r="Y73" s="1464"/>
      <c r="Z73" s="1464"/>
      <c r="AA73" s="1464"/>
      <c r="AB73" s="1464"/>
      <c r="AC73" s="1464"/>
    </row>
    <row r="74" spans="1:29" s="1293" customFormat="1" ht="15">
      <c r="A74" s="1340"/>
      <c r="B74" s="1542"/>
      <c r="C74" s="1550"/>
      <c r="D74" s="1539"/>
      <c r="E74" s="1539"/>
      <c r="F74" s="1539"/>
      <c r="G74" s="1539"/>
      <c r="H74" s="1539"/>
      <c r="I74" s="1539"/>
      <c r="J74" s="1539"/>
      <c r="K74" s="1539"/>
      <c r="L74" s="1539"/>
      <c r="M74" s="1580"/>
      <c r="N74" s="1581"/>
      <c r="O74" s="1581"/>
      <c r="P74" s="1755"/>
      <c r="Q74" s="1516"/>
      <c r="R74" s="1464"/>
      <c r="S74" s="1464"/>
      <c r="T74" s="1464"/>
      <c r="U74" s="1464"/>
      <c r="V74" s="1464"/>
      <c r="W74" s="1464"/>
      <c r="X74" s="1464"/>
      <c r="Y74" s="1464"/>
      <c r="Z74" s="1464"/>
      <c r="AA74" s="1464"/>
      <c r="AB74" s="1464"/>
      <c r="AC74" s="1464"/>
    </row>
    <row r="75" spans="1:29" s="1293" customFormat="1" ht="15">
      <c r="A75" s="1340"/>
      <c r="B75" s="1540">
        <f>B24</f>
        <v>111</v>
      </c>
      <c r="C75" s="1343"/>
      <c r="D75" s="1343"/>
      <c r="E75" s="1343"/>
      <c r="F75" s="1343"/>
      <c r="G75" s="1548"/>
      <c r="H75" s="1548"/>
      <c r="I75" s="1548"/>
      <c r="J75" s="1548"/>
      <c r="K75" s="1548"/>
      <c r="L75" s="1548"/>
      <c r="M75" s="1706"/>
      <c r="N75" s="1574"/>
      <c r="O75" s="1574"/>
      <c r="P75" s="1755"/>
      <c r="Q75" s="1516"/>
      <c r="R75" s="1464"/>
      <c r="S75" s="1464"/>
      <c r="T75" s="1464"/>
      <c r="U75" s="1464"/>
      <c r="V75" s="1464"/>
      <c r="W75" s="1464"/>
      <c r="X75" s="1464"/>
      <c r="Y75" s="1464"/>
      <c r="Z75" s="1464"/>
      <c r="AA75" s="1464"/>
      <c r="AB75" s="1464"/>
      <c r="AC75" s="1464"/>
    </row>
    <row r="76" spans="1:29" s="1293" customFormat="1" ht="15">
      <c r="A76" s="1340"/>
      <c r="B76" s="1542"/>
      <c r="C76" s="1550"/>
      <c r="D76" s="1539"/>
      <c r="E76" s="1539"/>
      <c r="F76" s="1539"/>
      <c r="G76" s="1539"/>
      <c r="H76" s="1539"/>
      <c r="I76" s="1539"/>
      <c r="J76" s="1539"/>
      <c r="K76" s="1539"/>
      <c r="L76" s="1539"/>
      <c r="M76" s="1580"/>
      <c r="N76" s="1581"/>
      <c r="O76" s="1581"/>
      <c r="P76" s="1755"/>
      <c r="Q76" s="1516"/>
      <c r="R76" s="1464"/>
      <c r="S76" s="1464"/>
      <c r="T76" s="1464"/>
      <c r="U76" s="1464"/>
      <c r="V76" s="1464"/>
      <c r="W76" s="1464"/>
      <c r="X76" s="1464"/>
      <c r="Y76" s="1464"/>
      <c r="Z76" s="1464"/>
      <c r="AA76" s="1464"/>
      <c r="AB76" s="1464"/>
      <c r="AC76" s="1464"/>
    </row>
    <row r="77" spans="1:29" s="1295" customFormat="1" ht="15">
      <c r="A77" s="1547"/>
      <c r="B77" s="1540">
        <f>B25</f>
        <v>111</v>
      </c>
      <c r="C77" s="1548"/>
      <c r="D77" s="1548"/>
      <c r="E77" s="1548"/>
      <c r="F77" s="1548"/>
      <c r="G77" s="1548"/>
      <c r="H77" s="1549"/>
      <c r="I77" s="1549"/>
      <c r="J77" s="1549"/>
      <c r="K77" s="1549"/>
      <c r="L77" s="1589"/>
      <c r="M77" s="1590"/>
      <c r="N77" s="1591"/>
      <c r="O77" s="1591"/>
      <c r="P77" s="1756"/>
      <c r="Q77" s="1619"/>
      <c r="R77" s="1482"/>
      <c r="S77" s="1482"/>
      <c r="T77" s="1482"/>
      <c r="U77" s="1482"/>
      <c r="V77" s="1482"/>
      <c r="W77" s="1482"/>
      <c r="X77" s="1482"/>
      <c r="Y77" s="1482"/>
      <c r="Z77" s="1482"/>
      <c r="AA77" s="1482"/>
      <c r="AB77" s="1482"/>
      <c r="AC77" s="1482"/>
    </row>
    <row r="78" spans="1:29" s="1295" customFormat="1" ht="15">
      <c r="A78" s="1547"/>
      <c r="B78" s="1542"/>
      <c r="C78" s="1550"/>
      <c r="D78" s="1550"/>
      <c r="E78" s="1550"/>
      <c r="F78" s="1550"/>
      <c r="G78" s="1539"/>
      <c r="H78" s="1539"/>
      <c r="I78" s="1539"/>
      <c r="J78" s="1539"/>
      <c r="K78" s="1539"/>
      <c r="L78" s="1539"/>
      <c r="M78" s="1580"/>
      <c r="N78" s="1591"/>
      <c r="O78" s="1591"/>
      <c r="P78" s="1756"/>
      <c r="Q78" s="1619"/>
      <c r="R78" s="1482"/>
      <c r="S78" s="1482"/>
      <c r="T78" s="1482"/>
      <c r="U78" s="1482"/>
      <c r="V78" s="1482"/>
      <c r="W78" s="1482"/>
      <c r="X78" s="1482"/>
      <c r="Y78" s="1482"/>
      <c r="Z78" s="1482"/>
      <c r="AA78" s="1482"/>
      <c r="AB78" s="1482"/>
      <c r="AC78" s="1482"/>
    </row>
    <row r="79" spans="1:29" ht="27">
      <c r="A79" s="1350" t="s">
        <v>1691</v>
      </c>
      <c r="B79" s="1537" t="s">
        <v>2254</v>
      </c>
      <c r="C79" s="621" t="str">
        <f>C26</f>
        <v>车库</v>
      </c>
      <c r="D79" s="1484"/>
      <c r="E79" s="1484"/>
      <c r="F79" s="1484"/>
      <c r="G79" s="1484"/>
      <c r="H79" s="1484"/>
      <c r="I79" s="1484"/>
      <c r="J79" s="1484"/>
      <c r="K79" s="1576"/>
      <c r="L79" s="1577"/>
      <c r="M79" s="1578"/>
      <c r="N79" s="1579"/>
      <c r="O79" s="1579"/>
      <c r="P79" s="1755"/>
      <c r="Q79" s="1516"/>
      <c r="R79" s="1409"/>
      <c r="S79" s="1409"/>
      <c r="T79" s="1409"/>
      <c r="U79" s="1409"/>
      <c r="V79" s="1409"/>
      <c r="W79" s="1409"/>
      <c r="X79" s="1409"/>
      <c r="Y79" s="1409"/>
      <c r="Z79" s="1409"/>
      <c r="AA79" s="1409"/>
      <c r="AB79" s="1409"/>
      <c r="AC79" s="1409"/>
    </row>
    <row r="80" spans="1:29" ht="15">
      <c r="A80" s="1337"/>
      <c r="B80" s="1542"/>
      <c r="C80" s="1543">
        <v>100</v>
      </c>
      <c r="D80" s="1543">
        <f t="shared" ref="D80:M80" si="17">C80-$K26</f>
        <v>100</v>
      </c>
      <c r="E80" s="1543">
        <f t="shared" si="17"/>
        <v>100</v>
      </c>
      <c r="F80" s="1543">
        <f t="shared" si="17"/>
        <v>100</v>
      </c>
      <c r="G80" s="1543">
        <f t="shared" si="17"/>
        <v>100</v>
      </c>
      <c r="H80" s="1543">
        <f t="shared" si="17"/>
        <v>100</v>
      </c>
      <c r="I80" s="1543">
        <f t="shared" si="17"/>
        <v>100</v>
      </c>
      <c r="J80" s="1543">
        <f t="shared" si="17"/>
        <v>100</v>
      </c>
      <c r="K80" s="1543">
        <f t="shared" si="17"/>
        <v>100</v>
      </c>
      <c r="L80" s="1543">
        <f t="shared" si="17"/>
        <v>100</v>
      </c>
      <c r="M80" s="1585">
        <f t="shared" si="17"/>
        <v>100</v>
      </c>
      <c r="N80" s="1581"/>
      <c r="O80" s="1581"/>
      <c r="P80" s="1755"/>
      <c r="Q80" s="1516"/>
      <c r="R80" s="1409"/>
      <c r="S80" s="1409"/>
      <c r="T80" s="1409"/>
      <c r="U80" s="1409"/>
      <c r="V80" s="1409"/>
      <c r="W80" s="1409"/>
      <c r="X80" s="1409"/>
      <c r="Y80" s="1409"/>
      <c r="Z80" s="1409"/>
      <c r="AA80" s="1409"/>
      <c r="AB80" s="1409"/>
      <c r="AC80" s="1409"/>
    </row>
    <row r="81" spans="1:29" ht="15">
      <c r="A81" s="1337"/>
      <c r="B81" s="1540" t="s">
        <v>2245</v>
      </c>
      <c r="C81" s="1759"/>
      <c r="D81" s="1759"/>
      <c r="E81" s="1759"/>
      <c r="F81" s="1759"/>
      <c r="G81" s="1759"/>
      <c r="H81" s="1759"/>
      <c r="I81" s="1759"/>
      <c r="J81" s="1759"/>
      <c r="K81" s="1760"/>
      <c r="L81" s="1761"/>
      <c r="M81" s="1762"/>
      <c r="N81" s="1574"/>
      <c r="O81" s="1574"/>
      <c r="P81" s="1755"/>
      <c r="Q81" s="1516"/>
      <c r="R81" s="1409"/>
      <c r="S81" s="1409"/>
      <c r="T81" s="1409"/>
      <c r="U81" s="1409"/>
      <c r="V81" s="1409"/>
      <c r="W81" s="1409"/>
      <c r="X81" s="1409"/>
      <c r="Y81" s="1409"/>
      <c r="Z81" s="1409"/>
      <c r="AA81" s="1409"/>
      <c r="AB81" s="1409"/>
      <c r="AC81" s="1409"/>
    </row>
    <row r="82" spans="1:29" s="1295" customFormat="1" ht="15">
      <c r="A82" s="1547"/>
      <c r="B82" s="1542"/>
      <c r="C82" s="1550"/>
      <c r="D82" s="1539"/>
      <c r="E82" s="1539"/>
      <c r="F82" s="1539"/>
      <c r="G82" s="1539"/>
      <c r="H82" s="1539"/>
      <c r="I82" s="1539"/>
      <c r="J82" s="1539"/>
      <c r="K82" s="1539"/>
      <c r="L82" s="1539"/>
      <c r="M82" s="1580"/>
      <c r="N82" s="1581"/>
      <c r="O82" s="1581"/>
      <c r="P82" s="1756"/>
      <c r="Q82" s="1619"/>
      <c r="R82" s="1482"/>
      <c r="S82" s="1482"/>
      <c r="T82" s="1482"/>
      <c r="U82" s="1482"/>
      <c r="V82" s="1482"/>
      <c r="W82" s="1482"/>
      <c r="X82" s="1482"/>
      <c r="Y82" s="1482"/>
      <c r="Z82" s="1482"/>
      <c r="AA82" s="1482"/>
      <c r="AB82" s="1482"/>
      <c r="AC82" s="1482"/>
    </row>
    <row r="83" spans="1:29">
      <c r="A83" s="1385"/>
      <c r="B83" s="1540" t="s">
        <v>1698</v>
      </c>
      <c r="C83" s="1548"/>
      <c r="D83" s="1548"/>
      <c r="E83" s="1562"/>
      <c r="F83" s="1562"/>
      <c r="G83" s="1562"/>
      <c r="H83" s="1562"/>
      <c r="I83" s="1562"/>
      <c r="J83" s="1562"/>
      <c r="K83" s="1607"/>
      <c r="L83" s="1608"/>
      <c r="M83" s="1609"/>
      <c r="N83" s="1579"/>
      <c r="O83" s="1579"/>
      <c r="P83" s="1755"/>
      <c r="Q83" s="1516"/>
      <c r="R83" s="1409"/>
      <c r="S83" s="1409"/>
      <c r="T83" s="1409"/>
      <c r="U83" s="1409"/>
      <c r="V83" s="1409"/>
      <c r="W83" s="1409"/>
      <c r="X83" s="1409"/>
      <c r="Y83" s="1409"/>
      <c r="Z83" s="1409"/>
      <c r="AA83" s="1409"/>
      <c r="AB83" s="1409"/>
      <c r="AC83" s="1409"/>
    </row>
    <row r="84" spans="1:29" ht="15">
      <c r="A84" s="1337"/>
      <c r="B84" s="1542"/>
      <c r="C84" s="1543">
        <v>100</v>
      </c>
      <c r="D84" s="1543">
        <f t="shared" ref="D84:M84" si="18">C84-$K28</f>
        <v>100</v>
      </c>
      <c r="E84" s="1543">
        <f t="shared" si="18"/>
        <v>100</v>
      </c>
      <c r="F84" s="1543">
        <f t="shared" si="18"/>
        <v>100</v>
      </c>
      <c r="G84" s="1543">
        <f t="shared" si="18"/>
        <v>100</v>
      </c>
      <c r="H84" s="1543">
        <f t="shared" si="18"/>
        <v>100</v>
      </c>
      <c r="I84" s="1543">
        <f t="shared" si="18"/>
        <v>100</v>
      </c>
      <c r="J84" s="1543">
        <f t="shared" si="18"/>
        <v>100</v>
      </c>
      <c r="K84" s="1543">
        <f t="shared" si="18"/>
        <v>100</v>
      </c>
      <c r="L84" s="1543">
        <f t="shared" si="18"/>
        <v>100</v>
      </c>
      <c r="M84" s="1585">
        <f t="shared" si="18"/>
        <v>100</v>
      </c>
      <c r="N84" s="1581"/>
      <c r="O84" s="1581"/>
      <c r="P84" s="1755"/>
      <c r="Q84" s="1516"/>
      <c r="R84" s="1409"/>
      <c r="S84" s="1409"/>
      <c r="T84" s="1409"/>
      <c r="U84" s="1409"/>
      <c r="V84" s="1409"/>
      <c r="W84" s="1409"/>
      <c r="X84" s="1409"/>
      <c r="Y84" s="1409"/>
      <c r="Z84" s="1409"/>
      <c r="AA84" s="1409"/>
      <c r="AB84" s="1409"/>
      <c r="AC84" s="1409"/>
    </row>
    <row r="85" spans="1:29">
      <c r="A85" s="1385"/>
      <c r="B85" s="1540" t="s">
        <v>2246</v>
      </c>
      <c r="C85" s="1558" t="str">
        <f>C86&amp;"(含)"&amp;"-"&amp;D86</f>
        <v>0.5(含)-0.6</v>
      </c>
      <c r="D85" s="1558" t="str">
        <f>D86&amp;"(含)"&amp;"-"&amp;E86</f>
        <v>0.6(含)-0.7</v>
      </c>
      <c r="E85" s="1558" t="str">
        <f>E86&amp;"(含)"&amp;"-"&amp;F86</f>
        <v>0.7(含)-0.8</v>
      </c>
      <c r="F85" s="1558" t="str">
        <f>F86&amp;"(含)"&amp;"-"&amp;G86</f>
        <v>0.8(含)-0.9</v>
      </c>
      <c r="G85" s="1558" t="str">
        <f>G86&amp;"(含)"&amp;"-"&amp;ROUND(H86,0)&amp;"(含)"</f>
        <v>0.9(含)-1(含)</v>
      </c>
      <c r="H85" s="1558"/>
      <c r="I85" s="1562"/>
      <c r="J85" s="1562"/>
      <c r="K85" s="1607"/>
      <c r="L85" s="1608"/>
      <c r="M85" s="1609"/>
      <c r="N85" s="1579"/>
      <c r="O85" s="1579"/>
      <c r="P85" s="1755"/>
      <c r="Q85" s="1516"/>
      <c r="R85" s="1409"/>
      <c r="S85" s="1409"/>
      <c r="T85" s="1409"/>
      <c r="U85" s="1409"/>
      <c r="V85" s="1409"/>
      <c r="W85" s="1409"/>
      <c r="X85" s="1409"/>
      <c r="Y85" s="1409"/>
      <c r="Z85" s="1409"/>
      <c r="AA85" s="1409"/>
      <c r="AB85" s="1409"/>
      <c r="AC85" s="1409"/>
    </row>
    <row r="86" spans="1:29">
      <c r="A86" s="1385"/>
      <c r="B86" s="1544"/>
      <c r="C86" s="794">
        <v>0.5</v>
      </c>
      <c r="D86" s="794">
        <v>0.6</v>
      </c>
      <c r="E86" s="794">
        <v>0.7</v>
      </c>
      <c r="F86" s="794">
        <v>0.8</v>
      </c>
      <c r="G86" s="794">
        <v>0.9</v>
      </c>
      <c r="H86" s="794">
        <v>1.0001</v>
      </c>
      <c r="I86" s="1763"/>
      <c r="J86" s="1763"/>
      <c r="K86" s="1764"/>
      <c r="L86" s="1765"/>
      <c r="M86" s="1766"/>
      <c r="N86" s="1579"/>
      <c r="O86" s="1579"/>
      <c r="P86" s="1755"/>
      <c r="Q86" s="1516"/>
      <c r="R86" s="1409"/>
      <c r="S86" s="1409"/>
      <c r="T86" s="1409"/>
      <c r="U86" s="1409"/>
      <c r="V86" s="1409"/>
      <c r="W86" s="1409"/>
      <c r="X86" s="1409"/>
      <c r="Y86" s="1409"/>
      <c r="Z86" s="1409"/>
      <c r="AA86" s="1409"/>
      <c r="AB86" s="1409"/>
      <c r="AC86" s="1409"/>
    </row>
    <row r="87" spans="1:29" ht="15">
      <c r="A87" s="1337"/>
      <c r="B87" s="1542"/>
      <c r="C87" s="1559">
        <v>100</v>
      </c>
      <c r="D87" s="1543">
        <f>C87+$K$29</f>
        <v>100</v>
      </c>
      <c r="E87" s="1543">
        <f t="shared" ref="E87:M87" si="19">D87+$K$29</f>
        <v>100</v>
      </c>
      <c r="F87" s="1543">
        <f t="shared" si="19"/>
        <v>100</v>
      </c>
      <c r="G87" s="1543">
        <f t="shared" si="19"/>
        <v>100</v>
      </c>
      <c r="H87" s="1543">
        <f t="shared" si="19"/>
        <v>100</v>
      </c>
      <c r="I87" s="1543">
        <f t="shared" si="19"/>
        <v>100</v>
      </c>
      <c r="J87" s="1543">
        <f t="shared" si="19"/>
        <v>100</v>
      </c>
      <c r="K87" s="1543">
        <f t="shared" si="19"/>
        <v>100</v>
      </c>
      <c r="L87" s="1543">
        <f t="shared" si="19"/>
        <v>100</v>
      </c>
      <c r="M87" s="1543">
        <f t="shared" si="19"/>
        <v>100</v>
      </c>
      <c r="N87" s="1581"/>
      <c r="O87" s="1581"/>
      <c r="P87" s="1755"/>
      <c r="Q87" s="1516"/>
      <c r="R87" s="1409"/>
      <c r="S87" s="1409"/>
      <c r="T87" s="1409"/>
      <c r="U87" s="1409"/>
      <c r="V87" s="1409"/>
      <c r="W87" s="1409"/>
      <c r="X87" s="1409"/>
      <c r="Y87" s="1409"/>
      <c r="Z87" s="1409"/>
      <c r="AA87" s="1409"/>
      <c r="AB87" s="1409"/>
      <c r="AC87" s="1409"/>
    </row>
    <row r="88" spans="1:29">
      <c r="A88" s="1385"/>
      <c r="B88" s="1544" t="s">
        <v>2247</v>
      </c>
      <c r="C88" s="1484"/>
      <c r="D88" s="1484"/>
      <c r="E88" s="1484"/>
      <c r="F88" s="1484"/>
      <c r="G88" s="1484"/>
      <c r="H88" s="1484"/>
      <c r="I88" s="1484"/>
      <c r="J88" s="1484"/>
      <c r="K88" s="1576"/>
      <c r="L88" s="1577"/>
      <c r="M88" s="1578"/>
      <c r="N88" s="1579"/>
      <c r="O88" s="1579"/>
      <c r="P88" s="1755"/>
      <c r="Q88" s="1516"/>
      <c r="R88" s="1409"/>
      <c r="S88" s="1409"/>
      <c r="T88" s="1409"/>
      <c r="U88" s="1409"/>
      <c r="V88" s="1409"/>
      <c r="W88" s="1409"/>
      <c r="X88" s="1409"/>
      <c r="Y88" s="1409"/>
      <c r="Z88" s="1409"/>
      <c r="AA88" s="1409"/>
      <c r="AB88" s="1409"/>
      <c r="AC88" s="1409"/>
    </row>
    <row r="89" spans="1:29" ht="15">
      <c r="A89" s="1337"/>
      <c r="B89" s="1542"/>
      <c r="C89" s="1559">
        <v>100</v>
      </c>
      <c r="D89" s="1543">
        <f t="shared" ref="D89:M89" si="20">C89+$K30</f>
        <v>100</v>
      </c>
      <c r="E89" s="1543">
        <f t="shared" si="20"/>
        <v>100</v>
      </c>
      <c r="F89" s="1543">
        <f t="shared" si="20"/>
        <v>100</v>
      </c>
      <c r="G89" s="1543">
        <f t="shared" si="20"/>
        <v>100</v>
      </c>
      <c r="H89" s="1543">
        <f t="shared" si="20"/>
        <v>100</v>
      </c>
      <c r="I89" s="1543">
        <f t="shared" si="20"/>
        <v>100</v>
      </c>
      <c r="J89" s="1543">
        <f t="shared" si="20"/>
        <v>100</v>
      </c>
      <c r="K89" s="1543">
        <f t="shared" si="20"/>
        <v>100</v>
      </c>
      <c r="L89" s="1543">
        <f t="shared" si="20"/>
        <v>100</v>
      </c>
      <c r="M89" s="1543">
        <f t="shared" si="20"/>
        <v>100</v>
      </c>
      <c r="N89" s="1581"/>
      <c r="O89" s="1581"/>
      <c r="P89" s="1755"/>
      <c r="Q89" s="1516"/>
      <c r="R89" s="1409"/>
      <c r="S89" s="1409"/>
      <c r="T89" s="1409"/>
      <c r="U89" s="1409"/>
      <c r="V89" s="1409"/>
      <c r="W89" s="1409"/>
      <c r="X89" s="1409"/>
      <c r="Y89" s="1409"/>
      <c r="Z89" s="1409"/>
      <c r="AA89" s="1409"/>
      <c r="AB89" s="1409"/>
      <c r="AC89" s="1409"/>
    </row>
    <row r="90" spans="1:29" s="1295" customFormat="1">
      <c r="A90" s="1390"/>
      <c r="B90" s="1540" t="s">
        <v>2248</v>
      </c>
      <c r="C90" s="1558" t="str">
        <f>C91&amp;"(含)"&amp;"-"&amp;D91</f>
        <v>(含)-</v>
      </c>
      <c r="D90" s="1558" t="str">
        <f t="shared" ref="D90:L90" si="21">D91&amp;"(含)"&amp;"-"&amp;E91</f>
        <v>(含)-</v>
      </c>
      <c r="E90" s="1558" t="str">
        <f t="shared" si="21"/>
        <v>(含)-</v>
      </c>
      <c r="F90" s="1558" t="str">
        <f t="shared" si="21"/>
        <v>(含)-</v>
      </c>
      <c r="G90" s="1558" t="str">
        <f t="shared" si="21"/>
        <v>(含)-</v>
      </c>
      <c r="H90" s="1558" t="str">
        <f t="shared" si="21"/>
        <v>(含)-</v>
      </c>
      <c r="I90" s="1558" t="str">
        <f t="shared" si="21"/>
        <v>(含)-</v>
      </c>
      <c r="J90" s="1558" t="str">
        <f t="shared" si="21"/>
        <v>(含)-</v>
      </c>
      <c r="K90" s="1558" t="str">
        <f t="shared" si="21"/>
        <v>(含)-</v>
      </c>
      <c r="L90" s="1558" t="str">
        <f t="shared" si="21"/>
        <v>(含)-</v>
      </c>
      <c r="M90" s="1602" t="str">
        <f>M91&amp;"(含)"&amp;"-"&amp;P91</f>
        <v>(含)-</v>
      </c>
      <c r="N90" s="1591"/>
      <c r="O90" s="1591"/>
      <c r="P90" s="1756"/>
      <c r="Q90" s="1619"/>
      <c r="R90" s="1482"/>
      <c r="S90" s="1482"/>
      <c r="T90" s="1482"/>
      <c r="U90" s="1482"/>
      <c r="V90" s="1482"/>
      <c r="W90" s="1482"/>
      <c r="X90" s="1482"/>
      <c r="Y90" s="1482"/>
      <c r="Z90" s="1482"/>
      <c r="AA90" s="1482"/>
      <c r="AB90" s="1482"/>
      <c r="AC90" s="1482"/>
    </row>
    <row r="91" spans="1:29" s="1295" customFormat="1">
      <c r="A91" s="1390"/>
      <c r="B91" s="1544"/>
      <c r="C91" s="1526"/>
      <c r="D91" s="1526"/>
      <c r="E91" s="1526"/>
      <c r="F91" s="1526"/>
      <c r="G91" s="1526"/>
      <c r="H91" s="1526"/>
      <c r="I91" s="1526"/>
      <c r="J91" s="1614"/>
      <c r="K91" s="1614"/>
      <c r="L91" s="1615"/>
      <c r="M91" s="1616"/>
      <c r="N91" s="1591"/>
      <c r="O91" s="1591"/>
      <c r="P91" s="1756"/>
      <c r="Q91" s="1619"/>
      <c r="R91" s="1482"/>
      <c r="S91" s="1482"/>
      <c r="T91" s="1482"/>
      <c r="U91" s="1482"/>
      <c r="V91" s="1482"/>
      <c r="W91" s="1482"/>
      <c r="X91" s="1482"/>
      <c r="Y91" s="1482"/>
      <c r="Z91" s="1482"/>
      <c r="AA91" s="1482"/>
      <c r="AB91" s="1482"/>
      <c r="AC91" s="1482"/>
    </row>
    <row r="92" spans="1:29" s="1295" customFormat="1" ht="15">
      <c r="A92" s="1547"/>
      <c r="B92" s="1542"/>
      <c r="C92" s="1550"/>
      <c r="D92" s="1539"/>
      <c r="E92" s="1539"/>
      <c r="F92" s="1539"/>
      <c r="G92" s="1539"/>
      <c r="H92" s="1539"/>
      <c r="I92" s="1539"/>
      <c r="J92" s="1539"/>
      <c r="K92" s="1539"/>
      <c r="L92" s="1539"/>
      <c r="M92" s="1580"/>
      <c r="N92" s="1591"/>
      <c r="O92" s="1591"/>
      <c r="P92" s="1756"/>
      <c r="Q92" s="1619"/>
      <c r="R92" s="1482"/>
      <c r="S92" s="1482"/>
      <c r="T92" s="1482"/>
      <c r="U92" s="1482"/>
      <c r="V92" s="1482"/>
      <c r="W92" s="1482"/>
      <c r="X92" s="1482"/>
      <c r="Y92" s="1482"/>
      <c r="Z92" s="1482"/>
      <c r="AA92" s="1482"/>
      <c r="AB92" s="1482"/>
      <c r="AC92" s="1482"/>
    </row>
    <row r="93" spans="1:29">
      <c r="A93" s="1385"/>
      <c r="B93" s="1540" t="s">
        <v>2249</v>
      </c>
      <c r="C93" s="1548"/>
      <c r="D93" s="1548"/>
      <c r="E93" s="1562"/>
      <c r="F93" s="1562"/>
      <c r="G93" s="1562"/>
      <c r="H93" s="1562"/>
      <c r="I93" s="1562"/>
      <c r="J93" s="1562"/>
      <c r="K93" s="1607"/>
      <c r="L93" s="1608"/>
      <c r="M93" s="1609"/>
      <c r="N93" s="1579"/>
      <c r="O93" s="1579"/>
      <c r="P93" s="1755"/>
      <c r="Q93" s="1516"/>
      <c r="R93" s="1409"/>
      <c r="S93" s="1409"/>
      <c r="T93" s="1409"/>
      <c r="U93" s="1409"/>
      <c r="V93" s="1409"/>
      <c r="W93" s="1409"/>
      <c r="X93" s="1409"/>
      <c r="Y93" s="1409"/>
      <c r="Z93" s="1409"/>
      <c r="AA93" s="1409"/>
      <c r="AB93" s="1409"/>
      <c r="AC93" s="1409"/>
    </row>
    <row r="94" spans="1:29" ht="15">
      <c r="A94" s="1337"/>
      <c r="B94" s="1542"/>
      <c r="C94" s="1543">
        <v>100</v>
      </c>
      <c r="D94" s="1543">
        <f t="shared" ref="D94:M94" si="22">C94-$K32</f>
        <v>100</v>
      </c>
      <c r="E94" s="1543">
        <f t="shared" si="22"/>
        <v>100</v>
      </c>
      <c r="F94" s="1543">
        <f t="shared" si="22"/>
        <v>100</v>
      </c>
      <c r="G94" s="1543">
        <f t="shared" si="22"/>
        <v>100</v>
      </c>
      <c r="H94" s="1543">
        <f t="shared" si="22"/>
        <v>100</v>
      </c>
      <c r="I94" s="1543">
        <f t="shared" si="22"/>
        <v>100</v>
      </c>
      <c r="J94" s="1543">
        <f t="shared" si="22"/>
        <v>100</v>
      </c>
      <c r="K94" s="1543">
        <f t="shared" si="22"/>
        <v>100</v>
      </c>
      <c r="L94" s="1543">
        <f t="shared" si="22"/>
        <v>100</v>
      </c>
      <c r="M94" s="1585">
        <f t="shared" si="22"/>
        <v>100</v>
      </c>
      <c r="N94" s="1581"/>
      <c r="O94" s="1581"/>
      <c r="P94" s="1755"/>
      <c r="Q94" s="1516"/>
      <c r="R94" s="1409"/>
      <c r="S94" s="1409"/>
      <c r="T94" s="1409"/>
      <c r="U94" s="1409"/>
      <c r="V94" s="1409"/>
      <c r="W94" s="1409"/>
      <c r="X94" s="1409"/>
      <c r="Y94" s="1409"/>
      <c r="Z94" s="1409"/>
      <c r="AA94" s="1409"/>
      <c r="AB94" s="1409"/>
      <c r="AC94" s="1409"/>
    </row>
    <row r="95" spans="1:29">
      <c r="A95" s="1385"/>
      <c r="B95" s="1540" t="s">
        <v>2250</v>
      </c>
      <c r="C95" s="1484"/>
      <c r="D95" s="1484"/>
      <c r="E95" s="1484"/>
      <c r="F95" s="1484"/>
      <c r="G95" s="1484"/>
      <c r="H95" s="1484"/>
      <c r="I95" s="1484"/>
      <c r="J95" s="1484"/>
      <c r="K95" s="1576"/>
      <c r="L95" s="1577"/>
      <c r="M95" s="1578"/>
      <c r="N95" s="1579"/>
      <c r="O95" s="1579"/>
      <c r="P95" s="1755"/>
      <c r="Q95" s="1516"/>
      <c r="R95" s="1409"/>
      <c r="S95" s="1409"/>
      <c r="T95" s="1409"/>
      <c r="U95" s="1409"/>
      <c r="V95" s="1409"/>
      <c r="W95" s="1409"/>
      <c r="X95" s="1409"/>
      <c r="Y95" s="1409"/>
      <c r="Z95" s="1409"/>
      <c r="AA95" s="1409"/>
      <c r="AB95" s="1409"/>
      <c r="AC95" s="1409"/>
    </row>
    <row r="96" spans="1:29" ht="15">
      <c r="A96" s="1337"/>
      <c r="B96" s="1542"/>
      <c r="C96" s="1543">
        <v>100</v>
      </c>
      <c r="D96" s="1543">
        <f>C96-$K33</f>
        <v>100</v>
      </c>
      <c r="E96" s="1543">
        <f>D96-$K33</f>
        <v>100</v>
      </c>
      <c r="F96" s="1543">
        <f>E96-$K33</f>
        <v>100</v>
      </c>
      <c r="G96" s="1543">
        <f>F96-$K33</f>
        <v>100</v>
      </c>
      <c r="H96" s="1543"/>
      <c r="I96" s="1543"/>
      <c r="J96" s="1543"/>
      <c r="K96" s="1543"/>
      <c r="L96" s="1543"/>
      <c r="M96" s="1585"/>
      <c r="N96" s="1581"/>
      <c r="O96" s="1581"/>
      <c r="P96" s="1755"/>
      <c r="Q96" s="1516"/>
      <c r="R96" s="1409"/>
      <c r="S96" s="1409"/>
      <c r="T96" s="1409"/>
      <c r="U96" s="1409"/>
      <c r="V96" s="1409"/>
      <c r="W96" s="1409"/>
      <c r="X96" s="1409"/>
      <c r="Y96" s="1409"/>
      <c r="Z96" s="1409"/>
      <c r="AA96" s="1409"/>
      <c r="AB96" s="1409"/>
      <c r="AC96" s="1409"/>
    </row>
    <row r="97" spans="1:29">
      <c r="A97" s="1385"/>
      <c r="B97" s="1702">
        <f>B34</f>
        <v>111</v>
      </c>
      <c r="C97" s="1343"/>
      <c r="D97" s="1343"/>
      <c r="E97" s="1343"/>
      <c r="F97" s="1343"/>
      <c r="G97" s="1548"/>
      <c r="H97" s="1549"/>
      <c r="I97" s="1549"/>
      <c r="J97" s="1549"/>
      <c r="K97" s="1549"/>
      <c r="L97" s="1589"/>
      <c r="M97" s="1590"/>
      <c r="N97" s="1581"/>
      <c r="O97" s="1581"/>
      <c r="P97" s="1767"/>
      <c r="Q97" s="1712"/>
      <c r="R97" s="1409"/>
      <c r="S97" s="1409"/>
      <c r="T97" s="1409"/>
      <c r="U97" s="1409"/>
      <c r="V97" s="1409"/>
      <c r="W97" s="1409"/>
      <c r="X97" s="1409"/>
      <c r="Y97" s="1409"/>
      <c r="Z97" s="1409"/>
      <c r="AA97" s="1409"/>
      <c r="AB97" s="1409"/>
      <c r="AC97" s="1409"/>
    </row>
    <row r="98" spans="1:29" ht="15">
      <c r="A98" s="1337"/>
      <c r="B98" s="1542"/>
      <c r="C98" s="1550"/>
      <c r="D98" s="1539"/>
      <c r="E98" s="1539"/>
      <c r="F98" s="1539"/>
      <c r="G98" s="1550"/>
      <c r="H98" s="1551"/>
      <c r="I98" s="1551"/>
      <c r="J98" s="1551"/>
      <c r="K98" s="1551"/>
      <c r="L98" s="1551"/>
      <c r="M98" s="1592"/>
      <c r="N98" s="1581"/>
      <c r="O98" s="1581"/>
      <c r="P98" s="1755"/>
      <c r="Q98" s="1516"/>
      <c r="R98" s="1409"/>
      <c r="S98" s="1409"/>
      <c r="T98" s="1409"/>
      <c r="U98" s="1409"/>
      <c r="V98" s="1409"/>
      <c r="W98" s="1409"/>
      <c r="X98" s="1409"/>
      <c r="Y98" s="1409"/>
      <c r="Z98" s="1409"/>
      <c r="AA98" s="1409"/>
      <c r="AB98" s="1409"/>
      <c r="AC98" s="1409"/>
    </row>
    <row r="99" spans="1:29" s="1295" customFormat="1">
      <c r="A99" s="1390"/>
      <c r="B99" s="1540">
        <f>B35</f>
        <v>111</v>
      </c>
      <c r="C99" s="1343"/>
      <c r="D99" s="1343"/>
      <c r="E99" s="1343"/>
      <c r="F99" s="1343"/>
      <c r="G99" s="1548"/>
      <c r="H99" s="1549"/>
      <c r="I99" s="1549"/>
      <c r="J99" s="1549"/>
      <c r="K99" s="1549"/>
      <c r="L99" s="1589"/>
      <c r="M99" s="1590"/>
      <c r="N99" s="1591"/>
      <c r="O99" s="1591"/>
      <c r="P99" s="1756"/>
      <c r="Q99" s="1619"/>
      <c r="R99" s="1482"/>
      <c r="S99" s="1482"/>
      <c r="T99" s="1482"/>
      <c r="U99" s="1482"/>
      <c r="V99" s="1482"/>
      <c r="W99" s="1482"/>
      <c r="X99" s="1482"/>
      <c r="Y99" s="1482"/>
      <c r="Z99" s="1482"/>
      <c r="AA99" s="1482"/>
      <c r="AB99" s="1482"/>
      <c r="AC99" s="1482"/>
    </row>
    <row r="100" spans="1:29" s="1295" customFormat="1" ht="15">
      <c r="A100" s="1547"/>
      <c r="B100" s="1538"/>
      <c r="C100" s="1550"/>
      <c r="D100" s="1539"/>
      <c r="E100" s="1539"/>
      <c r="F100" s="1539"/>
      <c r="G100" s="1550"/>
      <c r="H100" s="1551"/>
      <c r="I100" s="1551"/>
      <c r="J100" s="1551"/>
      <c r="K100" s="1551"/>
      <c r="L100" s="1551"/>
      <c r="M100" s="1592"/>
      <c r="N100" s="1591"/>
      <c r="O100" s="1591"/>
      <c r="P100" s="1756"/>
      <c r="Q100" s="1619"/>
      <c r="R100" s="1482"/>
      <c r="S100" s="1482"/>
      <c r="T100" s="1482"/>
      <c r="U100" s="1482"/>
      <c r="V100" s="1482"/>
      <c r="W100" s="1482"/>
      <c r="X100" s="1482"/>
      <c r="Y100" s="1482"/>
      <c r="Z100" s="1482"/>
      <c r="AA100" s="1482"/>
      <c r="AB100" s="1482"/>
      <c r="AC100" s="1482"/>
    </row>
    <row r="101" spans="1:29">
      <c r="A101" s="1385"/>
      <c r="B101" s="1540">
        <f>B36</f>
        <v>111</v>
      </c>
      <c r="C101" s="1548"/>
      <c r="D101" s="1548"/>
      <c r="E101" s="1548"/>
      <c r="F101" s="1548"/>
      <c r="G101" s="1548"/>
      <c r="H101" s="1549"/>
      <c r="I101" s="1549"/>
      <c r="J101" s="1549"/>
      <c r="K101" s="1549"/>
      <c r="L101" s="1589"/>
      <c r="M101" s="1590"/>
      <c r="N101" s="1579"/>
      <c r="O101" s="1579"/>
      <c r="P101" s="1755"/>
      <c r="Q101" s="1516"/>
      <c r="R101" s="1409"/>
      <c r="S101" s="1409"/>
      <c r="T101" s="1409"/>
      <c r="U101" s="1409"/>
      <c r="V101" s="1409"/>
      <c r="W101" s="1409"/>
      <c r="X101" s="1409"/>
      <c r="Y101" s="1409"/>
      <c r="Z101" s="1409"/>
      <c r="AA101" s="1409"/>
      <c r="AB101" s="1409"/>
      <c r="AC101" s="1409"/>
    </row>
    <row r="102" spans="1:29" ht="15">
      <c r="A102" s="1337"/>
      <c r="B102" s="1542"/>
      <c r="C102" s="1550"/>
      <c r="D102" s="1550"/>
      <c r="E102" s="1550"/>
      <c r="F102" s="1550"/>
      <c r="G102" s="1550"/>
      <c r="H102" s="1551"/>
      <c r="I102" s="1551"/>
      <c r="J102" s="1551"/>
      <c r="K102" s="1551"/>
      <c r="L102" s="1551"/>
      <c r="M102" s="1592"/>
      <c r="N102" s="1581"/>
      <c r="O102" s="1581"/>
      <c r="P102" s="1755"/>
      <c r="Q102" s="1516"/>
      <c r="R102" s="1409"/>
      <c r="S102" s="1409"/>
      <c r="T102" s="1409"/>
      <c r="U102" s="1409"/>
      <c r="V102" s="1409"/>
      <c r="W102" s="1409"/>
      <c r="X102" s="1409"/>
      <c r="Y102" s="1409"/>
      <c r="Z102" s="1409"/>
      <c r="AA102" s="1409"/>
      <c r="AB102" s="1409"/>
      <c r="AC102" s="1409"/>
    </row>
    <row r="103" spans="1:29">
      <c r="N103" s="1409"/>
      <c r="O103" s="1409"/>
      <c r="P103" s="1749"/>
      <c r="Q103" s="1409"/>
      <c r="R103" s="1409"/>
      <c r="S103" s="1409"/>
      <c r="T103" s="1409"/>
      <c r="U103" s="1409"/>
      <c r="V103" s="1409"/>
      <c r="W103" s="1409"/>
      <c r="X103" s="1409"/>
      <c r="Y103" s="1409"/>
      <c r="Z103" s="1409"/>
      <c r="AA103" s="1409"/>
      <c r="AB103" s="1409"/>
      <c r="AC103" s="14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651" customFormat="1" ht="28.5" customHeight="1">
      <c r="A1" s="1652" t="s">
        <v>2242</v>
      </c>
      <c r="B1" s="1653" t="s">
        <v>1064</v>
      </c>
      <c r="C1" s="1654" t="s">
        <v>1644</v>
      </c>
      <c r="D1" s="1655"/>
      <c r="E1" s="1656"/>
      <c r="F1" s="1657"/>
      <c r="G1" s="1658" t="s">
        <v>1647</v>
      </c>
      <c r="H1" s="1659"/>
      <c r="I1" s="1659"/>
      <c r="J1" s="1659"/>
      <c r="K1" s="1694"/>
      <c r="L1" s="1695"/>
      <c r="M1" s="1696"/>
      <c r="N1" s="1696"/>
      <c r="O1" s="1696"/>
      <c r="P1" s="1654"/>
      <c r="Q1" s="1654"/>
      <c r="R1" s="1654"/>
      <c r="S1" s="1654"/>
      <c r="T1" s="1654"/>
      <c r="U1" s="1654"/>
      <c r="V1" s="1654"/>
      <c r="W1" s="1654"/>
      <c r="X1" s="1654"/>
      <c r="Y1" s="1654"/>
      <c r="Z1" s="1654"/>
      <c r="AA1" s="1654"/>
      <c r="AB1" s="1654"/>
      <c r="AC1" s="1701"/>
    </row>
    <row r="2" spans="1:29" s="1292" customFormat="1" ht="28.5" customHeight="1">
      <c r="A2" s="1660" t="s">
        <v>1648</v>
      </c>
      <c r="B2" s="1661" t="b">
        <f>IF(E1="项目模式",IF(C2="——",ROUND(C37*D3/10000,0),ROUND(C37*D3/10000,0)-D2),IF(E1="单套模式",IF(C2="——",ROUND(C37*D3/10000,4),ROUND(C37*D3/10000,4)-D2)))</f>
        <v>0</v>
      </c>
      <c r="C2" s="1662"/>
      <c r="D2" s="1621" t="e">
        <f ca="1">IF(E1="项目模式",SUMIF(INDIRECT("'"&amp;F2&amp;"'"&amp;"!A:A"),"承租人权益价值",INDIRECT("'"&amp;F2&amp;"'"&amp;"!c:c")),SUMIF(INDIRECT("'"&amp;F2&amp;"'"&amp;"!A:A"),"承租人权益价值（单套）",INDIRECT("'"&amp;F2&amp;"'"&amp;"!c:c")))</f>
        <v>#REF!</v>
      </c>
      <c r="E2" s="1663" t="s">
        <v>1649</v>
      </c>
      <c r="F2" s="1664"/>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1650</v>
      </c>
      <c r="B3" s="1310" t="e">
        <f>IF(C2="——",C37,ROUND(B2*10000/D3,0))</f>
        <v>#DIV/0!</v>
      </c>
      <c r="C3" s="1665" t="s">
        <v>1651</v>
      </c>
      <c r="D3" s="1666">
        <f>SUMIF('数据-汇总表'!$C19:$C33,D1,'数据-汇总表'!$E19:$E33)</f>
        <v>0</v>
      </c>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1652</v>
      </c>
      <c r="B4" s="1313"/>
      <c r="C4" s="3469" t="s">
        <v>1653</v>
      </c>
      <c r="D4" s="3470"/>
      <c r="E4" s="3471" t="s">
        <v>1654</v>
      </c>
      <c r="F4" s="3472"/>
      <c r="G4" s="3469" t="s">
        <v>1655</v>
      </c>
      <c r="H4" s="3470"/>
      <c r="I4" s="3469" t="s">
        <v>1656</v>
      </c>
      <c r="J4" s="3470"/>
      <c r="K4" s="1457" t="s">
        <v>1657</v>
      </c>
      <c r="L4" s="1458"/>
      <c r="M4" s="1409"/>
      <c r="N4" s="1409"/>
      <c r="O4" s="1409"/>
      <c r="P4" s="3508" t="s">
        <v>1658</v>
      </c>
      <c r="Q4" s="3509"/>
      <c r="R4" s="3512" t="s">
        <v>1654</v>
      </c>
      <c r="S4" s="3513"/>
      <c r="T4" s="3512" t="s">
        <v>1655</v>
      </c>
      <c r="U4" s="3513"/>
      <c r="V4" s="3446" t="s">
        <v>1656</v>
      </c>
      <c r="W4" s="3446"/>
      <c r="X4" s="1506"/>
      <c r="Y4" s="3512" t="s">
        <v>1658</v>
      </c>
      <c r="Z4" s="3513"/>
      <c r="AA4" s="3507" t="s">
        <v>1654</v>
      </c>
      <c r="AB4" s="3428" t="s">
        <v>1655</v>
      </c>
      <c r="AC4" s="3507" t="s">
        <v>1656</v>
      </c>
    </row>
    <row r="5" spans="1:29" ht="15">
      <c r="A5" s="1316"/>
      <c r="B5" s="1317"/>
      <c r="C5" s="3473" t="s">
        <v>1659</v>
      </c>
      <c r="D5" s="3474"/>
      <c r="E5" s="3475" t="s">
        <v>2200</v>
      </c>
      <c r="F5" s="3476"/>
      <c r="G5" s="3473" t="s">
        <v>2201</v>
      </c>
      <c r="H5" s="3474"/>
      <c r="I5" s="3473" t="s">
        <v>2202</v>
      </c>
      <c r="J5" s="3474"/>
      <c r="K5" s="1457"/>
      <c r="L5" s="1458"/>
      <c r="M5" s="1409"/>
      <c r="N5" s="1409"/>
      <c r="O5" s="1409"/>
      <c r="P5" s="3510"/>
      <c r="Q5" s="3436"/>
      <c r="R5" s="3441"/>
      <c r="S5" s="3442"/>
      <c r="T5" s="3441"/>
      <c r="U5" s="3442"/>
      <c r="V5" s="3446"/>
      <c r="W5" s="3446"/>
      <c r="X5" s="1506"/>
      <c r="Y5" s="3441"/>
      <c r="Z5" s="3442"/>
      <c r="AA5" s="3428"/>
      <c r="AB5" s="3428"/>
      <c r="AC5" s="3428"/>
    </row>
    <row r="6" spans="1:29" ht="15">
      <c r="A6" s="1318"/>
      <c r="B6" s="1319"/>
      <c r="C6" s="3464" t="s">
        <v>1660</v>
      </c>
      <c r="D6" s="3465"/>
      <c r="E6" s="3466" t="s">
        <v>1660</v>
      </c>
      <c r="F6" s="3467"/>
      <c r="G6" s="3464" t="s">
        <v>1660</v>
      </c>
      <c r="H6" s="3465"/>
      <c r="I6" s="3464" t="s">
        <v>1660</v>
      </c>
      <c r="J6" s="3465"/>
      <c r="K6" s="1457" t="s">
        <v>1661</v>
      </c>
      <c r="L6" s="1458"/>
      <c r="M6" s="1409"/>
      <c r="N6" s="1409"/>
      <c r="O6" s="1409"/>
      <c r="P6" s="3511"/>
      <c r="Q6" s="3438"/>
      <c r="R6" s="3441"/>
      <c r="S6" s="3442"/>
      <c r="T6" s="3443"/>
      <c r="U6" s="3444"/>
      <c r="V6" s="3446"/>
      <c r="W6" s="3446"/>
      <c r="X6" s="1506"/>
      <c r="Y6" s="3443"/>
      <c r="Z6" s="3444"/>
      <c r="AA6" s="3429"/>
      <c r="AB6" s="3429"/>
      <c r="AC6" s="3429"/>
    </row>
    <row r="7" spans="1:29" s="1293" customFormat="1" ht="15">
      <c r="A7" s="1321" t="s">
        <v>1662</v>
      </c>
      <c r="B7" s="1322"/>
      <c r="C7" s="1323">
        <f>'数据-取费表'!B2</f>
        <v>45882</v>
      </c>
      <c r="D7" s="1324">
        <v>100</v>
      </c>
      <c r="E7" s="1325"/>
      <c r="F7" s="1326">
        <f>SUMIF(46:46,YEAR(E7)&amp;"-"&amp;MONTH(E7),47:47)</f>
        <v>0</v>
      </c>
      <c r="G7" s="1327"/>
      <c r="H7" s="1324">
        <f>SUMIF(46:46,YEAR(G7)&amp;"-"&amp;MONTH(G7),47:47)</f>
        <v>0</v>
      </c>
      <c r="I7" s="1325"/>
      <c r="J7" s="1324">
        <f>SUMIF(46:46,YEAR(I7)&amp;"-"&amp;MONTH(I7),47:47)</f>
        <v>0</v>
      </c>
      <c r="K7" s="1462"/>
      <c r="L7" s="1463"/>
      <c r="M7" s="1464"/>
      <c r="N7" s="1464"/>
      <c r="O7" s="1464"/>
      <c r="P7" s="3452" t="s">
        <v>1663</v>
      </c>
      <c r="Q7" s="3468"/>
      <c r="R7" s="1507" t="s">
        <v>1664</v>
      </c>
      <c r="S7" s="1508">
        <f t="shared" ref="S7:S14" si="0">F7</f>
        <v>0</v>
      </c>
      <c r="T7" s="1507" t="s">
        <v>1664</v>
      </c>
      <c r="U7" s="1508">
        <f t="shared" ref="U7:U14" si="1">H7</f>
        <v>0</v>
      </c>
      <c r="V7" s="1507" t="s">
        <v>1664</v>
      </c>
      <c r="W7" s="1508">
        <f t="shared" ref="W7:W14" si="2">J7</f>
        <v>0</v>
      </c>
      <c r="X7" s="1509"/>
      <c r="Y7" s="3452" t="s">
        <v>1663</v>
      </c>
      <c r="Z7" s="3453"/>
      <c r="AA7" s="1518" t="e">
        <f>D7/F7</f>
        <v>#DIV/0!</v>
      </c>
      <c r="AB7" s="1518" t="e">
        <f>D7/H7</f>
        <v>#DIV/0!</v>
      </c>
      <c r="AC7" s="1518" t="e">
        <f>D7/J7</f>
        <v>#DIV/0!</v>
      </c>
    </row>
    <row r="8" spans="1:29" s="1293" customFormat="1" ht="15">
      <c r="A8" s="1321" t="s">
        <v>1665</v>
      </c>
      <c r="B8" s="1322"/>
      <c r="C8" s="1328"/>
      <c r="D8" s="1324">
        <v>100</v>
      </c>
      <c r="E8" s="1328"/>
      <c r="F8" s="1326">
        <f>SUMIF(49:49,E8,50:50)-SUMIF(49:49,C8,50:50)+100</f>
        <v>100</v>
      </c>
      <c r="G8" s="1328"/>
      <c r="H8" s="1324">
        <f>SUMIF(49:49,G8,50:50)-SUMIF(49:49,C8,50:50)+100</f>
        <v>100</v>
      </c>
      <c r="I8" s="1328"/>
      <c r="J8" s="1324">
        <f>SUMIF(49:49,I8,50:50)-SUMIF(49:49,C8,50:50)+100</f>
        <v>100</v>
      </c>
      <c r="K8" s="1462"/>
      <c r="L8" s="1463"/>
      <c r="M8" s="1464"/>
      <c r="N8" s="1464"/>
      <c r="O8" s="1464"/>
      <c r="P8" s="3452" t="s">
        <v>1667</v>
      </c>
      <c r="Q8" s="3453"/>
      <c r="R8" s="1507" t="s">
        <v>1664</v>
      </c>
      <c r="S8" s="1508">
        <f t="shared" si="0"/>
        <v>100</v>
      </c>
      <c r="T8" s="1507" t="s">
        <v>1664</v>
      </c>
      <c r="U8" s="1508">
        <f t="shared" si="1"/>
        <v>100</v>
      </c>
      <c r="V8" s="1507" t="s">
        <v>1664</v>
      </c>
      <c r="W8" s="1508">
        <f t="shared" si="2"/>
        <v>100</v>
      </c>
      <c r="X8" s="1509"/>
      <c r="Y8" s="3452" t="s">
        <v>1667</v>
      </c>
      <c r="Z8" s="3453"/>
      <c r="AA8" s="1518">
        <f t="shared" ref="AA8:AA34" si="3">D8/F8</f>
        <v>1</v>
      </c>
      <c r="AB8" s="1518">
        <f t="shared" ref="AB8:AB34" si="4">D8/H8</f>
        <v>1</v>
      </c>
      <c r="AC8" s="1518">
        <f t="shared" ref="AC8:AC34" si="5">D8/J8</f>
        <v>1</v>
      </c>
    </row>
    <row r="9" spans="1:29" s="1293" customFormat="1">
      <c r="A9" s="1329" t="s">
        <v>1668</v>
      </c>
      <c r="B9" s="1330" t="s">
        <v>1669</v>
      </c>
      <c r="C9" s="1667"/>
      <c r="D9" s="1332">
        <v>100</v>
      </c>
      <c r="E9" s="1668"/>
      <c r="F9" s="1330">
        <f>SUMIF(51:51,E9,52:52)-SUMIF(51:51,C9,52:52)+100</f>
        <v>100</v>
      </c>
      <c r="G9" s="1668"/>
      <c r="H9" s="1332">
        <f>SUMIF(51:51,G9,52:52)-SUMIF(51:51,C9,52:52)+100</f>
        <v>100</v>
      </c>
      <c r="I9" s="1668"/>
      <c r="J9" s="1332">
        <f>SUMIF(51:51,I9,52:52)-SUMIF(51:51,C9,52:52)+100</f>
        <v>100</v>
      </c>
      <c r="K9" s="1462"/>
      <c r="L9" s="1463"/>
      <c r="M9" s="1464"/>
      <c r="N9" s="1464"/>
      <c r="O9" s="1466"/>
      <c r="P9" s="3448" t="s">
        <v>1670</v>
      </c>
      <c r="Q9" s="794" t="str">
        <f t="shared" ref="Q9:Q14" si="6">B9</f>
        <v>用途</v>
      </c>
      <c r="R9" s="1507" t="s">
        <v>1664</v>
      </c>
      <c r="S9" s="1508">
        <f t="shared" si="0"/>
        <v>100</v>
      </c>
      <c r="T9" s="1507" t="s">
        <v>1664</v>
      </c>
      <c r="U9" s="1508">
        <f t="shared" si="1"/>
        <v>100</v>
      </c>
      <c r="V9" s="1507" t="s">
        <v>1664</v>
      </c>
      <c r="W9" s="1508">
        <f t="shared" si="2"/>
        <v>100</v>
      </c>
      <c r="X9" s="1509"/>
      <c r="Y9" s="3342" t="s">
        <v>1671</v>
      </c>
      <c r="Z9" s="1518" t="str">
        <f t="shared" ref="Z9:Z14" si="7">Q9</f>
        <v>用途</v>
      </c>
      <c r="AA9" s="1518">
        <f t="shared" si="3"/>
        <v>1</v>
      </c>
      <c r="AB9" s="1518">
        <f t="shared" si="4"/>
        <v>1</v>
      </c>
      <c r="AC9" s="1518">
        <f t="shared" si="5"/>
        <v>1</v>
      </c>
    </row>
    <row r="10" spans="1:29" s="1294" customFormat="1" ht="27">
      <c r="A10" s="1333"/>
      <c r="B10" s="1334" t="s">
        <v>1672</v>
      </c>
      <c r="C10" s="1669"/>
      <c r="D10" s="1336">
        <v>100</v>
      </c>
      <c r="E10" s="1669"/>
      <c r="F10" s="1334">
        <f>SUMIF(53:53,E10,54:54)-SUMIF(53:53,C10,54:54)+100</f>
        <v>100</v>
      </c>
      <c r="G10" s="1669"/>
      <c r="H10" s="1336">
        <f>SUMIF(53:53,G10,54:54)-SUMIF(53:53,C10,54:54)+100</f>
        <v>100</v>
      </c>
      <c r="I10" s="1669"/>
      <c r="J10" s="1336">
        <f>SUMIF(53:53,I10,54:54)-SUMIF(53:53,C10,54:54)+100</f>
        <v>100</v>
      </c>
      <c r="K10" s="1462"/>
      <c r="L10" s="1468"/>
      <c r="M10" s="1469"/>
      <c r="N10" s="1469"/>
      <c r="O10" s="1470"/>
      <c r="P10" s="3448"/>
      <c r="Q10" s="794" t="str">
        <f t="shared" si="6"/>
        <v>土地使用年限（年）</v>
      </c>
      <c r="R10" s="1507" t="s">
        <v>1664</v>
      </c>
      <c r="S10" s="1508">
        <f t="shared" si="0"/>
        <v>100</v>
      </c>
      <c r="T10" s="1507" t="s">
        <v>1664</v>
      </c>
      <c r="U10" s="1508">
        <f t="shared" si="1"/>
        <v>100</v>
      </c>
      <c r="V10" s="1507" t="s">
        <v>1664</v>
      </c>
      <c r="W10" s="1508">
        <f t="shared" si="2"/>
        <v>100</v>
      </c>
      <c r="X10" s="1509"/>
      <c r="Y10" s="3342"/>
      <c r="Z10" s="1518" t="str">
        <f t="shared" si="7"/>
        <v>土地使用年限（年）</v>
      </c>
      <c r="AA10" s="1518">
        <f t="shared" si="3"/>
        <v>1</v>
      </c>
      <c r="AB10" s="1518">
        <f t="shared" si="4"/>
        <v>1</v>
      </c>
      <c r="AC10" s="1518">
        <f t="shared" si="5"/>
        <v>1</v>
      </c>
    </row>
    <row r="11" spans="1:29" ht="15">
      <c r="A11" s="1337"/>
      <c r="B11" s="1341">
        <v>111</v>
      </c>
      <c r="C11" s="1335"/>
      <c r="D11" s="1336">
        <v>100</v>
      </c>
      <c r="E11" s="1670"/>
      <c r="F11" s="1334">
        <f>SUMIF(55:55,E11,56:56)-SUMIF(55:55,C11,56:56)+100</f>
        <v>100</v>
      </c>
      <c r="G11" s="1670"/>
      <c r="H11" s="1336">
        <f>SUMIF(55:55,G11,56:56)-SUMIF(55:55,C11,56:56)+100</f>
        <v>100</v>
      </c>
      <c r="I11" s="1670"/>
      <c r="J11" s="1336">
        <f>SUMIF(55:55,I11,56:56)-SUMIF(55:55,C11,56:56)+100</f>
        <v>100</v>
      </c>
      <c r="K11" s="1480"/>
      <c r="L11" s="1472"/>
      <c r="M11" s="1409"/>
      <c r="N11" s="1409"/>
      <c r="O11" s="1473"/>
      <c r="P11" s="3448"/>
      <c r="Q11" s="794">
        <f t="shared" si="6"/>
        <v>111</v>
      </c>
      <c r="R11" s="1507" t="s">
        <v>1664</v>
      </c>
      <c r="S11" s="1508">
        <f t="shared" si="0"/>
        <v>100</v>
      </c>
      <c r="T11" s="1507" t="s">
        <v>1664</v>
      </c>
      <c r="U11" s="1508">
        <f t="shared" si="1"/>
        <v>100</v>
      </c>
      <c r="V11" s="1507" t="s">
        <v>1664</v>
      </c>
      <c r="W11" s="1508">
        <f t="shared" si="2"/>
        <v>100</v>
      </c>
      <c r="X11" s="1509"/>
      <c r="Y11" s="3342"/>
      <c r="Z11" s="1518">
        <f t="shared" si="7"/>
        <v>111</v>
      </c>
      <c r="AA11" s="1518">
        <f t="shared" si="3"/>
        <v>1</v>
      </c>
      <c r="AB11" s="1518">
        <f t="shared" si="4"/>
        <v>1</v>
      </c>
      <c r="AC11" s="1518">
        <f t="shared" si="5"/>
        <v>1</v>
      </c>
    </row>
    <row r="12" spans="1:29" s="1293" customFormat="1" ht="15">
      <c r="A12" s="1340"/>
      <c r="B12" s="1341">
        <v>111</v>
      </c>
      <c r="C12" s="1335"/>
      <c r="D12" s="1342">
        <v>100</v>
      </c>
      <c r="E12" s="1670"/>
      <c r="F12" s="1334">
        <f>SUMIF(57:57,E12,58:58)-SUMIF(57:57,C12,58:58)+100</f>
        <v>100</v>
      </c>
      <c r="G12" s="1670"/>
      <c r="H12" s="1336">
        <f>SUMIF(57:57,G12,58:58)-SUMIF(57:57,C12,58:58)+100</f>
        <v>100</v>
      </c>
      <c r="I12" s="1670"/>
      <c r="J12" s="1336">
        <f>SUMIF(57:57,I12,58:58)-SUMIF(57:57,C12,58:58)+100</f>
        <v>100</v>
      </c>
      <c r="K12" s="1480"/>
      <c r="L12" s="1463"/>
      <c r="M12" s="1464"/>
      <c r="N12" s="1464"/>
      <c r="O12" s="1466"/>
      <c r="P12" s="3448"/>
      <c r="Q12" s="794">
        <f t="shared" si="6"/>
        <v>111</v>
      </c>
      <c r="R12" s="1507" t="s">
        <v>1664</v>
      </c>
      <c r="S12" s="1508">
        <f t="shared" si="0"/>
        <v>100</v>
      </c>
      <c r="T12" s="1507" t="s">
        <v>1664</v>
      </c>
      <c r="U12" s="1508">
        <f t="shared" si="1"/>
        <v>100</v>
      </c>
      <c r="V12" s="1507" t="s">
        <v>1664</v>
      </c>
      <c r="W12" s="1508">
        <f t="shared" si="2"/>
        <v>100</v>
      </c>
      <c r="X12" s="1509"/>
      <c r="Y12" s="3342"/>
      <c r="Z12" s="1518">
        <f t="shared" si="7"/>
        <v>111</v>
      </c>
      <c r="AA12" s="1518">
        <f t="shared" si="3"/>
        <v>1</v>
      </c>
      <c r="AB12" s="1518">
        <f t="shared" si="4"/>
        <v>1</v>
      </c>
      <c r="AC12" s="1518">
        <f t="shared" si="5"/>
        <v>1</v>
      </c>
    </row>
    <row r="13" spans="1:29" ht="15">
      <c r="A13" s="1337"/>
      <c r="B13" s="1341">
        <v>111</v>
      </c>
      <c r="C13" s="1345"/>
      <c r="D13" s="759">
        <v>100</v>
      </c>
      <c r="E13" s="1670"/>
      <c r="F13" s="1334">
        <f>SUMIF(59:59,E13,60:60)-SUMIF(59:59,C13,60:60)+100</f>
        <v>100</v>
      </c>
      <c r="G13" s="1671"/>
      <c r="H13" s="1349">
        <f>SUMIF(59:59,G13,60:60)-SUMIF(59:59,C13,60:60)+100</f>
        <v>100</v>
      </c>
      <c r="I13" s="1670"/>
      <c r="J13" s="759">
        <f>SUMIF(59:59,I13,60:60)-SUMIF(59:59,C13,60:60)+100</f>
        <v>100</v>
      </c>
      <c r="K13" s="1480"/>
      <c r="L13" s="1474"/>
      <c r="M13" s="1409"/>
      <c r="N13" s="1409"/>
      <c r="O13" s="1473"/>
      <c r="P13" s="3448"/>
      <c r="Q13" s="794">
        <f t="shared" si="6"/>
        <v>111</v>
      </c>
      <c r="R13" s="1507" t="s">
        <v>1664</v>
      </c>
      <c r="S13" s="1508">
        <f t="shared" si="0"/>
        <v>100</v>
      </c>
      <c r="T13" s="1507" t="s">
        <v>1664</v>
      </c>
      <c r="U13" s="1508">
        <f t="shared" si="1"/>
        <v>100</v>
      </c>
      <c r="V13" s="1507" t="s">
        <v>1664</v>
      </c>
      <c r="W13" s="1508">
        <f t="shared" si="2"/>
        <v>100</v>
      </c>
      <c r="X13" s="1509"/>
      <c r="Y13" s="3342"/>
      <c r="Z13" s="1518">
        <f t="shared" si="7"/>
        <v>111</v>
      </c>
      <c r="AA13" s="1518">
        <f t="shared" si="3"/>
        <v>1</v>
      </c>
      <c r="AB13" s="1518">
        <f t="shared" si="4"/>
        <v>1</v>
      </c>
      <c r="AC13" s="1518">
        <f t="shared" si="5"/>
        <v>1</v>
      </c>
    </row>
    <row r="14" spans="1:29" ht="15">
      <c r="A14" s="1350" t="s">
        <v>1676</v>
      </c>
      <c r="B14" s="1624" t="s">
        <v>1682</v>
      </c>
      <c r="C14" s="1352">
        <f>IF(B1="工业",估价对象房地状况!G4,估价对象房地状况!C6)</f>
        <v>0</v>
      </c>
      <c r="D14" s="1353">
        <v>100</v>
      </c>
      <c r="E14" s="1354"/>
      <c r="F14" s="1672">
        <f>SUMIF(61:61,E15,62:62)-SUMIF(61:61,C15,62:62)+100</f>
        <v>100</v>
      </c>
      <c r="G14" s="1475"/>
      <c r="H14" s="1353">
        <f>SUMIF(61:61,G15,62:62)-SUMIF(61:61,C15,62:62)+100</f>
        <v>100</v>
      </c>
      <c r="I14" s="1354"/>
      <c r="J14" s="1353">
        <f>SUMIF(61:61,I15,62:62)-SUMIF(61:61,C15,62:62)+100</f>
        <v>100</v>
      </c>
      <c r="K14" s="1697"/>
      <c r="L14" s="1474"/>
      <c r="M14" s="1409"/>
      <c r="N14" s="1409"/>
      <c r="O14" s="1473"/>
      <c r="P14" s="3460" t="s">
        <v>1678</v>
      </c>
      <c r="Q14" s="625" t="str">
        <f t="shared" si="6"/>
        <v>交通便捷度</v>
      </c>
      <c r="R14" s="1511" t="s">
        <v>1664</v>
      </c>
      <c r="S14" s="1512">
        <f t="shared" si="0"/>
        <v>100</v>
      </c>
      <c r="T14" s="1511" t="s">
        <v>1664</v>
      </c>
      <c r="U14" s="1512">
        <f t="shared" si="1"/>
        <v>100</v>
      </c>
      <c r="V14" s="1511" t="s">
        <v>1664</v>
      </c>
      <c r="W14" s="1512">
        <f t="shared" si="2"/>
        <v>100</v>
      </c>
      <c r="X14" s="1506"/>
      <c r="Y14" s="3460" t="s">
        <v>1678</v>
      </c>
      <c r="Z14" s="1495" t="str">
        <f t="shared" si="7"/>
        <v>交通便捷度</v>
      </c>
      <c r="AA14" s="1495">
        <f t="shared" si="3"/>
        <v>1</v>
      </c>
      <c r="AB14" s="1495">
        <f t="shared" si="4"/>
        <v>1</v>
      </c>
      <c r="AC14" s="1495">
        <f t="shared" si="5"/>
        <v>1</v>
      </c>
    </row>
    <row r="15" spans="1:29" ht="15">
      <c r="A15" s="1337"/>
      <c r="B15" s="1448"/>
      <c r="C15" s="1356"/>
      <c r="D15" s="1357"/>
      <c r="E15" s="1356"/>
      <c r="F15" s="1461"/>
      <c r="G15" s="1356"/>
      <c r="H15" s="1359"/>
      <c r="I15" s="1356"/>
      <c r="J15" s="1357"/>
      <c r="K15" s="1698"/>
      <c r="L15" s="1474"/>
      <c r="M15" s="1409"/>
      <c r="N15" s="1409"/>
      <c r="O15" s="1473"/>
      <c r="P15" s="3461"/>
      <c r="Q15" s="625"/>
      <c r="R15" s="1511"/>
      <c r="S15" s="1512"/>
      <c r="T15" s="1511"/>
      <c r="U15" s="1512"/>
      <c r="V15" s="1511"/>
      <c r="W15" s="1512"/>
      <c r="X15" s="1506"/>
      <c r="Y15" s="3461"/>
      <c r="Z15" s="1495"/>
      <c r="AA15" s="1495">
        <v>1</v>
      </c>
      <c r="AB15" s="1495">
        <v>1</v>
      </c>
      <c r="AC15" s="1495">
        <v>1</v>
      </c>
    </row>
    <row r="16" spans="1:29" ht="15">
      <c r="A16" s="1337"/>
      <c r="B16" s="1626" t="s">
        <v>1683</v>
      </c>
      <c r="C16" s="1361">
        <f>IF(B1="工业",估价对象房地状况!G5,估价对象房地状况!C7)</f>
        <v>0</v>
      </c>
      <c r="D16" s="1363">
        <v>100</v>
      </c>
      <c r="E16" s="1629"/>
      <c r="F16" s="1459">
        <f>SUMIF(63:63,E17,64:64)-SUMIF(63:63,C17,64:64)+100</f>
        <v>100</v>
      </c>
      <c r="G16" s="1636"/>
      <c r="H16" s="1363">
        <f>SUMIF(63:63,G17,64:64)-SUMIF(63:63,C17,64:64)+100</f>
        <v>100</v>
      </c>
      <c r="I16" s="1629"/>
      <c r="J16" s="1363">
        <f>SUMIF(63:63,I17,64:64)-SUMIF(63:63,C17,64:64)+100</f>
        <v>100</v>
      </c>
      <c r="K16" s="1697"/>
      <c r="L16" s="1474"/>
      <c r="M16" s="1409"/>
      <c r="N16" s="1409"/>
      <c r="O16" s="1473"/>
      <c r="P16" s="3461"/>
      <c r="Q16" s="625" t="str">
        <f>B16</f>
        <v>公共配套设施</v>
      </c>
      <c r="R16" s="1511" t="s">
        <v>1664</v>
      </c>
      <c r="S16" s="1512">
        <f>F16</f>
        <v>100</v>
      </c>
      <c r="T16" s="1511" t="s">
        <v>1664</v>
      </c>
      <c r="U16" s="1512">
        <f>H16</f>
        <v>100</v>
      </c>
      <c r="V16" s="1511" t="s">
        <v>1664</v>
      </c>
      <c r="W16" s="1512">
        <f>J16</f>
        <v>100</v>
      </c>
      <c r="X16" s="1506"/>
      <c r="Y16" s="3461"/>
      <c r="Z16" s="1495" t="str">
        <f>Q16</f>
        <v>公共配套设施</v>
      </c>
      <c r="AA16" s="1495">
        <f t="shared" si="3"/>
        <v>1</v>
      </c>
      <c r="AB16" s="1495">
        <f t="shared" si="4"/>
        <v>1</v>
      </c>
      <c r="AC16" s="1495">
        <f t="shared" si="5"/>
        <v>1</v>
      </c>
    </row>
    <row r="17" spans="1:29" ht="15">
      <c r="A17" s="1337"/>
      <c r="B17" s="1383"/>
      <c r="C17" s="1627"/>
      <c r="D17" s="1357"/>
      <c r="E17" s="1356"/>
      <c r="F17" s="1461"/>
      <c r="G17" s="1356"/>
      <c r="H17" s="1357"/>
      <c r="I17" s="1356"/>
      <c r="J17" s="1357"/>
      <c r="K17" s="1698"/>
      <c r="L17" s="1474"/>
      <c r="M17" s="1409"/>
      <c r="N17" s="1409"/>
      <c r="O17" s="1473"/>
      <c r="P17" s="3461"/>
      <c r="Q17" s="625"/>
      <c r="R17" s="1511"/>
      <c r="S17" s="1512"/>
      <c r="T17" s="1511"/>
      <c r="U17" s="1512"/>
      <c r="V17" s="1511"/>
      <c r="W17" s="1512"/>
      <c r="X17" s="1506"/>
      <c r="Y17" s="3461"/>
      <c r="Z17" s="1495"/>
      <c r="AA17" s="1495">
        <v>1</v>
      </c>
      <c r="AB17" s="1495">
        <v>1</v>
      </c>
      <c r="AC17" s="1495">
        <v>1</v>
      </c>
    </row>
    <row r="18" spans="1:29" ht="15">
      <c r="A18" s="1337"/>
      <c r="B18" s="1630" t="s">
        <v>1684</v>
      </c>
      <c r="C18" s="1361">
        <f>IF(B1="工业",估价对象房地状况!G6,估价对象房地状况!C8)</f>
        <v>0</v>
      </c>
      <c r="D18" s="1363">
        <v>100</v>
      </c>
      <c r="E18" s="1362"/>
      <c r="F18" s="1459">
        <f>SUMIF(65:65,E19,66:66)-SUMIF(65:65,C19,66:66)+100</f>
        <v>100</v>
      </c>
      <c r="G18" s="1477"/>
      <c r="H18" s="1363">
        <f>SUMIF(65:65,G19,66:66)-SUMIF(65:65,C19,66:66)+100</f>
        <v>100</v>
      </c>
      <c r="I18" s="1629"/>
      <c r="J18" s="1363">
        <f>SUMIF(65:65,I19,66:66)-SUMIF(65:65,C19,66:66)+100</f>
        <v>100</v>
      </c>
      <c r="K18" s="1697"/>
      <c r="L18" s="1474"/>
      <c r="M18" s="1409"/>
      <c r="N18" s="1409"/>
      <c r="O18" s="1473"/>
      <c r="P18" s="3461"/>
      <c r="Q18" s="625" t="str">
        <f>B18</f>
        <v>基础设施水平</v>
      </c>
      <c r="R18" s="1511" t="s">
        <v>1664</v>
      </c>
      <c r="S18" s="1512">
        <f>F18</f>
        <v>100</v>
      </c>
      <c r="T18" s="1511" t="s">
        <v>1664</v>
      </c>
      <c r="U18" s="1512">
        <f>H18</f>
        <v>100</v>
      </c>
      <c r="V18" s="1511" t="s">
        <v>1664</v>
      </c>
      <c r="W18" s="1512">
        <f>J18</f>
        <v>100</v>
      </c>
      <c r="X18" s="1506"/>
      <c r="Y18" s="3461"/>
      <c r="Z18" s="1495" t="str">
        <f>Q18</f>
        <v>基础设施水平</v>
      </c>
      <c r="AA18" s="1495">
        <f t="shared" ref="AA18" si="8">D18/F18</f>
        <v>1</v>
      </c>
      <c r="AB18" s="1495">
        <f t="shared" ref="AB18" si="9">D18/H18</f>
        <v>1</v>
      </c>
      <c r="AC18" s="1495">
        <f t="shared" ref="AC18" si="10">D18/J18</f>
        <v>1</v>
      </c>
    </row>
    <row r="19" spans="1:29" ht="15">
      <c r="A19" s="1337"/>
      <c r="B19" s="1630"/>
      <c r="C19" s="1627"/>
      <c r="D19" s="1359"/>
      <c r="E19" s="1627"/>
      <c r="F19" s="1460"/>
      <c r="G19" s="1627"/>
      <c r="H19" s="1357"/>
      <c r="I19" s="1356"/>
      <c r="J19" s="1357"/>
      <c r="K19" s="1699"/>
      <c r="L19" s="1474"/>
      <c r="M19" s="1409"/>
      <c r="N19" s="1409"/>
      <c r="O19" s="1473"/>
      <c r="P19" s="3461"/>
      <c r="Q19" s="625"/>
      <c r="R19" s="1511"/>
      <c r="S19" s="1512"/>
      <c r="T19" s="1511"/>
      <c r="U19" s="1512"/>
      <c r="V19" s="1511"/>
      <c r="W19" s="1512"/>
      <c r="X19" s="1506"/>
      <c r="Y19" s="3461"/>
      <c r="Z19" s="1495"/>
      <c r="AA19" s="1495">
        <v>1</v>
      </c>
      <c r="AB19" s="1495">
        <v>1</v>
      </c>
      <c r="AC19" s="1495">
        <v>1</v>
      </c>
    </row>
    <row r="20" spans="1:29" ht="15">
      <c r="A20" s="1337"/>
      <c r="B20" s="1626" t="s">
        <v>2204</v>
      </c>
      <c r="C20" s="1361">
        <f>IF(B1="工业",估价对象房地状况!G7,估价对象房地状况!C9)</f>
        <v>0</v>
      </c>
      <c r="D20" s="1363">
        <v>100</v>
      </c>
      <c r="E20" s="1629"/>
      <c r="F20" s="1459">
        <f>SUMIF(67:67,E21,68:68)-SUMIF(67:67,C21,68:68)+100</f>
        <v>100</v>
      </c>
      <c r="G20" s="1636"/>
      <c r="H20" s="1359">
        <f>SUMIF(67:67,G21,68:68)-SUMIF(67:67,C21,68:68)+100</f>
        <v>100</v>
      </c>
      <c r="I20" s="1362"/>
      <c r="J20" s="1359">
        <f>SUMIF(67:67,I21,68:68)-SUMIF(67:67,C21,68:68)+100</f>
        <v>100</v>
      </c>
      <c r="K20" s="1697"/>
      <c r="L20" s="1474"/>
      <c r="M20" s="1409"/>
      <c r="N20" s="1409"/>
      <c r="O20" s="1473"/>
      <c r="P20" s="3461"/>
      <c r="Q20" s="625" t="str">
        <f>B20</f>
        <v>自然及人文环境</v>
      </c>
      <c r="R20" s="1511" t="s">
        <v>1664</v>
      </c>
      <c r="S20" s="1512">
        <f>F20</f>
        <v>100</v>
      </c>
      <c r="T20" s="1511" t="s">
        <v>1664</v>
      </c>
      <c r="U20" s="1512">
        <f>H20</f>
        <v>100</v>
      </c>
      <c r="V20" s="1511" t="s">
        <v>1664</v>
      </c>
      <c r="W20" s="1512">
        <f>J20</f>
        <v>100</v>
      </c>
      <c r="X20" s="1506"/>
      <c r="Y20" s="3461"/>
      <c r="Z20" s="1495" t="str">
        <f>Q20</f>
        <v>自然及人文环境</v>
      </c>
      <c r="AA20" s="1495">
        <f t="shared" si="3"/>
        <v>1</v>
      </c>
      <c r="AB20" s="1495">
        <f t="shared" si="4"/>
        <v>1</v>
      </c>
      <c r="AC20" s="1495">
        <f t="shared" si="5"/>
        <v>1</v>
      </c>
    </row>
    <row r="21" spans="1:29" ht="15">
      <c r="A21" s="1337"/>
      <c r="B21" s="1383"/>
      <c r="C21" s="1356"/>
      <c r="D21" s="1357"/>
      <c r="E21" s="1356"/>
      <c r="F21" s="1461"/>
      <c r="G21" s="1356"/>
      <c r="H21" s="1357"/>
      <c r="I21" s="1356"/>
      <c r="J21" s="1357"/>
      <c r="K21" s="1698"/>
      <c r="L21" s="1474"/>
      <c r="M21" s="1409"/>
      <c r="N21" s="1409"/>
      <c r="O21" s="1473"/>
      <c r="P21" s="3461"/>
      <c r="Q21" s="625"/>
      <c r="R21" s="1511"/>
      <c r="S21" s="1512"/>
      <c r="T21" s="1511"/>
      <c r="U21" s="1512"/>
      <c r="V21" s="1511"/>
      <c r="W21" s="1512"/>
      <c r="X21" s="1506"/>
      <c r="Y21" s="3461"/>
      <c r="Z21" s="1495"/>
      <c r="AA21" s="1495">
        <v>1</v>
      </c>
      <c r="AB21" s="1495">
        <v>1</v>
      </c>
      <c r="AC21" s="1495">
        <v>1</v>
      </c>
    </row>
    <row r="22" spans="1:29" ht="15">
      <c r="A22" s="1337"/>
      <c r="B22" s="1626" t="s">
        <v>1689</v>
      </c>
      <c r="C22" s="1370"/>
      <c r="D22" s="1359">
        <v>100</v>
      </c>
      <c r="E22" s="1370"/>
      <c r="F22" s="1490">
        <f>SUMIF(69:69,E22,70:70)-SUMIF(69:69,C22,70:70)+100</f>
        <v>100</v>
      </c>
      <c r="G22" s="1370"/>
      <c r="H22" s="759">
        <f>SUMIF(69:69,G22,70:70)-SUMIF(69:69,C22,70:70)+100</f>
        <v>100</v>
      </c>
      <c r="I22" s="1370"/>
      <c r="J22" s="759">
        <f>SUMIF(69:69,I22,70:70)-SUMIF(69:69,C22,70:70)+100</f>
        <v>100</v>
      </c>
      <c r="K22" s="1481"/>
      <c r="L22" s="1474"/>
      <c r="M22" s="1409"/>
      <c r="N22" s="1409"/>
      <c r="O22" s="1473"/>
      <c r="P22" s="3461"/>
      <c r="Q22" s="625" t="str">
        <f>B22</f>
        <v>楼层</v>
      </c>
      <c r="R22" s="1511" t="s">
        <v>1664</v>
      </c>
      <c r="S22" s="1512">
        <f>F22</f>
        <v>100</v>
      </c>
      <c r="T22" s="1511" t="s">
        <v>1664</v>
      </c>
      <c r="U22" s="1512">
        <f>H22</f>
        <v>100</v>
      </c>
      <c r="V22" s="1511" t="s">
        <v>1664</v>
      </c>
      <c r="W22" s="1512">
        <f>J22</f>
        <v>100</v>
      </c>
      <c r="X22" s="1506"/>
      <c r="Y22" s="3461"/>
      <c r="Z22" s="1495" t="str">
        <f>Q22</f>
        <v>楼层</v>
      </c>
      <c r="AA22" s="1495">
        <f t="shared" si="3"/>
        <v>1</v>
      </c>
      <c r="AB22" s="1495">
        <f t="shared" si="4"/>
        <v>1</v>
      </c>
      <c r="AC22" s="1495">
        <f t="shared" si="5"/>
        <v>1</v>
      </c>
    </row>
    <row r="23" spans="1:29" ht="15">
      <c r="A23" s="1316"/>
      <c r="B23" s="1341">
        <v>111</v>
      </c>
      <c r="C23" s="1335"/>
      <c r="D23" s="759">
        <v>100</v>
      </c>
      <c r="E23" s="1345"/>
      <c r="F23" s="1490">
        <f>SUMIF(71:71,E23,72:72)-SUMIF(71:71,C23,72:72)+100</f>
        <v>100</v>
      </c>
      <c r="G23" s="1345"/>
      <c r="H23" s="759">
        <f>SUMIF(71:71,G23,72:72)-SUMIF(71:71,C23,72:72)+100</f>
        <v>100</v>
      </c>
      <c r="I23" s="1345"/>
      <c r="J23" s="759">
        <f>SUMIF(71:71,I23,72:72)-SUMIF(71:71,C23,72:72)+100</f>
        <v>100</v>
      </c>
      <c r="K23" s="1480"/>
      <c r="L23" s="1474"/>
      <c r="M23" s="1409"/>
      <c r="N23" s="1409"/>
      <c r="O23" s="1473"/>
      <c r="P23" s="3461"/>
      <c r="Q23" s="625">
        <f>B23</f>
        <v>111</v>
      </c>
      <c r="R23" s="1511" t="s">
        <v>1664</v>
      </c>
      <c r="S23" s="1512">
        <f>F23</f>
        <v>100</v>
      </c>
      <c r="T23" s="1511" t="s">
        <v>1664</v>
      </c>
      <c r="U23" s="1512">
        <f>H23</f>
        <v>100</v>
      </c>
      <c r="V23" s="1511" t="s">
        <v>1664</v>
      </c>
      <c r="W23" s="1512">
        <f>J23</f>
        <v>100</v>
      </c>
      <c r="X23" s="1506"/>
      <c r="Y23" s="3461"/>
      <c r="Z23" s="1495">
        <f>Q23</f>
        <v>111</v>
      </c>
      <c r="AA23" s="1495">
        <f t="shared" si="3"/>
        <v>1</v>
      </c>
      <c r="AB23" s="1495">
        <f t="shared" si="4"/>
        <v>1</v>
      </c>
      <c r="AC23" s="1495">
        <f t="shared" si="5"/>
        <v>1</v>
      </c>
    </row>
    <row r="24" spans="1:29" ht="15">
      <c r="A24" s="1337"/>
      <c r="B24" s="1341">
        <v>111</v>
      </c>
      <c r="C24" s="1335"/>
      <c r="D24" s="759">
        <v>100</v>
      </c>
      <c r="E24" s="1345"/>
      <c r="F24" s="1490">
        <f>SUMIF(73:73,E24,74:74)-SUMIF(73:73,C24,74:74)+100</f>
        <v>100</v>
      </c>
      <c r="G24" s="1345"/>
      <c r="H24" s="759">
        <f>SUMIF(73:73,G24,74:74)-SUMIF(73:73,C24,74:74)+100</f>
        <v>100</v>
      </c>
      <c r="I24" s="1345"/>
      <c r="J24" s="759">
        <f>SUMIF(73:73,I24,74:74)-SUMIF(73:73,C24,74:74)+100</f>
        <v>100</v>
      </c>
      <c r="K24" s="1480"/>
      <c r="L24" s="1474"/>
      <c r="M24" s="1409"/>
      <c r="N24" s="1409"/>
      <c r="O24" s="1473"/>
      <c r="P24" s="3461"/>
      <c r="Q24" s="625">
        <f t="shared" ref="Q24:Q34" si="11">B24</f>
        <v>111</v>
      </c>
      <c r="R24" s="1511" t="s">
        <v>1664</v>
      </c>
      <c r="S24" s="1512">
        <f>F24</f>
        <v>100</v>
      </c>
      <c r="T24" s="1511" t="s">
        <v>1664</v>
      </c>
      <c r="U24" s="1512">
        <f>H24</f>
        <v>100</v>
      </c>
      <c r="V24" s="1511" t="s">
        <v>1664</v>
      </c>
      <c r="W24" s="1512">
        <f>J24</f>
        <v>100</v>
      </c>
      <c r="X24" s="1506"/>
      <c r="Y24" s="3461"/>
      <c r="Z24" s="1495">
        <f>Q24</f>
        <v>111</v>
      </c>
      <c r="AA24" s="1495">
        <f t="shared" si="3"/>
        <v>1</v>
      </c>
      <c r="AB24" s="1495">
        <f t="shared" si="4"/>
        <v>1</v>
      </c>
      <c r="AC24" s="1495">
        <f t="shared" si="5"/>
        <v>1</v>
      </c>
    </row>
    <row r="25" spans="1:29" s="1293" customFormat="1" ht="15">
      <c r="A25" s="1340"/>
      <c r="B25" s="1341">
        <v>111</v>
      </c>
      <c r="C25" s="1673"/>
      <c r="D25" s="1367">
        <v>100</v>
      </c>
      <c r="E25" s="1673"/>
      <c r="F25" s="1630">
        <f>SUMIF(75:75,E25,76:76)-SUMIF(75:75,C25,76:76)+100</f>
        <v>100</v>
      </c>
      <c r="G25" s="1673"/>
      <c r="H25" s="1367">
        <f>SUMIF(75:75,G25,76:76)-SUMIF(75:75,C25,76:76)+100</f>
        <v>100</v>
      </c>
      <c r="I25" s="1673"/>
      <c r="J25" s="1367">
        <f>SUMIF(75:75,I25,76:76)-SUMIF(75:75,C25,76:76)+100</f>
        <v>100</v>
      </c>
      <c r="K25" s="1480"/>
      <c r="L25" s="1463"/>
      <c r="M25" s="1464"/>
      <c r="N25" s="1464"/>
      <c r="O25" s="1466"/>
      <c r="P25" s="3461"/>
      <c r="Q25" s="794">
        <f t="shared" si="11"/>
        <v>111</v>
      </c>
      <c r="R25" s="1507" t="s">
        <v>1664</v>
      </c>
      <c r="S25" s="1508">
        <f>F25</f>
        <v>100</v>
      </c>
      <c r="T25" s="1507" t="s">
        <v>1664</v>
      </c>
      <c r="U25" s="1508">
        <f>H25</f>
        <v>100</v>
      </c>
      <c r="V25" s="1507" t="s">
        <v>1664</v>
      </c>
      <c r="W25" s="1508">
        <f>J25</f>
        <v>100</v>
      </c>
      <c r="X25" s="1509"/>
      <c r="Y25" s="3461"/>
      <c r="Z25" s="1518">
        <f>Q25</f>
        <v>111</v>
      </c>
      <c r="AA25" s="1495">
        <f t="shared" si="3"/>
        <v>1</v>
      </c>
      <c r="AB25" s="1495">
        <f t="shared" si="4"/>
        <v>1</v>
      </c>
      <c r="AC25" s="1495">
        <f t="shared" si="5"/>
        <v>1</v>
      </c>
    </row>
    <row r="26" spans="1:29" ht="28.5">
      <c r="A26" s="1674" t="s">
        <v>1691</v>
      </c>
      <c r="B26" s="1330" t="s">
        <v>1698</v>
      </c>
      <c r="C26" s="1675"/>
      <c r="D26" s="1314">
        <v>100</v>
      </c>
      <c r="E26" s="1675"/>
      <c r="F26" s="1315">
        <f>SUMIF(77:77,E26,78:78)-SUMIF(77:77,C26,78:78)+100</f>
        <v>100</v>
      </c>
      <c r="G26" s="1675"/>
      <c r="H26" s="1314">
        <f>SUMIF(77:77,G26,78:78)-SUMIF(77:77,C26,78:78)+100</f>
        <v>100</v>
      </c>
      <c r="I26" s="1675"/>
      <c r="J26" s="1314">
        <f>SUMIF(77:77,I26,78:78)-SUMIF(77:77,C26,78:78)+100</f>
        <v>100</v>
      </c>
      <c r="K26" s="1481"/>
      <c r="L26" s="1474"/>
      <c r="M26" s="1409"/>
      <c r="N26" s="1409"/>
      <c r="O26" s="1473"/>
      <c r="P26" s="3517" t="s">
        <v>1694</v>
      </c>
      <c r="Q26" s="625" t="str">
        <f t="shared" si="11"/>
        <v>公共部分装修</v>
      </c>
      <c r="R26" s="1511" t="s">
        <v>1664</v>
      </c>
      <c r="S26" s="1512">
        <f t="shared" ref="S26:S34" si="12">F26</f>
        <v>100</v>
      </c>
      <c r="T26" s="1511" t="s">
        <v>1664</v>
      </c>
      <c r="U26" s="1512">
        <f t="shared" ref="U26:U34" si="13">H26</f>
        <v>100</v>
      </c>
      <c r="V26" s="1511" t="s">
        <v>1664</v>
      </c>
      <c r="W26" s="1512">
        <f t="shared" ref="W26:W34" si="14">J26</f>
        <v>100</v>
      </c>
      <c r="X26" s="1506"/>
      <c r="Y26" s="3462" t="s">
        <v>1694</v>
      </c>
      <c r="Z26" s="1495" t="str">
        <f t="shared" ref="Z26:Z34" si="15">Q26</f>
        <v>公共部分装修</v>
      </c>
      <c r="AA26" s="1495">
        <f t="shared" si="3"/>
        <v>1</v>
      </c>
      <c r="AB26" s="1495">
        <f t="shared" si="4"/>
        <v>1</v>
      </c>
      <c r="AC26" s="1495">
        <f t="shared" si="5"/>
        <v>1</v>
      </c>
    </row>
    <row r="27" spans="1:29" s="1295" customFormat="1" ht="15">
      <c r="A27" s="1390"/>
      <c r="B27" s="1334" t="s">
        <v>2246</v>
      </c>
      <c r="C27" s="1676"/>
      <c r="D27" s="1336">
        <v>100</v>
      </c>
      <c r="E27" s="1677"/>
      <c r="F27" s="1490" t="e">
        <f>LOOKUP(E27,80:80,81:81)-LOOKUP(C27,80:80,81:81)+100</f>
        <v>#N/A</v>
      </c>
      <c r="G27" s="1678"/>
      <c r="H27" s="759" t="e">
        <f>LOOKUP(G27,80:80,81:81)-LOOKUP(C27,80:80,81:81)+100</f>
        <v>#N/A</v>
      </c>
      <c r="I27" s="1678"/>
      <c r="J27" s="759" t="e">
        <f>LOOKUP(I27,80:80,81:81)-LOOKUP(C27,80:80,81:81)+100</f>
        <v>#N/A</v>
      </c>
      <c r="K27" s="1481"/>
      <c r="L27" s="1472"/>
      <c r="M27" s="1482"/>
      <c r="N27" s="1482"/>
      <c r="O27" s="1483"/>
      <c r="P27" s="3462"/>
      <c r="Q27" s="1700" t="str">
        <f t="shared" si="11"/>
        <v>成新率</v>
      </c>
      <c r="R27" s="1513" t="s">
        <v>1664</v>
      </c>
      <c r="S27" s="1514" t="e">
        <f t="shared" si="12"/>
        <v>#N/A</v>
      </c>
      <c r="T27" s="1513" t="s">
        <v>1664</v>
      </c>
      <c r="U27" s="1514" t="e">
        <f t="shared" si="13"/>
        <v>#N/A</v>
      </c>
      <c r="V27" s="1513" t="s">
        <v>1664</v>
      </c>
      <c r="W27" s="1514" t="e">
        <f t="shared" si="14"/>
        <v>#N/A</v>
      </c>
      <c r="X27" s="1515"/>
      <c r="Y27" s="3462"/>
      <c r="Z27" s="1519" t="str">
        <f t="shared" si="15"/>
        <v>成新率</v>
      </c>
      <c r="AA27" s="1495" t="e">
        <f t="shared" si="3"/>
        <v>#N/A</v>
      </c>
      <c r="AB27" s="1495" t="e">
        <f t="shared" si="4"/>
        <v>#N/A</v>
      </c>
      <c r="AC27" s="1495" t="e">
        <f t="shared" si="5"/>
        <v>#N/A</v>
      </c>
    </row>
    <row r="28" spans="1:29" ht="15">
      <c r="A28" s="1385"/>
      <c r="B28" s="1334" t="s">
        <v>2247</v>
      </c>
      <c r="C28" s="1679"/>
      <c r="D28" s="759">
        <v>100</v>
      </c>
      <c r="E28" s="1679"/>
      <c r="F28" s="1490">
        <f>SUMIF(82:82,E28,83:83)-SUMIF(82:82,C28,83:83)+100</f>
        <v>100</v>
      </c>
      <c r="G28" s="1679"/>
      <c r="H28" s="759">
        <f>SUMIF(82:82,G28,83:83)-SUMIF(82:82,C28,83:83)+100</f>
        <v>100</v>
      </c>
      <c r="I28" s="1679"/>
      <c r="J28" s="759">
        <f>SUMIF(82:82,I28,83:83)-SUMIF(82:82,C28,83:83)+100</f>
        <v>100</v>
      </c>
      <c r="K28" s="1481"/>
      <c r="L28" s="1474"/>
      <c r="M28" s="1409"/>
      <c r="N28" s="1409"/>
      <c r="O28" s="1473"/>
      <c r="P28" s="3462"/>
      <c r="Q28" s="625" t="str">
        <f t="shared" si="11"/>
        <v>物业等级</v>
      </c>
      <c r="R28" s="1511" t="s">
        <v>1664</v>
      </c>
      <c r="S28" s="1512">
        <f t="shared" si="12"/>
        <v>100</v>
      </c>
      <c r="T28" s="1511" t="s">
        <v>1664</v>
      </c>
      <c r="U28" s="1512">
        <f t="shared" si="13"/>
        <v>100</v>
      </c>
      <c r="V28" s="1511" t="s">
        <v>1664</v>
      </c>
      <c r="W28" s="1512">
        <f t="shared" si="14"/>
        <v>100</v>
      </c>
      <c r="X28" s="1506"/>
      <c r="Y28" s="3462"/>
      <c r="Z28" s="1495" t="str">
        <f t="shared" si="15"/>
        <v>物业等级</v>
      </c>
      <c r="AA28" s="1495">
        <f t="shared" si="3"/>
        <v>1</v>
      </c>
      <c r="AB28" s="1495">
        <f t="shared" si="4"/>
        <v>1</v>
      </c>
      <c r="AC28" s="1495">
        <f t="shared" si="5"/>
        <v>1</v>
      </c>
    </row>
    <row r="29" spans="1:29" ht="15">
      <c r="A29" s="1385"/>
      <c r="B29" s="1334" t="s">
        <v>2255</v>
      </c>
      <c r="C29" s="1680"/>
      <c r="D29" s="759">
        <v>100</v>
      </c>
      <c r="E29" s="1680"/>
      <c r="F29" s="1490">
        <f>SUMIF(84:84,E29,85:85)-SUMIF(84:84,C29,85:85)+100</f>
        <v>100</v>
      </c>
      <c r="G29" s="1680"/>
      <c r="H29" s="759">
        <f>SUMIF(84:84,G29,85:85)-SUMIF(84:84,C29,85:85)+100</f>
        <v>100</v>
      </c>
      <c r="I29" s="1680"/>
      <c r="J29" s="759">
        <f>SUMIF(84:84,I29,85:85)-SUMIF(84:84,C29,85:85)+100</f>
        <v>100</v>
      </c>
      <c r="K29" s="1481"/>
      <c r="L29" s="1474"/>
      <c r="M29" s="1409"/>
      <c r="N29" s="1409"/>
      <c r="O29" s="1473"/>
      <c r="P29" s="3462"/>
      <c r="Q29" s="625" t="str">
        <f t="shared" si="11"/>
        <v>有无电梯</v>
      </c>
      <c r="R29" s="1511" t="s">
        <v>1664</v>
      </c>
      <c r="S29" s="1512">
        <f t="shared" si="12"/>
        <v>100</v>
      </c>
      <c r="T29" s="1511" t="s">
        <v>1664</v>
      </c>
      <c r="U29" s="1512">
        <f t="shared" si="13"/>
        <v>100</v>
      </c>
      <c r="V29" s="1511" t="s">
        <v>1664</v>
      </c>
      <c r="W29" s="1512">
        <f t="shared" si="14"/>
        <v>100</v>
      </c>
      <c r="X29" s="1506"/>
      <c r="Y29" s="3462"/>
      <c r="Z29" s="1495" t="str">
        <f t="shared" si="15"/>
        <v>有无电梯</v>
      </c>
      <c r="AA29" s="1495">
        <f t="shared" si="3"/>
        <v>1</v>
      </c>
      <c r="AB29" s="1495">
        <f t="shared" si="4"/>
        <v>1</v>
      </c>
      <c r="AC29" s="1495">
        <f t="shared" si="5"/>
        <v>1</v>
      </c>
    </row>
    <row r="30" spans="1:29" ht="15">
      <c r="A30" s="1385"/>
      <c r="B30" s="1334" t="s">
        <v>648</v>
      </c>
      <c r="C30" s="1670"/>
      <c r="D30" s="759">
        <v>100</v>
      </c>
      <c r="E30" s="1670"/>
      <c r="F30" s="1490" t="e">
        <f>LOOKUP(E30,87:87,88:88)-LOOKUP(C30,87:87,88:88)+100</f>
        <v>#N/A</v>
      </c>
      <c r="G30" s="1670"/>
      <c r="H30" s="759" t="e">
        <f>LOOKUP(G30,87:87,88:88)-LOOKUP(C30,87:87,88:88)+100</f>
        <v>#N/A</v>
      </c>
      <c r="I30" s="1670"/>
      <c r="J30" s="759" t="e">
        <f>LOOKUP(I30,87:87,88:88)-LOOKUP(C30,87:87,88:88)+100</f>
        <v>#N/A</v>
      </c>
      <c r="K30" s="1480"/>
      <c r="L30" s="1474"/>
      <c r="M30" s="1409"/>
      <c r="N30" s="1409"/>
      <c r="O30" s="1473"/>
      <c r="P30" s="3462"/>
      <c r="Q30" s="625" t="str">
        <f t="shared" si="11"/>
        <v>建筑面积</v>
      </c>
      <c r="R30" s="1511" t="s">
        <v>1664</v>
      </c>
      <c r="S30" s="1512" t="e">
        <f t="shared" si="12"/>
        <v>#N/A</v>
      </c>
      <c r="T30" s="1511" t="s">
        <v>1664</v>
      </c>
      <c r="U30" s="1512" t="e">
        <f t="shared" si="13"/>
        <v>#N/A</v>
      </c>
      <c r="V30" s="1511" t="s">
        <v>1664</v>
      </c>
      <c r="W30" s="1512" t="e">
        <f t="shared" si="14"/>
        <v>#N/A</v>
      </c>
      <c r="X30" s="1506"/>
      <c r="Y30" s="3462"/>
      <c r="Z30" s="1495" t="str">
        <f t="shared" si="15"/>
        <v>建筑面积</v>
      </c>
      <c r="AA30" s="1495" t="e">
        <f t="shared" si="3"/>
        <v>#N/A</v>
      </c>
      <c r="AB30" s="1495" t="e">
        <f t="shared" si="4"/>
        <v>#N/A</v>
      </c>
      <c r="AC30" s="1495" t="e">
        <f t="shared" si="5"/>
        <v>#N/A</v>
      </c>
    </row>
    <row r="31" spans="1:29" s="1293" customFormat="1" ht="15">
      <c r="A31" s="1387"/>
      <c r="B31" s="1334" t="s">
        <v>2256</v>
      </c>
      <c r="C31" s="1680"/>
      <c r="D31" s="1336">
        <v>100</v>
      </c>
      <c r="E31" s="1680"/>
      <c r="F31" s="1490">
        <f>SUMIF(89:89,E31,90:90)-SUMIF(89:89,C31,90:90)+100</f>
        <v>100</v>
      </c>
      <c r="G31" s="1680"/>
      <c r="H31" s="759">
        <f>SUMIF(89:89,G31,90:90)-SUMIF(89:89,C31,90:90)+100</f>
        <v>100</v>
      </c>
      <c r="I31" s="1680"/>
      <c r="J31" s="759">
        <f>SUMIF(89:89,I31,90:90)-SUMIF(89:89,C31,90:90)+100</f>
        <v>100</v>
      </c>
      <c r="K31" s="1481"/>
      <c r="L31" s="1463"/>
      <c r="M31" s="1464"/>
      <c r="N31" s="1464"/>
      <c r="O31" s="1466"/>
      <c r="P31" s="3462"/>
      <c r="Q31" s="794" t="str">
        <f t="shared" si="11"/>
        <v>是否封闭</v>
      </c>
      <c r="R31" s="1507" t="s">
        <v>1664</v>
      </c>
      <c r="S31" s="1508">
        <f t="shared" si="12"/>
        <v>100</v>
      </c>
      <c r="T31" s="1507" t="s">
        <v>1664</v>
      </c>
      <c r="U31" s="1508">
        <f t="shared" si="13"/>
        <v>100</v>
      </c>
      <c r="V31" s="1507" t="s">
        <v>1664</v>
      </c>
      <c r="W31" s="1508">
        <f t="shared" si="14"/>
        <v>100</v>
      </c>
      <c r="X31" s="1509"/>
      <c r="Y31" s="3462"/>
      <c r="Z31" s="1518" t="str">
        <f t="shared" si="15"/>
        <v>是否封闭</v>
      </c>
      <c r="AA31" s="1518">
        <f t="shared" si="3"/>
        <v>1</v>
      </c>
      <c r="AB31" s="1518">
        <f t="shared" si="4"/>
        <v>1</v>
      </c>
      <c r="AC31" s="1518">
        <f t="shared" si="5"/>
        <v>1</v>
      </c>
    </row>
    <row r="32" spans="1:29" ht="15">
      <c r="A32" s="1385"/>
      <c r="B32" s="1341">
        <v>111</v>
      </c>
      <c r="C32" s="1335"/>
      <c r="D32" s="759">
        <v>100</v>
      </c>
      <c r="E32" s="1670"/>
      <c r="F32" s="1490">
        <f>SUMIF(91:91,E32,92:92)-SUMIF(91:91,C32,92:92)+100</f>
        <v>100</v>
      </c>
      <c r="G32" s="1670"/>
      <c r="H32" s="759">
        <f>SUMIF(91:91,G32,92:92)-SUMIF(91:91,C32,92:92)+100</f>
        <v>100</v>
      </c>
      <c r="I32" s="1670"/>
      <c r="J32" s="759">
        <f>SUMIF(91:91,I32,92:92)-SUMIF(91:91,C32,92:92)+100</f>
        <v>100</v>
      </c>
      <c r="K32" s="1480"/>
      <c r="L32" s="1474"/>
      <c r="M32" s="1409"/>
      <c r="N32" s="1409"/>
      <c r="O32" s="1473"/>
      <c r="P32" s="3462" t="s">
        <v>1694</v>
      </c>
      <c r="Q32" s="625">
        <f t="shared" si="11"/>
        <v>111</v>
      </c>
      <c r="R32" s="1511" t="s">
        <v>1664</v>
      </c>
      <c r="S32" s="1512">
        <f t="shared" si="12"/>
        <v>100</v>
      </c>
      <c r="T32" s="1511" t="s">
        <v>1664</v>
      </c>
      <c r="U32" s="1512">
        <f t="shared" si="13"/>
        <v>100</v>
      </c>
      <c r="V32" s="1511" t="s">
        <v>1664</v>
      </c>
      <c r="W32" s="1512">
        <f t="shared" si="14"/>
        <v>100</v>
      </c>
      <c r="X32" s="1506"/>
      <c r="Y32" s="3462" t="s">
        <v>1694</v>
      </c>
      <c r="Z32" s="1495">
        <f t="shared" si="15"/>
        <v>111</v>
      </c>
      <c r="AA32" s="1495">
        <f t="shared" si="3"/>
        <v>1</v>
      </c>
      <c r="AB32" s="1495">
        <f t="shared" si="4"/>
        <v>1</v>
      </c>
      <c r="AC32" s="1495">
        <f t="shared" si="5"/>
        <v>1</v>
      </c>
    </row>
    <row r="33" spans="1:30" ht="15">
      <c r="A33" s="1385"/>
      <c r="B33" s="1341">
        <v>111</v>
      </c>
      <c r="C33" s="1335"/>
      <c r="D33" s="759">
        <v>100</v>
      </c>
      <c r="E33" s="1670"/>
      <c r="F33" s="1490">
        <f>SUMIF(93:93,E33,94:94)-SUMIF(93:93,C33,94:94)+100</f>
        <v>100</v>
      </c>
      <c r="G33" s="1670"/>
      <c r="H33" s="759">
        <f>SUMIF(93:93,G33,94:94)-SUMIF(93:93,C33,94:94)+100</f>
        <v>100</v>
      </c>
      <c r="I33" s="1670"/>
      <c r="J33" s="759">
        <f>SUMIF(93:93,I33,94:94)-SUMIF(93:93,C33,94:94)+100</f>
        <v>100</v>
      </c>
      <c r="K33" s="1480"/>
      <c r="L33" s="1474"/>
      <c r="M33" s="1409"/>
      <c r="N33" s="1409"/>
      <c r="O33" s="1473"/>
      <c r="P33" s="3462"/>
      <c r="Q33" s="625">
        <f t="shared" si="11"/>
        <v>111</v>
      </c>
      <c r="R33" s="1511" t="s">
        <v>1664</v>
      </c>
      <c r="S33" s="1512">
        <f t="shared" si="12"/>
        <v>100</v>
      </c>
      <c r="T33" s="1511" t="s">
        <v>1664</v>
      </c>
      <c r="U33" s="1512">
        <f t="shared" si="13"/>
        <v>100</v>
      </c>
      <c r="V33" s="1511" t="s">
        <v>1664</v>
      </c>
      <c r="W33" s="1512">
        <f t="shared" si="14"/>
        <v>100</v>
      </c>
      <c r="X33" s="1506"/>
      <c r="Y33" s="3462"/>
      <c r="Z33" s="1495">
        <f t="shared" si="15"/>
        <v>111</v>
      </c>
      <c r="AA33" s="1495">
        <f t="shared" si="3"/>
        <v>1</v>
      </c>
      <c r="AB33" s="1495">
        <f t="shared" si="4"/>
        <v>1</v>
      </c>
      <c r="AC33" s="1495">
        <f t="shared" si="5"/>
        <v>1</v>
      </c>
    </row>
    <row r="34" spans="1:30" ht="15">
      <c r="A34" s="1681"/>
      <c r="B34" s="1347">
        <v>111</v>
      </c>
      <c r="C34" s="1348"/>
      <c r="D34" s="1349">
        <v>100</v>
      </c>
      <c r="E34" s="1671"/>
      <c r="F34" s="1682">
        <f>SUMIF(95:95,E34,96:96)-SUMIF(95:95,C34,96:96)+100</f>
        <v>100</v>
      </c>
      <c r="G34" s="1671"/>
      <c r="H34" s="1349">
        <f>SUMIF(95:95,G34,96:96)-SUMIF(95:95,C34,96:96)+100</f>
        <v>100</v>
      </c>
      <c r="I34" s="1671"/>
      <c r="J34" s="1349">
        <f>SUMIF(95:95,I34,96:96)-SUMIF(95:95,C34,96:96)+100</f>
        <v>100</v>
      </c>
      <c r="K34" s="1480"/>
      <c r="L34" s="1474"/>
      <c r="M34" s="1409"/>
      <c r="N34" s="1409"/>
      <c r="O34" s="1473"/>
      <c r="P34" s="3462"/>
      <c r="Q34" s="625">
        <f t="shared" si="11"/>
        <v>111</v>
      </c>
      <c r="R34" s="1511" t="s">
        <v>1664</v>
      </c>
      <c r="S34" s="1512">
        <f t="shared" si="12"/>
        <v>100</v>
      </c>
      <c r="T34" s="1511" t="s">
        <v>1664</v>
      </c>
      <c r="U34" s="1512">
        <f t="shared" si="13"/>
        <v>100</v>
      </c>
      <c r="V34" s="1511" t="s">
        <v>1664</v>
      </c>
      <c r="W34" s="1512">
        <f t="shared" si="14"/>
        <v>100</v>
      </c>
      <c r="X34" s="1506"/>
      <c r="Y34" s="3462"/>
      <c r="Z34" s="1495">
        <f t="shared" si="15"/>
        <v>111</v>
      </c>
      <c r="AA34" s="1495">
        <f t="shared" si="3"/>
        <v>1</v>
      </c>
      <c r="AB34" s="1495">
        <f t="shared" si="4"/>
        <v>1</v>
      </c>
      <c r="AC34" s="1495">
        <f t="shared" si="5"/>
        <v>1</v>
      </c>
    </row>
    <row r="35" spans="1:30" ht="15">
      <c r="A35" s="1392" t="s">
        <v>1711</v>
      </c>
      <c r="B35" s="1683"/>
      <c r="C35" s="1684" t="s">
        <v>124</v>
      </c>
      <c r="D35" s="1395"/>
      <c r="E35" s="1396"/>
      <c r="F35" s="1397"/>
      <c r="G35" s="1398"/>
      <c r="H35" s="1399"/>
      <c r="I35" s="1396"/>
      <c r="J35" s="1399"/>
      <c r="K35" s="1486"/>
      <c r="L35" s="1487"/>
      <c r="M35" s="1409"/>
      <c r="N35" s="1409"/>
      <c r="O35" s="1409"/>
      <c r="P35" s="3448" t="str">
        <f>A35</f>
        <v>成交单价（元/平方米）</v>
      </c>
      <c r="Q35" s="3448"/>
      <c r="R35" s="3446">
        <f>E35</f>
        <v>0</v>
      </c>
      <c r="S35" s="3446"/>
      <c r="T35" s="3446">
        <f>G35</f>
        <v>0</v>
      </c>
      <c r="U35" s="3446"/>
      <c r="V35" s="3446">
        <f>I35</f>
        <v>0</v>
      </c>
      <c r="W35" s="3446"/>
      <c r="X35" s="1448"/>
      <c r="Y35" s="1520"/>
      <c r="Z35" s="1448"/>
      <c r="AA35" s="1448"/>
      <c r="AB35" s="1448"/>
      <c r="AC35" s="1448"/>
    </row>
    <row r="36" spans="1:30" ht="15">
      <c r="A36" s="1400" t="s">
        <v>1712</v>
      </c>
      <c r="B36" s="1685"/>
      <c r="C36" s="1686" t="e">
        <f>R37</f>
        <v>#DIV/0!</v>
      </c>
      <c r="D36" s="1403" t="s">
        <v>1713</v>
      </c>
      <c r="E36" s="1687" t="e">
        <f>R36</f>
        <v>#DIV/0!</v>
      </c>
      <c r="F36" s="1404"/>
      <c r="G36" s="1686" t="e">
        <f>T36</f>
        <v>#DIV/0!</v>
      </c>
      <c r="H36" s="1404"/>
      <c r="I36" s="1687" t="e">
        <f>V36</f>
        <v>#DIV/0!</v>
      </c>
      <c r="J36" s="1404"/>
      <c r="K36" s="1488">
        <f>F36+H36+J36</f>
        <v>0</v>
      </c>
      <c r="L36" s="1487"/>
      <c r="M36" s="1409"/>
      <c r="N36" s="1409"/>
      <c r="O36" s="1409"/>
      <c r="P36" s="3448" t="str">
        <f>A36</f>
        <v>比较价值（元/平方米）</v>
      </c>
      <c r="Q36" s="3448"/>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1448"/>
      <c r="Y36" s="1448"/>
      <c r="Z36" s="1448"/>
      <c r="AA36" s="1448"/>
      <c r="AB36" s="1448"/>
      <c r="AC36" s="1448"/>
    </row>
    <row r="37" spans="1:30" ht="15">
      <c r="A37" s="1406" t="s">
        <v>1714</v>
      </c>
      <c r="B37" s="1407"/>
      <c r="C37" s="1319" t="e">
        <f>R37</f>
        <v>#DIV/0!</v>
      </c>
      <c r="D37" s="1319"/>
      <c r="E37" s="1319"/>
      <c r="F37" s="1319"/>
      <c r="G37" s="1319"/>
      <c r="H37" s="1319"/>
      <c r="I37" s="1319"/>
      <c r="J37" s="1319"/>
      <c r="K37" s="1489"/>
      <c r="L37" s="1487"/>
      <c r="M37" s="1409"/>
      <c r="N37" s="1409"/>
      <c r="O37" s="1409"/>
      <c r="P37" s="3514" t="str">
        <f>A37</f>
        <v>估价对象XX用房的比较价值（楼面单价，元/平方米）</v>
      </c>
      <c r="Q37" s="3515"/>
      <c r="R37" s="3518" t="e">
        <f>IF(F1="售价",ROUND(IF(D36="简单平均",AVERAGE(R36:W36),R36*F36+T36*H36+V36*J36),0),ROUND(IF(D36="简单平均",AVERAGE(R36:V36),R36*F36+T36*H36+V36*J36),1))</f>
        <v>#DIV/0!</v>
      </c>
      <c r="S37" s="3518"/>
      <c r="T37" s="3518"/>
      <c r="U37" s="3518"/>
      <c r="V37" s="3518"/>
      <c r="W37" s="3518"/>
      <c r="X37" s="1448"/>
      <c r="Y37" s="1448"/>
      <c r="Z37" s="1448"/>
      <c r="AA37" s="1448"/>
      <c r="AB37" s="1448"/>
      <c r="AC37" s="1448"/>
    </row>
    <row r="38" spans="1:30">
      <c r="A38" s="1409"/>
      <c r="B38" s="1409"/>
      <c r="C38" s="1409"/>
      <c r="D38" s="1409"/>
      <c r="E38" s="1409"/>
      <c r="F38" s="1409"/>
      <c r="G38" s="1410"/>
      <c r="H38" s="1409"/>
      <c r="I38" s="1409"/>
      <c r="J38" s="1409"/>
      <c r="K38" s="1491"/>
      <c r="L38" s="1492"/>
      <c r="M38" s="1409"/>
      <c r="N38" s="1409"/>
      <c r="O38" s="1409"/>
      <c r="P38" s="1409"/>
      <c r="Q38" s="1409"/>
      <c r="R38" s="1409"/>
      <c r="S38" s="1409"/>
      <c r="T38" s="1409"/>
      <c r="U38" s="1409"/>
      <c r="V38" s="1409"/>
      <c r="W38" s="1409"/>
      <c r="X38" s="1409"/>
      <c r="Y38" s="1409"/>
      <c r="Z38" s="1409"/>
      <c r="AA38" s="1409"/>
      <c r="AB38" s="1409"/>
      <c r="AC38" s="1409"/>
      <c r="AD38" s="1409"/>
    </row>
    <row r="39" spans="1:30">
      <c r="A39" s="1409"/>
      <c r="B39" s="1409"/>
      <c r="C39" s="1409"/>
      <c r="D39" s="1409"/>
      <c r="E39" s="1409"/>
      <c r="F39" s="1409"/>
      <c r="G39" s="1409"/>
      <c r="H39" s="1409"/>
      <c r="I39" s="1409"/>
      <c r="J39" s="1409"/>
      <c r="K39" s="1491"/>
      <c r="L39" s="1492"/>
      <c r="M39" s="1409"/>
      <c r="N39" s="1409"/>
      <c r="O39" s="1409"/>
      <c r="P39" s="1409"/>
      <c r="Q39" s="1409"/>
      <c r="R39" s="1409"/>
      <c r="S39" s="1409"/>
      <c r="T39" s="1409"/>
      <c r="U39" s="1409"/>
      <c r="V39" s="1409"/>
      <c r="W39" s="1409"/>
      <c r="X39" s="1409"/>
      <c r="Y39" s="1409"/>
      <c r="Z39" s="1409"/>
      <c r="AA39" s="1409"/>
      <c r="AB39" s="1409"/>
      <c r="AC39" s="1409"/>
      <c r="AD39" s="1409"/>
    </row>
    <row r="40" spans="1:30" ht="13.5" customHeight="1">
      <c r="A40" s="1409"/>
      <c r="B40" s="1409"/>
      <c r="C40" s="1411" t="s">
        <v>1715</v>
      </c>
      <c r="D40" s="667"/>
      <c r="E40" s="1412" t="e">
        <f>IF(E35&lt;E36,E36/E35-1,E35/E36-1)</f>
        <v>#DIV/0!</v>
      </c>
      <c r="F40" s="1413" t="e">
        <f>IF(OR(E40&gt;=0.3,E40&lt;=-0.3),"超过30%","")</f>
        <v>#DIV/0!</v>
      </c>
      <c r="G40" s="1412" t="e">
        <f>IF(G35&lt;G36,G36/G35-1,G35/G36-1)</f>
        <v>#DIV/0!</v>
      </c>
      <c r="H40" s="1413" t="e">
        <f>IF(OR(G40&gt;=0.3,G40&lt;=-0.3),"超过30%","")</f>
        <v>#DIV/0!</v>
      </c>
      <c r="I40" s="1412" t="e">
        <f>IF(I35&lt;I36,I36/I35-1,I35/I36-1)</f>
        <v>#DIV/0!</v>
      </c>
      <c r="J40" s="1413" t="e">
        <f>IF(OR(I40&gt;=0.3,I40&lt;=-0.3),"超过30%","")</f>
        <v>#DIV/0!</v>
      </c>
      <c r="K40" s="1491"/>
      <c r="L40" s="1492"/>
      <c r="M40" s="1409"/>
      <c r="N40" s="1409"/>
      <c r="O40" s="1409"/>
      <c r="P40" s="1409"/>
      <c r="Q40" s="1409"/>
      <c r="R40" s="1409"/>
      <c r="S40" s="1409"/>
      <c r="T40" s="1409"/>
      <c r="U40" s="1409"/>
      <c r="V40" s="1409"/>
      <c r="W40" s="1409"/>
      <c r="X40" s="1409"/>
      <c r="Y40" s="1409"/>
      <c r="Z40" s="1409"/>
      <c r="AA40" s="1409"/>
      <c r="AB40" s="1409"/>
      <c r="AC40" s="1409"/>
      <c r="AD40" s="1409"/>
    </row>
    <row r="41" spans="1:30" ht="13.5" customHeight="1">
      <c r="A41" s="1409"/>
      <c r="B41" s="1409"/>
      <c r="C41" s="1411" t="s">
        <v>1716</v>
      </c>
      <c r="D41" s="666"/>
      <c r="E41" s="1412" t="e">
        <f>IF(E36&lt;G36,G36/E36-1,E36/G36-1)</f>
        <v>#DIV/0!</v>
      </c>
      <c r="F41" s="1413" t="e">
        <f>IF(OR(E41&gt;=0.2,E41&lt;=-0.2),"超过20%","")</f>
        <v>#DIV/0!</v>
      </c>
      <c r="G41" s="1412" t="e">
        <f>IF(G36&lt;I36,I36/G36-1,G36/I36-1)</f>
        <v>#DIV/0!</v>
      </c>
      <c r="H41" s="1413" t="e">
        <f>IF(OR(G41&gt;=0.2,G41&lt;=-0.2),"超过20%","")</f>
        <v>#DIV/0!</v>
      </c>
      <c r="I41" s="1412" t="e">
        <f>IF(I36&lt;E36,E36/I36-1,I36/E36-1)</f>
        <v>#DIV/0!</v>
      </c>
      <c r="J41" s="1413" t="e">
        <f>IF(OR(I41&gt;=0.2,I41&lt;=-0.2),"超过20%","")</f>
        <v>#DIV/0!</v>
      </c>
      <c r="K41" s="1491"/>
      <c r="L41" s="1492"/>
      <c r="M41" s="1409"/>
      <c r="N41" s="1409"/>
      <c r="O41" s="1409"/>
      <c r="P41" s="1409"/>
      <c r="Q41" s="1409"/>
      <c r="R41" s="1409"/>
      <c r="S41" s="1409"/>
      <c r="T41" s="1409"/>
      <c r="U41" s="1409"/>
      <c r="V41" s="1409"/>
      <c r="W41" s="1409"/>
      <c r="X41" s="1409"/>
      <c r="Y41" s="1409"/>
      <c r="Z41" s="1409"/>
      <c r="AA41" s="1409"/>
      <c r="AB41" s="1409"/>
      <c r="AC41" s="1409"/>
      <c r="AD41" s="1409"/>
    </row>
    <row r="42" spans="1:30" s="1296" customFormat="1" ht="13.5" customHeight="1">
      <c r="A42" s="1414"/>
      <c r="B42" s="1414"/>
      <c r="C42" s="1411" t="s">
        <v>1717</v>
      </c>
      <c r="D42" s="666"/>
      <c r="E42" s="1412" t="e">
        <f>IF(E35&lt;G35,G35/E35-1,E35/G35-1)</f>
        <v>#DIV/0!</v>
      </c>
      <c r="F42" s="1413" t="e">
        <f>IF(OR(E42&gt;=0.3,E42&lt;=-0.3),"超过30%","")</f>
        <v>#DIV/0!</v>
      </c>
      <c r="G42" s="1412" t="e">
        <f>IF(G35&lt;I35,I35/G35-1,G35/I35-1)</f>
        <v>#DIV/0!</v>
      </c>
      <c r="H42" s="1413" t="e">
        <f>IF(OR(G42&gt;=0.3,G42&lt;=-0.3),"超过30%","")</f>
        <v>#DIV/0!</v>
      </c>
      <c r="I42" s="1412" t="e">
        <f>IF(I35&lt;E35,E35/I35-1,I35/E35-1)</f>
        <v>#DIV/0!</v>
      </c>
      <c r="J42" s="1413" t="e">
        <f>IF(OR(I42&gt;=0.3,I42&lt;=-0.3),"超过30%","")</f>
        <v>#DIV/0!</v>
      </c>
      <c r="K42" s="1493"/>
      <c r="L42" s="1494"/>
      <c r="M42" s="1414"/>
      <c r="N42" s="1414"/>
      <c r="O42" s="1414"/>
      <c r="P42" s="1414"/>
      <c r="Q42" s="1414"/>
      <c r="R42" s="1414"/>
      <c r="S42" s="1414"/>
      <c r="T42" s="1414"/>
      <c r="U42" s="1414"/>
      <c r="V42" s="1414"/>
      <c r="W42" s="1414"/>
      <c r="X42" s="1414"/>
      <c r="Y42" s="1414"/>
      <c r="Z42" s="1414"/>
      <c r="AA42" s="1414"/>
      <c r="AB42" s="1414"/>
      <c r="AC42" s="1414"/>
      <c r="AD42" s="1414"/>
    </row>
    <row r="43" spans="1:30" s="1296" customFormat="1">
      <c r="A43" s="1414"/>
      <c r="B43" s="1415"/>
      <c r="C43" s="1688"/>
      <c r="D43" s="1414"/>
      <c r="E43" s="1414"/>
      <c r="F43" s="1414"/>
      <c r="G43" s="1414"/>
      <c r="H43" s="1414"/>
      <c r="I43" s="1414"/>
      <c r="J43" s="1414"/>
      <c r="K43" s="1493"/>
      <c r="L43" s="1494"/>
      <c r="M43" s="1414"/>
      <c r="N43" s="1414"/>
      <c r="O43" s="1414"/>
      <c r="P43" s="1414"/>
      <c r="Q43" s="1414"/>
      <c r="R43" s="1414"/>
      <c r="S43" s="1414"/>
      <c r="T43" s="1414"/>
      <c r="U43" s="1414"/>
      <c r="V43" s="1414"/>
      <c r="W43" s="1414"/>
      <c r="X43" s="1414"/>
      <c r="Y43" s="1414"/>
      <c r="Z43" s="1414"/>
      <c r="AA43" s="1414"/>
      <c r="AB43" s="1414"/>
      <c r="AC43" s="1414"/>
      <c r="AD43" s="1414"/>
    </row>
    <row r="44" spans="1:30">
      <c r="A44" s="1409"/>
      <c r="B44" s="1415"/>
      <c r="C44" s="1688"/>
      <c r="D44" s="1409"/>
      <c r="E44" s="1409"/>
      <c r="F44" s="1409"/>
      <c r="G44" s="1409"/>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row>
    <row r="45" spans="1:30" ht="21">
      <c r="A45" s="1447" t="s">
        <v>1718</v>
      </c>
      <c r="B45" s="1448"/>
      <c r="C45" s="1449"/>
      <c r="D45" s="1449"/>
      <c r="E45" s="1449"/>
      <c r="F45" s="1450"/>
      <c r="G45" s="1450"/>
      <c r="H45" s="1449"/>
      <c r="I45" s="1449"/>
      <c r="J45" s="1449"/>
      <c r="K45" s="1501"/>
      <c r="L45" s="1502"/>
      <c r="M45" s="1449"/>
      <c r="N45" s="1504"/>
      <c r="O45" s="1504"/>
      <c r="P45" s="1504"/>
      <c r="Q45" s="1516"/>
      <c r="R45" s="1409"/>
      <c r="S45" s="1409"/>
      <c r="T45" s="1409"/>
      <c r="U45" s="1409"/>
      <c r="V45" s="1409"/>
      <c r="W45" s="1409"/>
      <c r="X45" s="1409"/>
      <c r="Y45" s="1409"/>
      <c r="Z45" s="1409"/>
      <c r="AA45" s="1409"/>
      <c r="AB45" s="1409"/>
      <c r="AC45" s="1409"/>
      <c r="AD45" s="1409"/>
    </row>
    <row r="46" spans="1:30" s="1298" customFormat="1" ht="15">
      <c r="A46" s="1689" t="s">
        <v>1662</v>
      </c>
      <c r="B46" s="1690"/>
      <c r="C46" s="1691" t="str">
        <f>YEAR(C7)&amp;"-"&amp;MONTH(C7)</f>
        <v>2025-8</v>
      </c>
      <c r="D46" s="1692">
        <f>EDATE(C46,-1)</f>
        <v>45839</v>
      </c>
      <c r="E46" s="1692">
        <f t="shared" ref="E46:O46" si="16">EDATE(D46,-1)</f>
        <v>45809</v>
      </c>
      <c r="F46" s="1692">
        <f t="shared" si="16"/>
        <v>45778</v>
      </c>
      <c r="G46" s="1692">
        <f t="shared" si="16"/>
        <v>45748</v>
      </c>
      <c r="H46" s="1692">
        <f t="shared" si="16"/>
        <v>45717</v>
      </c>
      <c r="I46" s="1692">
        <f t="shared" si="16"/>
        <v>45689</v>
      </c>
      <c r="J46" s="1692">
        <f t="shared" si="16"/>
        <v>45658</v>
      </c>
      <c r="K46" s="1692">
        <f t="shared" si="16"/>
        <v>45627</v>
      </c>
      <c r="L46" s="1692">
        <f t="shared" si="16"/>
        <v>45597</v>
      </c>
      <c r="M46" s="1692">
        <f t="shared" si="16"/>
        <v>45566</v>
      </c>
      <c r="N46" s="1692">
        <f t="shared" si="16"/>
        <v>45536</v>
      </c>
      <c r="O46" s="1692">
        <f t="shared" si="16"/>
        <v>45505</v>
      </c>
      <c r="P46" s="1568"/>
      <c r="Q46" s="1568"/>
      <c r="R46" s="1568"/>
      <c r="S46" s="1568"/>
      <c r="T46" s="1568"/>
      <c r="U46" s="1568"/>
      <c r="V46" s="1568"/>
      <c r="W46" s="1568"/>
      <c r="X46" s="1568"/>
      <c r="Y46" s="1568"/>
      <c r="Z46" s="1568"/>
      <c r="AA46" s="1568"/>
      <c r="AB46" s="1568"/>
      <c r="AC46" s="1568"/>
      <c r="AD46" s="1568"/>
    </row>
    <row r="47" spans="1:30" s="1293" customFormat="1" ht="15">
      <c r="A47" s="1366"/>
      <c r="B47" s="1532"/>
      <c r="C47" s="1693">
        <v>100</v>
      </c>
      <c r="D47" s="1536"/>
      <c r="E47" s="1536"/>
      <c r="F47" s="1536"/>
      <c r="G47" s="1536"/>
      <c r="H47" s="1536"/>
      <c r="I47" s="1536"/>
      <c r="J47" s="1536"/>
      <c r="K47" s="1536"/>
      <c r="L47" s="1536"/>
      <c r="M47" s="1341"/>
      <c r="N47" s="1536"/>
      <c r="O47" s="1575"/>
      <c r="P47" s="1516"/>
      <c r="Q47" s="1464"/>
      <c r="R47" s="1464"/>
      <c r="S47" s="1464"/>
      <c r="T47" s="1464"/>
      <c r="U47" s="1464"/>
      <c r="V47" s="1464"/>
      <c r="W47" s="1464"/>
      <c r="X47" s="1464"/>
      <c r="Y47" s="1464"/>
      <c r="Z47" s="1464"/>
      <c r="AA47" s="1464"/>
      <c r="AB47" s="1464"/>
      <c r="AC47" s="1464"/>
      <c r="AD47" s="1464"/>
    </row>
    <row r="48" spans="1:30" s="1293" customFormat="1" ht="15">
      <c r="A48" s="1527" t="s">
        <v>1719</v>
      </c>
      <c r="B48" s="1528"/>
      <c r="C48" s="1529"/>
      <c r="D48" s="1530"/>
      <c r="E48" s="1530"/>
      <c r="F48" s="1530"/>
      <c r="G48" s="1530"/>
      <c r="H48" s="1530"/>
      <c r="I48" s="1530"/>
      <c r="J48" s="1530"/>
      <c r="K48" s="1530"/>
      <c r="L48" s="1530"/>
      <c r="M48" s="1570"/>
      <c r="N48" s="1530"/>
      <c r="O48" s="1571"/>
      <c r="P48" s="1516"/>
      <c r="Q48" s="1516"/>
      <c r="R48" s="1464"/>
      <c r="S48" s="1464"/>
      <c r="T48" s="1464"/>
      <c r="U48" s="1464"/>
      <c r="V48" s="1464"/>
      <c r="W48" s="1464"/>
      <c r="X48" s="1464"/>
      <c r="Y48" s="1464"/>
      <c r="Z48" s="1464"/>
      <c r="AA48" s="1464"/>
      <c r="AB48" s="1464"/>
      <c r="AC48" s="1464"/>
      <c r="AD48" s="1464"/>
    </row>
    <row r="49" spans="1:30" s="1293" customFormat="1" ht="15">
      <c r="A49" s="1531" t="s">
        <v>1665</v>
      </c>
      <c r="B49" s="1532"/>
      <c r="C49" s="1533" t="s">
        <v>1720</v>
      </c>
      <c r="D49" s="1534"/>
      <c r="E49" s="1534"/>
      <c r="F49" s="1534"/>
      <c r="G49" s="1534"/>
      <c r="H49" s="1534"/>
      <c r="I49" s="1534"/>
      <c r="J49" s="1534"/>
      <c r="K49" s="1534"/>
      <c r="L49" s="1572"/>
      <c r="M49" s="1573"/>
      <c r="N49" s="1574"/>
      <c r="O49" s="1574"/>
      <c r="P49" s="1177"/>
      <c r="Q49" s="1516"/>
      <c r="R49" s="1464"/>
      <c r="S49" s="1464"/>
      <c r="T49" s="1464"/>
      <c r="U49" s="1464"/>
      <c r="V49" s="1464"/>
      <c r="W49" s="1464"/>
      <c r="X49" s="1464"/>
      <c r="Y49" s="1464"/>
      <c r="Z49" s="1464"/>
      <c r="AA49" s="1464"/>
      <c r="AB49" s="1464"/>
      <c r="AC49" s="1464"/>
      <c r="AD49" s="1464"/>
    </row>
    <row r="50" spans="1:30" s="1293" customFormat="1" ht="15">
      <c r="A50" s="1531"/>
      <c r="B50" s="1532"/>
      <c r="C50" s="1535">
        <v>100</v>
      </c>
      <c r="D50" s="1536"/>
      <c r="E50" s="1536"/>
      <c r="F50" s="1536"/>
      <c r="G50" s="1536"/>
      <c r="H50" s="1536"/>
      <c r="I50" s="1536"/>
      <c r="J50" s="1536"/>
      <c r="K50" s="1536"/>
      <c r="L50" s="1536"/>
      <c r="M50" s="1575"/>
      <c r="N50" s="1574"/>
      <c r="O50" s="1574"/>
      <c r="P50" s="1516"/>
      <c r="Q50" s="1516"/>
      <c r="R50" s="1464"/>
      <c r="S50" s="1464"/>
      <c r="T50" s="1464"/>
      <c r="U50" s="1464"/>
      <c r="V50" s="1464"/>
      <c r="W50" s="1464"/>
      <c r="X50" s="1464"/>
      <c r="Y50" s="1464"/>
      <c r="Z50" s="1464"/>
      <c r="AA50" s="1464"/>
      <c r="AB50" s="1464"/>
      <c r="AC50" s="1464"/>
      <c r="AD50" s="1464"/>
    </row>
    <row r="51" spans="1:30">
      <c r="A51" s="1350" t="s">
        <v>1721</v>
      </c>
      <c r="B51" s="1537" t="s">
        <v>1669</v>
      </c>
      <c r="C51" s="621">
        <f>C9</f>
        <v>0</v>
      </c>
      <c r="D51" s="1484"/>
      <c r="E51" s="1484"/>
      <c r="F51" s="1484"/>
      <c r="G51" s="1484"/>
      <c r="H51" s="1484"/>
      <c r="I51" s="1484"/>
      <c r="J51" s="1484"/>
      <c r="K51" s="1576"/>
      <c r="L51" s="1577"/>
      <c r="M51" s="1578"/>
      <c r="N51" s="1579"/>
      <c r="O51" s="1579"/>
      <c r="P51" s="1574"/>
      <c r="Q51" s="1516"/>
      <c r="R51" s="1409"/>
      <c r="S51" s="1409"/>
      <c r="T51" s="1409"/>
      <c r="U51" s="1409"/>
      <c r="V51" s="1409"/>
      <c r="W51" s="1409"/>
      <c r="X51" s="1409"/>
      <c r="Y51" s="1409"/>
      <c r="Z51" s="1409"/>
      <c r="AA51" s="1409"/>
      <c r="AB51" s="1409"/>
      <c r="AC51" s="1409"/>
      <c r="AD51" s="1409"/>
    </row>
    <row r="52" spans="1:30" ht="15">
      <c r="A52" s="1337"/>
      <c r="B52" s="1538"/>
      <c r="C52" s="1539">
        <v>100</v>
      </c>
      <c r="D52" s="1539"/>
      <c r="E52" s="1539"/>
      <c r="F52" s="1539"/>
      <c r="G52" s="1539"/>
      <c r="H52" s="1539"/>
      <c r="I52" s="1539"/>
      <c r="J52" s="1539"/>
      <c r="K52" s="1539"/>
      <c r="L52" s="1539"/>
      <c r="M52" s="1580"/>
      <c r="N52" s="1581"/>
      <c r="O52" s="1581"/>
      <c r="P52" s="1574"/>
      <c r="Q52" s="1516"/>
      <c r="R52" s="1409"/>
      <c r="S52" s="1409"/>
      <c r="T52" s="1409"/>
      <c r="U52" s="1409"/>
      <c r="V52" s="1409"/>
      <c r="W52" s="1409"/>
      <c r="X52" s="1409"/>
      <c r="Y52" s="1409"/>
      <c r="Z52" s="1409"/>
      <c r="AA52" s="1409"/>
      <c r="AB52" s="1409"/>
      <c r="AC52" s="1409"/>
      <c r="AD52" s="1409"/>
    </row>
    <row r="53" spans="1:30" ht="27">
      <c r="A53" s="1337"/>
      <c r="B53" s="1540" t="s">
        <v>1672</v>
      </c>
      <c r="C53" s="1562"/>
      <c r="D53" s="1562"/>
      <c r="E53" s="1562"/>
      <c r="F53" s="1562"/>
      <c r="G53" s="1562"/>
      <c r="H53" s="1562"/>
      <c r="I53" s="1562"/>
      <c r="J53" s="1562"/>
      <c r="K53" s="1607"/>
      <c r="L53" s="1608"/>
      <c r="M53" s="1609"/>
      <c r="N53" s="1579"/>
      <c r="O53" s="1579"/>
      <c r="P53" s="1574"/>
      <c r="Q53" s="1516"/>
      <c r="R53" s="1409"/>
      <c r="S53" s="1409"/>
      <c r="T53" s="1409"/>
      <c r="U53" s="1409"/>
      <c r="V53" s="1409"/>
      <c r="W53" s="1409"/>
      <c r="X53" s="1409"/>
      <c r="Y53" s="1409"/>
      <c r="Z53" s="1409"/>
      <c r="AA53" s="1409"/>
      <c r="AB53" s="1409"/>
      <c r="AC53" s="1409"/>
      <c r="AD53" s="1409"/>
    </row>
    <row r="54" spans="1:30" ht="15">
      <c r="A54" s="1337"/>
      <c r="B54" s="1542"/>
      <c r="C54" s="1539"/>
      <c r="D54" s="1539"/>
      <c r="E54" s="1539"/>
      <c r="F54" s="1539"/>
      <c r="G54" s="1539"/>
      <c r="H54" s="1539"/>
      <c r="I54" s="1539"/>
      <c r="J54" s="1539"/>
      <c r="K54" s="1539"/>
      <c r="L54" s="1539"/>
      <c r="M54" s="1580"/>
      <c r="N54" s="1581"/>
      <c r="O54" s="1581"/>
      <c r="P54" s="1574"/>
      <c r="Q54" s="1516"/>
      <c r="R54" s="1409"/>
      <c r="S54" s="1409"/>
      <c r="T54" s="1409"/>
      <c r="U54" s="1409"/>
      <c r="V54" s="1409"/>
      <c r="W54" s="1409"/>
      <c r="X54" s="1409"/>
      <c r="Y54" s="1409"/>
      <c r="Z54" s="1409"/>
      <c r="AA54" s="1409"/>
      <c r="AB54" s="1409"/>
      <c r="AC54" s="1409"/>
      <c r="AD54" s="1409"/>
    </row>
    <row r="55" spans="1:30" ht="15">
      <c r="A55" s="1337"/>
      <c r="B55" s="1476">
        <f>B11</f>
        <v>111</v>
      </c>
      <c r="C55" s="1343"/>
      <c r="D55" s="1343"/>
      <c r="E55" s="1343"/>
      <c r="F55" s="1343"/>
      <c r="G55" s="1343"/>
      <c r="H55" s="1343"/>
      <c r="I55" s="1343"/>
      <c r="J55" s="1343"/>
      <c r="K55" s="1586"/>
      <c r="L55" s="1587"/>
      <c r="M55" s="1588"/>
      <c r="N55" s="1579"/>
      <c r="O55" s="1579"/>
      <c r="P55" s="1574"/>
      <c r="Q55" s="1516"/>
      <c r="R55" s="1409"/>
      <c r="S55" s="1409"/>
      <c r="T55" s="1409"/>
      <c r="U55" s="1409"/>
      <c r="V55" s="1409"/>
      <c r="W55" s="1409"/>
      <c r="X55" s="1409"/>
      <c r="Y55" s="1409"/>
      <c r="Z55" s="1409"/>
      <c r="AA55" s="1409"/>
      <c r="AB55" s="1409"/>
      <c r="AC55" s="1409"/>
      <c r="AD55" s="1409"/>
    </row>
    <row r="56" spans="1:30" ht="15">
      <c r="A56" s="1337"/>
      <c r="B56" s="1538"/>
      <c r="C56" s="1550"/>
      <c r="D56" s="1539"/>
      <c r="E56" s="1539"/>
      <c r="F56" s="1539"/>
      <c r="G56" s="1539"/>
      <c r="H56" s="1539"/>
      <c r="I56" s="1539"/>
      <c r="J56" s="1539"/>
      <c r="K56" s="1539"/>
      <c r="L56" s="1539"/>
      <c r="M56" s="1580"/>
      <c r="N56" s="1581"/>
      <c r="O56" s="1581"/>
      <c r="P56" s="1574"/>
      <c r="Q56" s="1516"/>
      <c r="R56" s="1409"/>
      <c r="S56" s="1409"/>
      <c r="T56" s="1409"/>
      <c r="U56" s="1409"/>
      <c r="V56" s="1409"/>
      <c r="W56" s="1409"/>
      <c r="X56" s="1409"/>
      <c r="Y56" s="1409"/>
      <c r="Z56" s="1409"/>
      <c r="AA56" s="1409"/>
      <c r="AB56" s="1409"/>
      <c r="AC56" s="1409"/>
      <c r="AD56" s="1409"/>
    </row>
    <row r="57" spans="1:30" s="1295" customFormat="1" ht="15">
      <c r="A57" s="1547"/>
      <c r="B57" s="1540">
        <f>B12</f>
        <v>111</v>
      </c>
      <c r="C57" s="1343"/>
      <c r="D57" s="1343"/>
      <c r="E57" s="1343"/>
      <c r="F57" s="1343"/>
      <c r="G57" s="1548"/>
      <c r="H57" s="1549"/>
      <c r="I57" s="1549"/>
      <c r="J57" s="1549"/>
      <c r="K57" s="1549"/>
      <c r="L57" s="1589"/>
      <c r="M57" s="1590"/>
      <c r="N57" s="1591"/>
      <c r="O57" s="1591"/>
      <c r="P57" s="1591"/>
      <c r="Q57" s="1619"/>
      <c r="R57" s="1482"/>
      <c r="S57" s="1482"/>
      <c r="T57" s="1482"/>
      <c r="U57" s="1482"/>
      <c r="V57" s="1482"/>
      <c r="W57" s="1482"/>
      <c r="X57" s="1482"/>
      <c r="Y57" s="1482"/>
      <c r="Z57" s="1482"/>
      <c r="AA57" s="1482"/>
      <c r="AB57" s="1482"/>
      <c r="AC57" s="1482"/>
      <c r="AD57" s="1482"/>
    </row>
    <row r="58" spans="1:30" s="1295" customFormat="1" ht="15">
      <c r="A58" s="1547"/>
      <c r="B58" s="1542"/>
      <c r="C58" s="1550"/>
      <c r="D58" s="1539"/>
      <c r="E58" s="1539"/>
      <c r="F58" s="1539"/>
      <c r="G58" s="1539"/>
      <c r="H58" s="1539"/>
      <c r="I58" s="1539"/>
      <c r="J58" s="1539"/>
      <c r="K58" s="1539"/>
      <c r="L58" s="1539"/>
      <c r="M58" s="1580"/>
      <c r="N58" s="1581"/>
      <c r="O58" s="1581"/>
      <c r="P58" s="1591"/>
      <c r="Q58" s="1619"/>
      <c r="R58" s="1482"/>
      <c r="S58" s="1482"/>
      <c r="T58" s="1482"/>
      <c r="U58" s="1482"/>
      <c r="V58" s="1482"/>
      <c r="W58" s="1482"/>
      <c r="X58" s="1482"/>
      <c r="Y58" s="1482"/>
      <c r="Z58" s="1482"/>
      <c r="AA58" s="1482"/>
      <c r="AB58" s="1482"/>
      <c r="AC58" s="1482"/>
      <c r="AD58" s="1482"/>
    </row>
    <row r="59" spans="1:30" s="1295" customFormat="1" ht="15">
      <c r="A59" s="1547"/>
      <c r="B59" s="1540">
        <f>B13</f>
        <v>111</v>
      </c>
      <c r="C59" s="1343"/>
      <c r="D59" s="1343"/>
      <c r="E59" s="1343"/>
      <c r="F59" s="1343"/>
      <c r="G59" s="1548"/>
      <c r="H59" s="1549"/>
      <c r="I59" s="1549"/>
      <c r="J59" s="1549"/>
      <c r="K59" s="1549"/>
      <c r="L59" s="1589"/>
      <c r="M59" s="1590"/>
      <c r="N59" s="1591"/>
      <c r="O59" s="1591"/>
      <c r="P59" s="1482"/>
      <c r="Q59" s="1620"/>
      <c r="R59" s="1482"/>
      <c r="S59" s="1482"/>
      <c r="T59" s="1482"/>
      <c r="U59" s="1482"/>
      <c r="V59" s="1482"/>
      <c r="W59" s="1482"/>
      <c r="X59" s="1482"/>
      <c r="Y59" s="1482"/>
      <c r="Z59" s="1482"/>
      <c r="AA59" s="1482"/>
      <c r="AB59" s="1482"/>
      <c r="AC59" s="1482"/>
      <c r="AD59" s="1482"/>
    </row>
    <row r="60" spans="1:30" s="1295" customFormat="1" ht="15">
      <c r="A60" s="1547"/>
      <c r="B60" s="1542"/>
      <c r="C60" s="1550"/>
      <c r="D60" s="1550"/>
      <c r="E60" s="1550"/>
      <c r="F60" s="1550"/>
      <c r="G60" s="1550"/>
      <c r="H60" s="1551"/>
      <c r="I60" s="1551"/>
      <c r="J60" s="1551"/>
      <c r="K60" s="1551"/>
      <c r="L60" s="1551"/>
      <c r="M60" s="1592"/>
      <c r="N60" s="1591"/>
      <c r="O60" s="1591"/>
      <c r="P60" s="1591"/>
      <c r="Q60" s="1619"/>
      <c r="R60" s="1482"/>
      <c r="S60" s="1482"/>
      <c r="T60" s="1482"/>
      <c r="U60" s="1482"/>
      <c r="V60" s="1482"/>
      <c r="W60" s="1482"/>
      <c r="X60" s="1482"/>
      <c r="Y60" s="1482"/>
      <c r="Z60" s="1482"/>
      <c r="AA60" s="1482"/>
      <c r="AB60" s="1482"/>
      <c r="AC60" s="1482"/>
      <c r="AD60" s="1482"/>
    </row>
    <row r="61" spans="1:30">
      <c r="A61" s="1350" t="s">
        <v>1676</v>
      </c>
      <c r="B61" s="1537" t="s">
        <v>1682</v>
      </c>
      <c r="C61" s="1557" t="s">
        <v>1722</v>
      </c>
      <c r="D61" s="1557" t="s">
        <v>1723</v>
      </c>
      <c r="E61" s="1557" t="s">
        <v>1724</v>
      </c>
      <c r="F61" s="1557" t="s">
        <v>1725</v>
      </c>
      <c r="G61" s="1557" t="s">
        <v>1726</v>
      </c>
      <c r="H61" s="621"/>
      <c r="I61" s="621"/>
      <c r="J61" s="621"/>
      <c r="K61" s="1597"/>
      <c r="L61" s="1598"/>
      <c r="M61" s="1599"/>
      <c r="N61" s="1579"/>
      <c r="O61" s="1579"/>
      <c r="P61" s="1600"/>
      <c r="Q61" s="1516"/>
      <c r="R61" s="1409"/>
      <c r="S61" s="1409"/>
      <c r="T61" s="1409"/>
      <c r="U61" s="1409"/>
      <c r="V61" s="1409"/>
      <c r="W61" s="1409"/>
      <c r="X61" s="1409"/>
      <c r="Y61" s="1409"/>
      <c r="Z61" s="1409"/>
      <c r="AA61" s="1409"/>
      <c r="AB61" s="1409"/>
      <c r="AC61" s="1409"/>
      <c r="AD61" s="1409"/>
    </row>
    <row r="62" spans="1:30" ht="15">
      <c r="A62" s="1337"/>
      <c r="B62" s="1542"/>
      <c r="C62" s="1543">
        <v>100</v>
      </c>
      <c r="D62" s="1543">
        <f>C62-$K14</f>
        <v>100</v>
      </c>
      <c r="E62" s="1543">
        <f>D62-$K14</f>
        <v>100</v>
      </c>
      <c r="F62" s="1543">
        <f>E62-$K14</f>
        <v>100</v>
      </c>
      <c r="G62" s="1543">
        <f>F62-$K14</f>
        <v>100</v>
      </c>
      <c r="H62" s="1543"/>
      <c r="I62" s="1543"/>
      <c r="J62" s="1543"/>
      <c r="K62" s="1543"/>
      <c r="L62" s="1543"/>
      <c r="M62" s="1585"/>
      <c r="N62" s="1581"/>
      <c r="O62" s="1581"/>
      <c r="P62" s="1574"/>
      <c r="Q62" s="1516"/>
      <c r="R62" s="1409"/>
      <c r="S62" s="1409"/>
      <c r="T62" s="1409"/>
      <c r="U62" s="1409"/>
      <c r="V62" s="1409"/>
      <c r="W62" s="1409"/>
      <c r="X62" s="1409"/>
      <c r="Y62" s="1409"/>
      <c r="Z62" s="1409"/>
      <c r="AA62" s="1409"/>
      <c r="AB62" s="1409"/>
      <c r="AC62" s="1409"/>
      <c r="AD62" s="1409"/>
    </row>
    <row r="63" spans="1:30" ht="27">
      <c r="A63" s="1337"/>
      <c r="B63" s="1540" t="s">
        <v>2257</v>
      </c>
      <c r="C63" s="1558" t="s">
        <v>1722</v>
      </c>
      <c r="D63" s="1558" t="s">
        <v>1723</v>
      </c>
      <c r="E63" s="1558" t="s">
        <v>1724</v>
      </c>
      <c r="F63" s="1558" t="s">
        <v>1725</v>
      </c>
      <c r="G63" s="1558" t="s">
        <v>1726</v>
      </c>
      <c r="H63" s="1541"/>
      <c r="I63" s="1541"/>
      <c r="J63" s="1541"/>
      <c r="K63" s="1582"/>
      <c r="L63" s="1583"/>
      <c r="M63" s="1584"/>
      <c r="N63" s="1579"/>
      <c r="O63" s="1579"/>
      <c r="P63" s="1574"/>
      <c r="Q63" s="1516"/>
      <c r="R63" s="1409"/>
      <c r="S63" s="1409"/>
      <c r="T63" s="1409"/>
      <c r="U63" s="1409"/>
      <c r="V63" s="1409"/>
      <c r="W63" s="1409"/>
      <c r="X63" s="1409"/>
      <c r="Y63" s="1409"/>
      <c r="Z63" s="1409"/>
      <c r="AA63" s="1409"/>
      <c r="AB63" s="1409"/>
      <c r="AC63" s="1409"/>
      <c r="AD63" s="1409"/>
    </row>
    <row r="64" spans="1:30" ht="15">
      <c r="A64" s="1337"/>
      <c r="B64" s="1542"/>
      <c r="C64" s="1543">
        <v>100</v>
      </c>
      <c r="D64" s="1543">
        <f>C64-$K16</f>
        <v>100</v>
      </c>
      <c r="E64" s="1543">
        <f>D64-$K16</f>
        <v>100</v>
      </c>
      <c r="F64" s="1543">
        <f>E64-$K16</f>
        <v>100</v>
      </c>
      <c r="G64" s="1543">
        <f>F64-$K16</f>
        <v>100</v>
      </c>
      <c r="H64" s="1543"/>
      <c r="I64" s="1543"/>
      <c r="J64" s="1543"/>
      <c r="K64" s="1543"/>
      <c r="L64" s="1543"/>
      <c r="M64" s="1585"/>
      <c r="N64" s="1581"/>
      <c r="O64" s="1581"/>
      <c r="P64" s="1574"/>
      <c r="Q64" s="1516"/>
      <c r="R64" s="1409"/>
      <c r="S64" s="1409"/>
      <c r="T64" s="1409"/>
      <c r="U64" s="1409"/>
      <c r="V64" s="1409"/>
      <c r="W64" s="1409"/>
      <c r="X64" s="1409"/>
      <c r="Y64" s="1409"/>
      <c r="Z64" s="1409"/>
      <c r="AA64" s="1409"/>
      <c r="AB64" s="1409"/>
      <c r="AC64" s="1409"/>
      <c r="AD64" s="1409"/>
    </row>
    <row r="65" spans="1:30" ht="15">
      <c r="A65" s="1337"/>
      <c r="B65" s="1544" t="s">
        <v>1684</v>
      </c>
      <c r="C65" s="1476" t="s">
        <v>1727</v>
      </c>
      <c r="D65" s="1476" t="s">
        <v>1728</v>
      </c>
      <c r="E65" s="1476" t="s">
        <v>1729</v>
      </c>
      <c r="F65" s="1476" t="s">
        <v>1730</v>
      </c>
      <c r="G65" s="1476" t="s">
        <v>1731</v>
      </c>
      <c r="H65" s="1541"/>
      <c r="I65" s="1541"/>
      <c r="J65" s="1541"/>
      <c r="K65" s="1541"/>
      <c r="L65" s="1541"/>
      <c r="M65" s="1704"/>
      <c r="N65" s="1581"/>
      <c r="O65" s="1581"/>
      <c r="P65" s="1574"/>
      <c r="Q65" s="1516"/>
      <c r="R65" s="1409"/>
      <c r="S65" s="1409"/>
      <c r="T65" s="1409"/>
      <c r="U65" s="1409"/>
      <c r="V65" s="1409"/>
      <c r="W65" s="1409"/>
      <c r="X65" s="1409"/>
      <c r="Y65" s="1409"/>
      <c r="Z65" s="1409"/>
      <c r="AA65" s="1409"/>
      <c r="AB65" s="1409"/>
      <c r="AC65" s="1409"/>
      <c r="AD65" s="1409"/>
    </row>
    <row r="66" spans="1:30" ht="15">
      <c r="A66" s="1337"/>
      <c r="B66" s="1544"/>
      <c r="C66" s="1543">
        <v>100</v>
      </c>
      <c r="D66" s="1543">
        <f>C66-$K18</f>
        <v>100</v>
      </c>
      <c r="E66" s="1543">
        <f>D66-$K18</f>
        <v>100</v>
      </c>
      <c r="F66" s="1543">
        <f>E66-$K18</f>
        <v>100</v>
      </c>
      <c r="G66" s="1543">
        <f>F66-$K18</f>
        <v>100</v>
      </c>
      <c r="H66" s="1476"/>
      <c r="I66" s="1476"/>
      <c r="J66" s="1476"/>
      <c r="K66" s="1476"/>
      <c r="L66" s="1476"/>
      <c r="M66" s="1359"/>
      <c r="N66" s="1581"/>
      <c r="O66" s="1581"/>
      <c r="P66" s="1574"/>
      <c r="Q66" s="1516"/>
      <c r="R66" s="1409"/>
      <c r="S66" s="1409"/>
      <c r="T66" s="1409"/>
      <c r="U66" s="1409"/>
      <c r="V66" s="1409"/>
      <c r="W66" s="1409"/>
      <c r="X66" s="1409"/>
      <c r="Y66" s="1409"/>
      <c r="Z66" s="1409"/>
      <c r="AA66" s="1409"/>
      <c r="AB66" s="1409"/>
      <c r="AC66" s="1409"/>
      <c r="AD66" s="1409"/>
    </row>
    <row r="67" spans="1:30" ht="15">
      <c r="A67" s="1337"/>
      <c r="B67" s="1540" t="s">
        <v>2204</v>
      </c>
      <c r="C67" s="1558" t="s">
        <v>1722</v>
      </c>
      <c r="D67" s="1558" t="s">
        <v>1723</v>
      </c>
      <c r="E67" s="1558" t="s">
        <v>1724</v>
      </c>
      <c r="F67" s="1558" t="s">
        <v>1725</v>
      </c>
      <c r="G67" s="1558" t="s">
        <v>1726</v>
      </c>
      <c r="H67" s="1541"/>
      <c r="I67" s="1541"/>
      <c r="J67" s="1541"/>
      <c r="K67" s="1582"/>
      <c r="L67" s="1583"/>
      <c r="M67" s="1584"/>
      <c r="N67" s="1579"/>
      <c r="O67" s="1579"/>
      <c r="P67" s="1574"/>
      <c r="Q67" s="1516"/>
      <c r="R67" s="1409"/>
      <c r="S67" s="1409"/>
      <c r="T67" s="1409"/>
      <c r="U67" s="1409"/>
      <c r="V67" s="1409"/>
      <c r="W67" s="1409"/>
      <c r="X67" s="1409"/>
      <c r="Y67" s="1409"/>
      <c r="Z67" s="1409"/>
      <c r="AA67" s="1409"/>
      <c r="AB67" s="1409"/>
      <c r="AC67" s="1409"/>
      <c r="AD67" s="1409"/>
    </row>
    <row r="68" spans="1:30" ht="15">
      <c r="A68" s="1337"/>
      <c r="B68" s="1542"/>
      <c r="C68" s="1543">
        <v>100</v>
      </c>
      <c r="D68" s="1543">
        <f>C68-$K20</f>
        <v>100</v>
      </c>
      <c r="E68" s="1543">
        <f>D68-$K20</f>
        <v>100</v>
      </c>
      <c r="F68" s="1543">
        <f>E68-$K20</f>
        <v>100</v>
      </c>
      <c r="G68" s="1543">
        <f>F68-$K20</f>
        <v>100</v>
      </c>
      <c r="H68" s="1543"/>
      <c r="I68" s="1543"/>
      <c r="J68" s="1543"/>
      <c r="K68" s="1543"/>
      <c r="L68" s="1543"/>
      <c r="M68" s="1585"/>
      <c r="N68" s="1581"/>
      <c r="O68" s="1581"/>
      <c r="P68" s="1574"/>
      <c r="Q68" s="1516"/>
      <c r="R68" s="1409"/>
      <c r="S68" s="1409"/>
      <c r="T68" s="1409"/>
      <c r="U68" s="1409"/>
      <c r="V68" s="1409"/>
      <c r="W68" s="1409"/>
      <c r="X68" s="1409"/>
      <c r="Y68" s="1409"/>
      <c r="Z68" s="1409"/>
      <c r="AA68" s="1409"/>
      <c r="AB68" s="1409"/>
      <c r="AC68" s="1409"/>
      <c r="AD68" s="1409"/>
    </row>
    <row r="69" spans="1:30" ht="15">
      <c r="A69" s="1337"/>
      <c r="B69" s="1540" t="s">
        <v>1689</v>
      </c>
      <c r="C69" s="1548"/>
      <c r="D69" s="1548"/>
      <c r="E69" s="1548"/>
      <c r="F69" s="1548"/>
      <c r="G69" s="1548"/>
      <c r="H69" s="1562"/>
      <c r="I69" s="1562"/>
      <c r="J69" s="1562"/>
      <c r="K69" s="1607"/>
      <c r="L69" s="1608"/>
      <c r="M69" s="1609"/>
      <c r="N69" s="1579"/>
      <c r="O69" s="1579"/>
      <c r="P69" s="1574"/>
      <c r="Q69" s="1516"/>
      <c r="R69" s="1409"/>
      <c r="S69" s="1409"/>
      <c r="T69" s="1409"/>
      <c r="U69" s="1409"/>
      <c r="V69" s="1409"/>
      <c r="W69" s="1409"/>
      <c r="X69" s="1409"/>
      <c r="Y69" s="1409"/>
      <c r="Z69" s="1409"/>
      <c r="AA69" s="1409"/>
      <c r="AB69" s="1409"/>
      <c r="AC69" s="1409"/>
      <c r="AD69" s="1409"/>
    </row>
    <row r="70" spans="1:30" ht="15">
      <c r="A70" s="1337"/>
      <c r="B70" s="1542"/>
      <c r="C70" s="1543">
        <v>100</v>
      </c>
      <c r="D70" s="1543">
        <f>C70-$K22</f>
        <v>100</v>
      </c>
      <c r="E70" s="1543"/>
      <c r="F70" s="1543"/>
      <c r="G70" s="1543"/>
      <c r="H70" s="1543"/>
      <c r="I70" s="1543"/>
      <c r="J70" s="1543"/>
      <c r="K70" s="1543"/>
      <c r="L70" s="1543"/>
      <c r="M70" s="1585"/>
      <c r="N70" s="1581"/>
      <c r="O70" s="1581"/>
      <c r="P70" s="1574"/>
      <c r="Q70" s="1516"/>
      <c r="R70" s="1409"/>
      <c r="S70" s="1409"/>
      <c r="T70" s="1409"/>
      <c r="U70" s="1409"/>
      <c r="V70" s="1409"/>
      <c r="W70" s="1409"/>
      <c r="X70" s="1409"/>
      <c r="Y70" s="1409"/>
      <c r="Z70" s="1409"/>
      <c r="AA70" s="1409"/>
      <c r="AB70" s="1409"/>
      <c r="AC70" s="1409"/>
      <c r="AD70" s="1409"/>
    </row>
    <row r="71" spans="1:30" s="1293" customFormat="1" ht="15">
      <c r="A71" s="1340"/>
      <c r="B71" s="1540">
        <f>B23</f>
        <v>111</v>
      </c>
      <c r="C71" s="1343"/>
      <c r="D71" s="1343"/>
      <c r="E71" s="1343"/>
      <c r="F71" s="1343"/>
      <c r="G71" s="1548"/>
      <c r="H71" s="1548"/>
      <c r="I71" s="1548"/>
      <c r="J71" s="1548"/>
      <c r="K71" s="1548"/>
      <c r="L71" s="1705"/>
      <c r="M71" s="1706"/>
      <c r="N71" s="1574"/>
      <c r="O71" s="1574"/>
      <c r="P71" s="1574"/>
      <c r="Q71" s="1516"/>
      <c r="R71" s="1464"/>
      <c r="S71" s="1464"/>
      <c r="T71" s="1464"/>
      <c r="U71" s="1464"/>
      <c r="V71" s="1464"/>
      <c r="W71" s="1464"/>
      <c r="X71" s="1464"/>
      <c r="Y71" s="1464"/>
      <c r="Z71" s="1464"/>
      <c r="AA71" s="1464"/>
      <c r="AB71" s="1464"/>
      <c r="AC71" s="1464"/>
      <c r="AD71" s="1464"/>
    </row>
    <row r="72" spans="1:30" s="1293" customFormat="1" ht="15">
      <c r="A72" s="1340"/>
      <c r="B72" s="1542"/>
      <c r="C72" s="1550"/>
      <c r="D72" s="1539"/>
      <c r="E72" s="1539"/>
      <c r="F72" s="1539"/>
      <c r="G72" s="1539"/>
      <c r="H72" s="1539"/>
      <c r="I72" s="1539"/>
      <c r="J72" s="1539"/>
      <c r="K72" s="1539"/>
      <c r="L72" s="1539"/>
      <c r="M72" s="1580"/>
      <c r="N72" s="1581"/>
      <c r="O72" s="1581"/>
      <c r="P72" s="1574"/>
      <c r="Q72" s="1516"/>
      <c r="R72" s="1464"/>
      <c r="S72" s="1464"/>
      <c r="T72" s="1464"/>
      <c r="U72" s="1464"/>
      <c r="V72" s="1464"/>
      <c r="W72" s="1464"/>
      <c r="X72" s="1464"/>
      <c r="Y72" s="1464"/>
      <c r="Z72" s="1464"/>
      <c r="AA72" s="1464"/>
      <c r="AB72" s="1464"/>
      <c r="AC72" s="1464"/>
      <c r="AD72" s="1464"/>
    </row>
    <row r="73" spans="1:30" s="1293" customFormat="1" ht="15">
      <c r="A73" s="1340"/>
      <c r="B73" s="1540">
        <f>B24</f>
        <v>111</v>
      </c>
      <c r="C73" s="1343"/>
      <c r="D73" s="1343"/>
      <c r="E73" s="1343"/>
      <c r="F73" s="1343"/>
      <c r="G73" s="1548"/>
      <c r="H73" s="1548"/>
      <c r="I73" s="1548"/>
      <c r="J73" s="1548"/>
      <c r="K73" s="1548"/>
      <c r="L73" s="1548"/>
      <c r="M73" s="1706"/>
      <c r="N73" s="1574"/>
      <c r="O73" s="1574"/>
      <c r="P73" s="1574"/>
      <c r="Q73" s="1516"/>
      <c r="R73" s="1464"/>
      <c r="S73" s="1464"/>
      <c r="T73" s="1464"/>
      <c r="U73" s="1464"/>
      <c r="V73" s="1464"/>
      <c r="W73" s="1464"/>
      <c r="X73" s="1464"/>
      <c r="Y73" s="1464"/>
      <c r="Z73" s="1464"/>
      <c r="AA73" s="1464"/>
      <c r="AB73" s="1464"/>
      <c r="AC73" s="1464"/>
      <c r="AD73" s="1464"/>
    </row>
    <row r="74" spans="1:30" s="1293" customFormat="1" ht="15">
      <c r="A74" s="1340"/>
      <c r="B74" s="1542"/>
      <c r="C74" s="1550"/>
      <c r="D74" s="1539"/>
      <c r="E74" s="1539"/>
      <c r="F74" s="1539"/>
      <c r="G74" s="1539"/>
      <c r="H74" s="1539"/>
      <c r="I74" s="1539"/>
      <c r="J74" s="1539"/>
      <c r="K74" s="1539"/>
      <c r="L74" s="1539"/>
      <c r="M74" s="1580"/>
      <c r="N74" s="1581"/>
      <c r="O74" s="1581"/>
      <c r="P74" s="1574"/>
      <c r="Q74" s="1516"/>
      <c r="R74" s="1464"/>
      <c r="S74" s="1464"/>
      <c r="T74" s="1464"/>
      <c r="U74" s="1464"/>
      <c r="V74" s="1464"/>
      <c r="W74" s="1464"/>
      <c r="X74" s="1464"/>
      <c r="Y74" s="1464"/>
      <c r="Z74" s="1464"/>
      <c r="AA74" s="1464"/>
      <c r="AB74" s="1464"/>
      <c r="AC74" s="1464"/>
      <c r="AD74" s="1464"/>
    </row>
    <row r="75" spans="1:30" s="1295" customFormat="1" ht="15">
      <c r="A75" s="1547"/>
      <c r="B75" s="1540">
        <f>B25</f>
        <v>111</v>
      </c>
      <c r="C75" s="1343"/>
      <c r="D75" s="1343"/>
      <c r="E75" s="1343"/>
      <c r="F75" s="1343"/>
      <c r="G75" s="1548"/>
      <c r="H75" s="1549"/>
      <c r="I75" s="1549"/>
      <c r="J75" s="1549"/>
      <c r="K75" s="1549"/>
      <c r="L75" s="1589"/>
      <c r="M75" s="1590"/>
      <c r="N75" s="1591"/>
      <c r="O75" s="1591"/>
      <c r="P75" s="1591"/>
      <c r="Q75" s="1619"/>
      <c r="R75" s="1482"/>
      <c r="S75" s="1482"/>
      <c r="T75" s="1482"/>
      <c r="U75" s="1482"/>
      <c r="V75" s="1482"/>
      <c r="W75" s="1482"/>
      <c r="X75" s="1482"/>
      <c r="Y75" s="1482"/>
      <c r="Z75" s="1482"/>
      <c r="AA75" s="1482"/>
      <c r="AB75" s="1482"/>
      <c r="AC75" s="1482"/>
      <c r="AD75" s="1482"/>
    </row>
    <row r="76" spans="1:30" s="1295" customFormat="1" ht="15">
      <c r="A76" s="1547"/>
      <c r="B76" s="1542"/>
      <c r="C76" s="1550"/>
      <c r="D76" s="1550"/>
      <c r="E76" s="1550"/>
      <c r="F76" s="1550"/>
      <c r="G76" s="1539"/>
      <c r="H76" s="1539"/>
      <c r="I76" s="1539"/>
      <c r="J76" s="1539"/>
      <c r="K76" s="1539"/>
      <c r="L76" s="1539"/>
      <c r="M76" s="1580"/>
      <c r="N76" s="1591"/>
      <c r="O76" s="1591"/>
      <c r="P76" s="1591"/>
      <c r="Q76" s="1619"/>
      <c r="R76" s="1482"/>
      <c r="S76" s="1482"/>
      <c r="T76" s="1482"/>
      <c r="U76" s="1482"/>
      <c r="V76" s="1482"/>
      <c r="W76" s="1482"/>
      <c r="X76" s="1482"/>
      <c r="Y76" s="1482"/>
      <c r="Z76" s="1482"/>
      <c r="AA76" s="1482"/>
      <c r="AB76" s="1482"/>
      <c r="AC76" s="1482"/>
      <c r="AD76" s="1482"/>
    </row>
    <row r="77" spans="1:30">
      <c r="A77" s="1350" t="s">
        <v>1691</v>
      </c>
      <c r="B77" s="1537" t="s">
        <v>1698</v>
      </c>
      <c r="C77" s="1548"/>
      <c r="D77" s="1548"/>
      <c r="E77" s="1484"/>
      <c r="F77" s="1484"/>
      <c r="G77" s="1484"/>
      <c r="H77" s="1484"/>
      <c r="I77" s="1484"/>
      <c r="J77" s="1484"/>
      <c r="K77" s="1576"/>
      <c r="L77" s="1577"/>
      <c r="M77" s="1578"/>
      <c r="N77" s="1579"/>
      <c r="O77" s="1579"/>
      <c r="P77" s="1574"/>
      <c r="Q77" s="1516"/>
      <c r="R77" s="1409"/>
      <c r="S77" s="1409"/>
      <c r="T77" s="1409"/>
      <c r="U77" s="1409"/>
      <c r="V77" s="1409"/>
      <c r="W77" s="1409"/>
      <c r="X77" s="1409"/>
      <c r="Y77" s="1409"/>
      <c r="Z77" s="1409"/>
      <c r="AA77" s="1409"/>
      <c r="AB77" s="1409"/>
      <c r="AC77" s="1409"/>
      <c r="AD77" s="1409"/>
    </row>
    <row r="78" spans="1:30" ht="15">
      <c r="A78" s="1337"/>
      <c r="B78" s="1542"/>
      <c r="C78" s="1543">
        <v>100</v>
      </c>
      <c r="D78" s="1543">
        <f t="shared" ref="D78:M78" si="17">C78-$K26</f>
        <v>100</v>
      </c>
      <c r="E78" s="1543">
        <f t="shared" si="17"/>
        <v>100</v>
      </c>
      <c r="F78" s="1543">
        <f t="shared" si="17"/>
        <v>100</v>
      </c>
      <c r="G78" s="1543">
        <f t="shared" si="17"/>
        <v>100</v>
      </c>
      <c r="H78" s="1543">
        <f t="shared" si="17"/>
        <v>100</v>
      </c>
      <c r="I78" s="1543">
        <f t="shared" si="17"/>
        <v>100</v>
      </c>
      <c r="J78" s="1543">
        <f t="shared" si="17"/>
        <v>100</v>
      </c>
      <c r="K78" s="1543">
        <f t="shared" si="17"/>
        <v>100</v>
      </c>
      <c r="L78" s="1543">
        <f t="shared" si="17"/>
        <v>100</v>
      </c>
      <c r="M78" s="1585">
        <f t="shared" si="17"/>
        <v>100</v>
      </c>
      <c r="N78" s="1581"/>
      <c r="O78" s="1581"/>
      <c r="P78" s="1574"/>
      <c r="Q78" s="1516"/>
      <c r="R78" s="1409"/>
      <c r="S78" s="1409"/>
      <c r="T78" s="1409"/>
      <c r="U78" s="1409"/>
      <c r="V78" s="1409"/>
      <c r="W78" s="1409"/>
      <c r="X78" s="1409"/>
      <c r="Y78" s="1409"/>
      <c r="Z78" s="1409"/>
      <c r="AA78" s="1409"/>
      <c r="AB78" s="1409"/>
      <c r="AC78" s="1409"/>
      <c r="AD78" s="1409"/>
    </row>
    <row r="79" spans="1:30" ht="15">
      <c r="A79" s="1337"/>
      <c r="B79" s="1540" t="s">
        <v>2246</v>
      </c>
      <c r="C79" s="1558" t="str">
        <f>C80&amp;"(含)"&amp;"-"&amp;D80</f>
        <v>0.5(含)-0.6</v>
      </c>
      <c r="D79" s="1558" t="str">
        <f>D80&amp;"(含)"&amp;"-"&amp;E80</f>
        <v>0.6(含)-0.7</v>
      </c>
      <c r="E79" s="1558" t="str">
        <f>E80&amp;"(含)"&amp;"-"&amp;F80</f>
        <v>0.7(含)-0.8</v>
      </c>
      <c r="F79" s="1558" t="str">
        <f>F80&amp;"(含)"&amp;"-"&amp;G80</f>
        <v>0.8(含)-0.9</v>
      </c>
      <c r="G79" s="1558" t="str">
        <f>G80&amp;"(含)"&amp;"-"&amp;ROUND(H80,0)&amp;"(含)"</f>
        <v>0.9(含)-1(含)</v>
      </c>
      <c r="H79" s="1558"/>
      <c r="I79" s="1541"/>
      <c r="J79" s="1541"/>
      <c r="K79" s="1582"/>
      <c r="L79" s="1583"/>
      <c r="M79" s="1584"/>
      <c r="N79" s="1574"/>
      <c r="O79" s="1574"/>
      <c r="P79" s="1574"/>
      <c r="Q79" s="1516"/>
      <c r="R79" s="1409"/>
      <c r="S79" s="1409"/>
      <c r="T79" s="1409"/>
      <c r="U79" s="1409"/>
      <c r="V79" s="1409"/>
      <c r="W79" s="1409"/>
      <c r="X79" s="1409"/>
      <c r="Y79" s="1409"/>
      <c r="Z79" s="1409"/>
      <c r="AA79" s="1409"/>
      <c r="AB79" s="1409"/>
      <c r="AC79" s="1409"/>
      <c r="AD79" s="1409"/>
    </row>
    <row r="80" spans="1:30" ht="15">
      <c r="A80" s="1337"/>
      <c r="B80" s="1544"/>
      <c r="C80" s="794">
        <v>0.5</v>
      </c>
      <c r="D80" s="794">
        <v>0.6</v>
      </c>
      <c r="E80" s="794">
        <v>0.7</v>
      </c>
      <c r="F80" s="794">
        <v>0.8</v>
      </c>
      <c r="G80" s="794">
        <v>0.9</v>
      </c>
      <c r="H80" s="794">
        <v>1.0001</v>
      </c>
      <c r="I80" s="1476"/>
      <c r="J80" s="1476"/>
      <c r="K80" s="1707"/>
      <c r="L80" s="1708"/>
      <c r="M80" s="1709"/>
      <c r="N80" s="1574"/>
      <c r="O80" s="1574"/>
      <c r="P80" s="1574"/>
      <c r="Q80" s="1516"/>
      <c r="R80" s="1409"/>
      <c r="S80" s="1409"/>
      <c r="T80" s="1409"/>
      <c r="U80" s="1409"/>
      <c r="V80" s="1409"/>
      <c r="W80" s="1409"/>
      <c r="X80" s="1409"/>
      <c r="Y80" s="1409"/>
      <c r="Z80" s="1409"/>
      <c r="AA80" s="1409"/>
      <c r="AB80" s="1409"/>
      <c r="AC80" s="1409"/>
      <c r="AD80" s="1409"/>
    </row>
    <row r="81" spans="1:30" s="1295" customFormat="1" ht="15">
      <c r="A81" s="1547"/>
      <c r="B81" s="1542"/>
      <c r="C81" s="1559">
        <v>100</v>
      </c>
      <c r="D81" s="1543">
        <f t="shared" ref="D81:M81" si="18">C81+$K27</f>
        <v>100</v>
      </c>
      <c r="E81" s="1543">
        <f t="shared" si="18"/>
        <v>100</v>
      </c>
      <c r="F81" s="1543">
        <f t="shared" si="18"/>
        <v>100</v>
      </c>
      <c r="G81" s="1543">
        <f t="shared" si="18"/>
        <v>100</v>
      </c>
      <c r="H81" s="1543">
        <f t="shared" si="18"/>
        <v>100</v>
      </c>
      <c r="I81" s="1543">
        <f t="shared" si="18"/>
        <v>100</v>
      </c>
      <c r="J81" s="1543">
        <f t="shared" si="18"/>
        <v>100</v>
      </c>
      <c r="K81" s="1543">
        <f t="shared" si="18"/>
        <v>100</v>
      </c>
      <c r="L81" s="1543">
        <f t="shared" si="18"/>
        <v>100</v>
      </c>
      <c r="M81" s="1543">
        <f t="shared" si="18"/>
        <v>100</v>
      </c>
      <c r="N81" s="1581"/>
      <c r="O81" s="1581"/>
      <c r="P81" s="1591"/>
      <c r="Q81" s="1619"/>
      <c r="R81" s="1482"/>
      <c r="S81" s="1482"/>
      <c r="T81" s="1482"/>
      <c r="U81" s="1482"/>
      <c r="V81" s="1482"/>
      <c r="W81" s="1482"/>
      <c r="X81" s="1482"/>
      <c r="Y81" s="1482"/>
      <c r="Z81" s="1482"/>
      <c r="AA81" s="1482"/>
      <c r="AB81" s="1482"/>
      <c r="AC81" s="1482"/>
      <c r="AD81" s="1482"/>
    </row>
    <row r="82" spans="1:30">
      <c r="A82" s="1385"/>
      <c r="B82" s="1544" t="s">
        <v>2247</v>
      </c>
      <c r="C82" s="1548"/>
      <c r="D82" s="1548"/>
      <c r="E82" s="1562"/>
      <c r="F82" s="1562"/>
      <c r="G82" s="1562"/>
      <c r="H82" s="1562"/>
      <c r="I82" s="1562"/>
      <c r="J82" s="1562"/>
      <c r="K82" s="1607"/>
      <c r="L82" s="1608"/>
      <c r="M82" s="1609"/>
      <c r="N82" s="1579"/>
      <c r="O82" s="1579"/>
      <c r="P82" s="1574"/>
      <c r="Q82" s="1516"/>
      <c r="R82" s="1409"/>
      <c r="S82" s="1409"/>
      <c r="T82" s="1409"/>
      <c r="U82" s="1409"/>
      <c r="V82" s="1409"/>
      <c r="W82" s="1409"/>
      <c r="X82" s="1409"/>
      <c r="Y82" s="1409"/>
      <c r="Z82" s="1409"/>
      <c r="AA82" s="1409"/>
      <c r="AB82" s="1409"/>
      <c r="AC82" s="1409"/>
      <c r="AD82" s="1409"/>
    </row>
    <row r="83" spans="1:30" ht="15">
      <c r="A83" s="1337"/>
      <c r="B83" s="1542"/>
      <c r="C83" s="1543">
        <v>100</v>
      </c>
      <c r="D83" s="1543">
        <f t="shared" ref="D83:M83" si="19">C83-$K28</f>
        <v>100</v>
      </c>
      <c r="E83" s="1543">
        <f t="shared" si="19"/>
        <v>100</v>
      </c>
      <c r="F83" s="1543">
        <f t="shared" si="19"/>
        <v>100</v>
      </c>
      <c r="G83" s="1543">
        <f t="shared" si="19"/>
        <v>100</v>
      </c>
      <c r="H83" s="1543">
        <f t="shared" si="19"/>
        <v>100</v>
      </c>
      <c r="I83" s="1543">
        <f t="shared" si="19"/>
        <v>100</v>
      </c>
      <c r="J83" s="1543">
        <f t="shared" si="19"/>
        <v>100</v>
      </c>
      <c r="K83" s="1543">
        <f t="shared" si="19"/>
        <v>100</v>
      </c>
      <c r="L83" s="1543">
        <f t="shared" si="19"/>
        <v>100</v>
      </c>
      <c r="M83" s="1585">
        <f t="shared" si="19"/>
        <v>100</v>
      </c>
      <c r="N83" s="1581"/>
      <c r="O83" s="1581"/>
      <c r="P83" s="1574"/>
      <c r="Q83" s="1516"/>
      <c r="R83" s="1409"/>
      <c r="S83" s="1409"/>
      <c r="T83" s="1409"/>
      <c r="U83" s="1409"/>
      <c r="V83" s="1409"/>
      <c r="W83" s="1409"/>
      <c r="X83" s="1409"/>
      <c r="Y83" s="1409"/>
      <c r="Z83" s="1409"/>
      <c r="AA83" s="1409"/>
      <c r="AB83" s="1409"/>
      <c r="AC83" s="1409"/>
      <c r="AD83" s="1409"/>
    </row>
    <row r="84" spans="1:30">
      <c r="A84" s="1385"/>
      <c r="B84" s="1540" t="s">
        <v>2255</v>
      </c>
      <c r="C84" s="1548"/>
      <c r="D84" s="1548"/>
      <c r="E84" s="1548"/>
      <c r="F84" s="1548"/>
      <c r="G84" s="1548"/>
      <c r="H84" s="1548"/>
      <c r="I84" s="1562"/>
      <c r="J84" s="1562"/>
      <c r="K84" s="1607"/>
      <c r="L84" s="1608"/>
      <c r="M84" s="1609"/>
      <c r="N84" s="1579"/>
      <c r="O84" s="1579"/>
      <c r="P84" s="1574"/>
      <c r="Q84" s="1516"/>
      <c r="R84" s="1409"/>
      <c r="S84" s="1409"/>
      <c r="T84" s="1409"/>
      <c r="U84" s="1409"/>
      <c r="V84" s="1409"/>
      <c r="W84" s="1409"/>
      <c r="X84" s="1409"/>
      <c r="Y84" s="1409"/>
      <c r="Z84" s="1409"/>
      <c r="AA84" s="1409"/>
      <c r="AB84" s="1409"/>
      <c r="AC84" s="1409"/>
      <c r="AD84" s="1409"/>
    </row>
    <row r="85" spans="1:30" ht="15">
      <c r="A85" s="1337"/>
      <c r="B85" s="1542"/>
      <c r="C85" s="1559">
        <v>100</v>
      </c>
      <c r="D85" s="1543">
        <f t="shared" ref="D85:M85" si="20">C85+$K29</f>
        <v>100</v>
      </c>
      <c r="E85" s="1543">
        <f t="shared" si="20"/>
        <v>100</v>
      </c>
      <c r="F85" s="1543">
        <f t="shared" si="20"/>
        <v>100</v>
      </c>
      <c r="G85" s="1543">
        <f t="shared" si="20"/>
        <v>100</v>
      </c>
      <c r="H85" s="1543">
        <f t="shared" si="20"/>
        <v>100</v>
      </c>
      <c r="I85" s="1543">
        <f t="shared" si="20"/>
        <v>100</v>
      </c>
      <c r="J85" s="1543">
        <f t="shared" si="20"/>
        <v>100</v>
      </c>
      <c r="K85" s="1543">
        <f t="shared" si="20"/>
        <v>100</v>
      </c>
      <c r="L85" s="1543">
        <f t="shared" si="20"/>
        <v>100</v>
      </c>
      <c r="M85" s="1543">
        <f t="shared" si="20"/>
        <v>100</v>
      </c>
      <c r="N85" s="1581"/>
      <c r="O85" s="1581"/>
      <c r="P85" s="1574"/>
      <c r="Q85" s="1516"/>
      <c r="R85" s="1409"/>
      <c r="S85" s="1409"/>
      <c r="T85" s="1409"/>
      <c r="U85" s="1409"/>
      <c r="V85" s="1409"/>
      <c r="W85" s="1409"/>
      <c r="X85" s="1409"/>
      <c r="Y85" s="1409"/>
      <c r="Z85" s="1409"/>
      <c r="AA85" s="1409"/>
      <c r="AB85" s="1409"/>
      <c r="AC85" s="1409"/>
      <c r="AD85" s="1409"/>
    </row>
    <row r="86" spans="1:30">
      <c r="A86" s="1385"/>
      <c r="B86" s="1544" t="s">
        <v>648</v>
      </c>
      <c r="C86" s="1558" t="str">
        <f t="shared" ref="C86:L86" si="21">C87&amp;"(含)"&amp;"-"&amp;D87</f>
        <v>(含)-</v>
      </c>
      <c r="D86" s="1558" t="str">
        <f t="shared" si="21"/>
        <v>(含)-</v>
      </c>
      <c r="E86" s="1558" t="str">
        <f t="shared" si="21"/>
        <v>(含)-</v>
      </c>
      <c r="F86" s="1558" t="str">
        <f t="shared" si="21"/>
        <v>(含)-</v>
      </c>
      <c r="G86" s="1558" t="str">
        <f t="shared" si="21"/>
        <v>(含)-</v>
      </c>
      <c r="H86" s="1558" t="str">
        <f t="shared" si="21"/>
        <v>(含)-</v>
      </c>
      <c r="I86" s="1558" t="str">
        <f t="shared" si="21"/>
        <v>(含)-</v>
      </c>
      <c r="J86" s="1558" t="str">
        <f t="shared" si="21"/>
        <v>(含)-</v>
      </c>
      <c r="K86" s="1558" t="str">
        <f t="shared" si="21"/>
        <v>(含)-</v>
      </c>
      <c r="L86" s="1558" t="str">
        <f t="shared" si="21"/>
        <v>(含)-</v>
      </c>
      <c r="M86" s="1602" t="str">
        <f>M87&amp;"(含)"&amp;"-"&amp;P87</f>
        <v>(含)-</v>
      </c>
      <c r="N86" s="1579"/>
      <c r="O86" s="1579"/>
      <c r="P86" s="1574"/>
      <c r="Q86" s="1516"/>
      <c r="R86" s="1409"/>
      <c r="S86" s="1409"/>
      <c r="T86" s="1409"/>
      <c r="U86" s="1409"/>
      <c r="V86" s="1409"/>
      <c r="W86" s="1409"/>
      <c r="X86" s="1409"/>
      <c r="Y86" s="1409"/>
      <c r="Z86" s="1409"/>
      <c r="AA86" s="1409"/>
      <c r="AB86" s="1409"/>
      <c r="AC86" s="1409"/>
      <c r="AD86" s="1409"/>
    </row>
    <row r="87" spans="1:30">
      <c r="A87" s="1385"/>
      <c r="B87" s="1544"/>
      <c r="C87" s="1526"/>
      <c r="D87" s="1526"/>
      <c r="E87" s="1526"/>
      <c r="F87" s="1526"/>
      <c r="G87" s="1526"/>
      <c r="H87" s="1526"/>
      <c r="I87" s="1526"/>
      <c r="J87" s="1614"/>
      <c r="K87" s="1614"/>
      <c r="L87" s="1615"/>
      <c r="M87" s="1616"/>
      <c r="N87" s="1579"/>
      <c r="O87" s="1579"/>
      <c r="P87" s="1574"/>
      <c r="Q87" s="1516"/>
      <c r="R87" s="1409"/>
      <c r="S87" s="1409"/>
      <c r="T87" s="1409"/>
      <c r="U87" s="1409"/>
      <c r="V87" s="1409"/>
      <c r="W87" s="1409"/>
      <c r="X87" s="1409"/>
      <c r="Y87" s="1409"/>
      <c r="Z87" s="1409"/>
      <c r="AA87" s="1409"/>
      <c r="AB87" s="1409"/>
      <c r="AC87" s="1409"/>
      <c r="AD87" s="1409"/>
    </row>
    <row r="88" spans="1:30" ht="15">
      <c r="A88" s="1337"/>
      <c r="B88" s="1542"/>
      <c r="C88" s="1550"/>
      <c r="D88" s="1539"/>
      <c r="E88" s="1539"/>
      <c r="F88" s="1539"/>
      <c r="G88" s="1539"/>
      <c r="H88" s="1539"/>
      <c r="I88" s="1539"/>
      <c r="J88" s="1539"/>
      <c r="K88" s="1539"/>
      <c r="L88" s="1539"/>
      <c r="M88" s="1539"/>
      <c r="N88" s="1581"/>
      <c r="O88" s="1581"/>
      <c r="P88" s="1574"/>
      <c r="Q88" s="1516"/>
      <c r="R88" s="1409"/>
      <c r="S88" s="1409"/>
      <c r="T88" s="1409"/>
      <c r="U88" s="1409"/>
      <c r="V88" s="1409"/>
      <c r="W88" s="1409"/>
      <c r="X88" s="1409"/>
      <c r="Y88" s="1409"/>
      <c r="Z88" s="1409"/>
      <c r="AA88" s="1409"/>
      <c r="AB88" s="1409"/>
      <c r="AC88" s="1409"/>
      <c r="AD88" s="1409"/>
    </row>
    <row r="89" spans="1:30" s="1295" customFormat="1">
      <c r="A89" s="1390"/>
      <c r="B89" s="1540" t="s">
        <v>2256</v>
      </c>
      <c r="C89" s="1548"/>
      <c r="D89" s="1548"/>
      <c r="E89" s="1548"/>
      <c r="F89" s="1548"/>
      <c r="G89" s="1548"/>
      <c r="H89" s="1548"/>
      <c r="I89" s="1548"/>
      <c r="J89" s="1548"/>
      <c r="K89" s="1548"/>
      <c r="L89" s="1548"/>
      <c r="M89" s="1706"/>
      <c r="N89" s="1591"/>
      <c r="O89" s="1591"/>
      <c r="P89" s="1591"/>
      <c r="Q89" s="1619"/>
      <c r="R89" s="1482"/>
      <c r="S89" s="1482"/>
      <c r="T89" s="1482"/>
      <c r="U89" s="1482"/>
      <c r="V89" s="1482"/>
      <c r="W89" s="1482"/>
      <c r="X89" s="1482"/>
      <c r="Y89" s="1482"/>
      <c r="Z89" s="1482"/>
      <c r="AA89" s="1482"/>
      <c r="AB89" s="1482"/>
      <c r="AC89" s="1482"/>
      <c r="AD89" s="1482"/>
    </row>
    <row r="90" spans="1:30" s="1295" customFormat="1" ht="15">
      <c r="A90" s="1547"/>
      <c r="B90" s="1542"/>
      <c r="C90" s="1550"/>
      <c r="D90" s="1539"/>
      <c r="E90" s="1539"/>
      <c r="F90" s="1539"/>
      <c r="G90" s="1539"/>
      <c r="H90" s="1539"/>
      <c r="I90" s="1539"/>
      <c r="J90" s="1539"/>
      <c r="K90" s="1539"/>
      <c r="L90" s="1539"/>
      <c r="M90" s="1580"/>
      <c r="N90" s="1591"/>
      <c r="O90" s="1591"/>
      <c r="P90" s="1591"/>
      <c r="Q90" s="1619"/>
      <c r="R90" s="1482"/>
      <c r="S90" s="1482"/>
      <c r="T90" s="1482"/>
      <c r="U90" s="1482"/>
      <c r="V90" s="1482"/>
      <c r="W90" s="1482"/>
      <c r="X90" s="1482"/>
      <c r="Y90" s="1482"/>
      <c r="Z90" s="1482"/>
      <c r="AA90" s="1482"/>
      <c r="AB90" s="1482"/>
      <c r="AC90" s="1482"/>
      <c r="AD90" s="1482"/>
    </row>
    <row r="91" spans="1:30">
      <c r="A91" s="1385"/>
      <c r="B91" s="1540">
        <f>B32</f>
        <v>111</v>
      </c>
      <c r="C91" s="1343"/>
      <c r="D91" s="1343"/>
      <c r="E91" s="1343"/>
      <c r="F91" s="1343"/>
      <c r="G91" s="1548"/>
      <c r="H91" s="1549"/>
      <c r="I91" s="1549"/>
      <c r="J91" s="1549"/>
      <c r="K91" s="1549"/>
      <c r="L91" s="1589"/>
      <c r="M91" s="1590"/>
      <c r="N91" s="1579"/>
      <c r="O91" s="1579"/>
      <c r="P91" s="1574"/>
      <c r="Q91" s="1516"/>
      <c r="R91" s="1409"/>
      <c r="S91" s="1409"/>
      <c r="T91" s="1409"/>
      <c r="U91" s="1409"/>
      <c r="V91" s="1409"/>
      <c r="W91" s="1409"/>
      <c r="X91" s="1409"/>
      <c r="Y91" s="1409"/>
      <c r="Z91" s="1409"/>
      <c r="AA91" s="1409"/>
      <c r="AB91" s="1409"/>
      <c r="AC91" s="1409"/>
      <c r="AD91" s="1409"/>
    </row>
    <row r="92" spans="1:30" ht="15">
      <c r="A92" s="1337"/>
      <c r="B92" s="1542"/>
      <c r="C92" s="1550"/>
      <c r="D92" s="1539"/>
      <c r="E92" s="1539"/>
      <c r="F92" s="1539"/>
      <c r="G92" s="1550"/>
      <c r="H92" s="1551"/>
      <c r="I92" s="1551"/>
      <c r="J92" s="1551"/>
      <c r="K92" s="1551"/>
      <c r="L92" s="1551"/>
      <c r="M92" s="1592"/>
      <c r="N92" s="1581"/>
      <c r="O92" s="1581"/>
      <c r="P92" s="1574"/>
      <c r="Q92" s="1516"/>
      <c r="R92" s="1409"/>
      <c r="S92" s="1409"/>
      <c r="T92" s="1409"/>
      <c r="U92" s="1409"/>
      <c r="V92" s="1409"/>
      <c r="W92" s="1409"/>
      <c r="X92" s="1409"/>
      <c r="Y92" s="1409"/>
      <c r="Z92" s="1409"/>
      <c r="AA92" s="1409"/>
      <c r="AB92" s="1409"/>
      <c r="AC92" s="1409"/>
      <c r="AD92" s="1409"/>
    </row>
    <row r="93" spans="1:30">
      <c r="A93" s="1385"/>
      <c r="B93" s="1540">
        <f>B33</f>
        <v>111</v>
      </c>
      <c r="C93" s="1343"/>
      <c r="D93" s="1343"/>
      <c r="E93" s="1343"/>
      <c r="F93" s="1343"/>
      <c r="G93" s="1548"/>
      <c r="H93" s="1549"/>
      <c r="I93" s="1549"/>
      <c r="J93" s="1549"/>
      <c r="K93" s="1549"/>
      <c r="L93" s="1589"/>
      <c r="M93" s="1590"/>
      <c r="N93" s="1579"/>
      <c r="O93" s="1579"/>
      <c r="P93" s="1574"/>
      <c r="Q93" s="1516"/>
      <c r="R93" s="1409"/>
      <c r="S93" s="1409"/>
      <c r="T93" s="1409"/>
      <c r="U93" s="1409"/>
      <c r="V93" s="1409"/>
      <c r="W93" s="1409"/>
      <c r="X93" s="1409"/>
      <c r="Y93" s="1409"/>
      <c r="Z93" s="1409"/>
      <c r="AA93" s="1409"/>
      <c r="AB93" s="1409"/>
      <c r="AC93" s="1409"/>
      <c r="AD93" s="1409"/>
    </row>
    <row r="94" spans="1:30" ht="15">
      <c r="A94" s="1337"/>
      <c r="B94" s="1542"/>
      <c r="C94" s="1550"/>
      <c r="D94" s="1539"/>
      <c r="E94" s="1539"/>
      <c r="F94" s="1539"/>
      <c r="G94" s="1550"/>
      <c r="H94" s="1551"/>
      <c r="I94" s="1551"/>
      <c r="J94" s="1551"/>
      <c r="K94" s="1551"/>
      <c r="L94" s="1551"/>
      <c r="M94" s="1592"/>
      <c r="N94" s="1581"/>
      <c r="O94" s="1581"/>
      <c r="P94" s="1574"/>
      <c r="Q94" s="1516"/>
      <c r="R94" s="1409"/>
      <c r="S94" s="1409"/>
      <c r="T94" s="1409"/>
      <c r="U94" s="1409"/>
      <c r="V94" s="1409"/>
      <c r="W94" s="1409"/>
      <c r="X94" s="1409"/>
      <c r="Y94" s="1409"/>
      <c r="Z94" s="1409"/>
      <c r="AA94" s="1409"/>
      <c r="AB94" s="1409"/>
      <c r="AC94" s="1409"/>
      <c r="AD94" s="1409"/>
    </row>
    <row r="95" spans="1:30">
      <c r="A95" s="1385"/>
      <c r="B95" s="1702">
        <f>B34</f>
        <v>111</v>
      </c>
      <c r="C95" s="1343"/>
      <c r="D95" s="1343"/>
      <c r="E95" s="1343"/>
      <c r="F95" s="1343"/>
      <c r="G95" s="1548"/>
      <c r="H95" s="1549"/>
      <c r="I95" s="1549"/>
      <c r="J95" s="1549"/>
      <c r="K95" s="1549"/>
      <c r="L95" s="1589"/>
      <c r="M95" s="1590"/>
      <c r="N95" s="1581"/>
      <c r="O95" s="1581"/>
      <c r="P95" s="1581"/>
      <c r="Q95" s="1712"/>
      <c r="R95" s="1409"/>
      <c r="S95" s="1409"/>
      <c r="T95" s="1409"/>
      <c r="U95" s="1409"/>
      <c r="V95" s="1409"/>
      <c r="W95" s="1409"/>
      <c r="X95" s="1409"/>
      <c r="Y95" s="1409"/>
      <c r="Z95" s="1409"/>
      <c r="AA95" s="1409"/>
      <c r="AB95" s="1409"/>
      <c r="AC95" s="1409"/>
      <c r="AD95" s="1409"/>
    </row>
    <row r="96" spans="1:30" ht="15">
      <c r="A96" s="1337"/>
      <c r="B96" s="1542"/>
      <c r="C96" s="1550"/>
      <c r="D96" s="1550"/>
      <c r="E96" s="1550"/>
      <c r="F96" s="1550"/>
      <c r="G96" s="1550"/>
      <c r="H96" s="1551"/>
      <c r="I96" s="1551"/>
      <c r="J96" s="1551"/>
      <c r="K96" s="1551"/>
      <c r="L96" s="1551"/>
      <c r="M96" s="1592"/>
      <c r="N96" s="1581"/>
      <c r="O96" s="1581"/>
      <c r="P96" s="1574"/>
      <c r="Q96" s="1516"/>
      <c r="R96" s="1409"/>
      <c r="S96" s="1409"/>
      <c r="T96" s="1409"/>
      <c r="U96" s="1409"/>
      <c r="V96" s="1409"/>
      <c r="W96" s="1409"/>
      <c r="X96" s="1409"/>
      <c r="Y96" s="1409"/>
      <c r="Z96" s="1409"/>
      <c r="AA96" s="1409"/>
      <c r="AB96" s="1409"/>
      <c r="AC96" s="1409"/>
      <c r="AD96" s="1409"/>
    </row>
    <row r="97" spans="1:30">
      <c r="N97" s="1409"/>
      <c r="O97" s="1409"/>
      <c r="P97" s="1409"/>
      <c r="Q97" s="1409"/>
      <c r="R97" s="1409"/>
      <c r="S97" s="1409"/>
      <c r="T97" s="1409"/>
      <c r="U97" s="1409"/>
      <c r="V97" s="1409"/>
      <c r="W97" s="1409"/>
      <c r="X97" s="1409"/>
      <c r="Y97" s="1409"/>
      <c r="Z97" s="1409"/>
      <c r="AA97" s="1409"/>
      <c r="AB97" s="1409"/>
      <c r="AC97" s="1409"/>
      <c r="AD97" s="1409"/>
    </row>
    <row r="98" spans="1:30">
      <c r="A98" s="1703"/>
      <c r="B98" s="1703"/>
      <c r="C98" s="1703"/>
      <c r="D98" s="1703"/>
      <c r="E98" s="1703"/>
      <c r="F98" s="1703"/>
      <c r="G98" s="1703"/>
      <c r="H98" s="1703"/>
      <c r="I98" s="1703"/>
      <c r="J98" s="1703"/>
      <c r="K98" s="1710"/>
      <c r="L98" s="1711"/>
      <c r="M98" s="1703"/>
      <c r="N98" s="1409"/>
      <c r="O98" s="1409"/>
      <c r="P98" s="1409"/>
      <c r="Q98" s="1409"/>
      <c r="R98" s="1409"/>
      <c r="S98" s="1409"/>
      <c r="T98" s="1409"/>
      <c r="U98" s="1409"/>
      <c r="V98" s="1409"/>
      <c r="W98" s="1409"/>
      <c r="X98" s="1409"/>
      <c r="Y98" s="1409"/>
      <c r="Z98" s="1409"/>
      <c r="AA98" s="1409"/>
      <c r="AB98" s="1409"/>
      <c r="AC98" s="1409"/>
      <c r="AD98" s="1409"/>
    </row>
    <row r="99" spans="1:30">
      <c r="A99" s="1703"/>
      <c r="B99" s="1703"/>
      <c r="C99" s="1703"/>
      <c r="D99" s="1703"/>
      <c r="E99" s="1703"/>
      <c r="F99" s="1703"/>
      <c r="G99" s="1703"/>
      <c r="H99" s="1703"/>
      <c r="I99" s="1703"/>
      <c r="J99" s="1703"/>
      <c r="K99" s="1710"/>
      <c r="L99" s="1711"/>
      <c r="M99" s="1703"/>
      <c r="N99" s="1409"/>
      <c r="O99" s="1409"/>
      <c r="P99" s="1409"/>
      <c r="Q99" s="1409"/>
      <c r="R99" s="1409"/>
      <c r="S99" s="1409"/>
      <c r="T99" s="1409"/>
      <c r="U99" s="1409"/>
      <c r="V99" s="1409"/>
      <c r="W99" s="1409"/>
      <c r="X99" s="1409"/>
      <c r="Y99" s="1409"/>
      <c r="Z99" s="1409"/>
      <c r="AA99" s="1409"/>
      <c r="AB99" s="1409"/>
      <c r="AC99" s="1409"/>
      <c r="AD99" s="1409"/>
    </row>
    <row r="100" spans="1:30">
      <c r="A100" s="1703"/>
      <c r="B100" s="1703"/>
      <c r="C100" s="1703"/>
      <c r="D100" s="1703"/>
      <c r="E100" s="1703"/>
      <c r="F100" s="1703"/>
      <c r="G100" s="1703"/>
      <c r="H100" s="1703"/>
      <c r="I100" s="1703"/>
      <c r="J100" s="1703"/>
      <c r="K100" s="1710"/>
      <c r="L100" s="1711"/>
      <c r="M100" s="1703"/>
      <c r="N100" s="1409"/>
      <c r="O100" s="1409"/>
      <c r="P100" s="1409"/>
      <c r="Q100" s="1409"/>
      <c r="R100" s="1409"/>
      <c r="S100" s="1409"/>
      <c r="T100" s="1409"/>
      <c r="U100" s="1409"/>
      <c r="V100" s="1409"/>
      <c r="W100" s="1409"/>
      <c r="X100" s="1409"/>
      <c r="Y100" s="1409"/>
      <c r="Z100" s="1409"/>
      <c r="AA100" s="1409"/>
      <c r="AB100" s="1409"/>
      <c r="AC100" s="1409"/>
      <c r="AD100" s="1409"/>
    </row>
    <row r="101" spans="1:30">
      <c r="A101" s="1703"/>
      <c r="B101" s="1703"/>
      <c r="C101" s="1703"/>
      <c r="D101" s="1703"/>
      <c r="E101" s="1703"/>
      <c r="F101" s="1703"/>
      <c r="G101" s="1703"/>
      <c r="H101" s="1703"/>
      <c r="I101" s="1703"/>
      <c r="J101" s="1703"/>
      <c r="K101" s="1710"/>
      <c r="L101" s="1711"/>
      <c r="M101" s="1703"/>
      <c r="N101" s="1409"/>
      <c r="O101" s="1409"/>
      <c r="P101" s="1409"/>
      <c r="Q101" s="1409"/>
      <c r="R101" s="1409"/>
      <c r="S101" s="1409"/>
      <c r="T101" s="1409"/>
      <c r="U101" s="1409"/>
      <c r="V101" s="1409"/>
      <c r="W101" s="1409"/>
      <c r="X101" s="1409"/>
      <c r="Y101" s="1409"/>
      <c r="Z101" s="1409"/>
      <c r="AA101" s="1409"/>
      <c r="AB101" s="1409"/>
      <c r="AC101" s="1409"/>
      <c r="AD101" s="1409"/>
    </row>
    <row r="102" spans="1:30">
      <c r="A102" s="1703"/>
      <c r="B102" s="1703"/>
      <c r="C102" s="1703"/>
      <c r="D102" s="1703"/>
      <c r="E102" s="1703"/>
      <c r="F102" s="1703"/>
      <c r="G102" s="1703"/>
      <c r="H102" s="1703"/>
      <c r="I102" s="1703"/>
      <c r="J102" s="1703"/>
      <c r="K102" s="1710"/>
      <c r="L102" s="1711"/>
      <c r="M102" s="1703"/>
      <c r="N102" s="1409"/>
      <c r="O102" s="1409"/>
      <c r="P102" s="1409"/>
      <c r="Q102" s="1409"/>
      <c r="R102" s="1409"/>
      <c r="S102" s="1409"/>
      <c r="T102" s="1409"/>
      <c r="U102" s="1409"/>
      <c r="V102" s="1409"/>
      <c r="W102" s="1409"/>
      <c r="X102" s="1409"/>
      <c r="Y102" s="1409"/>
      <c r="Z102" s="1409"/>
      <c r="AA102" s="1409"/>
      <c r="AB102" s="1409"/>
      <c r="AC102" s="1409"/>
      <c r="AD102" s="1409"/>
    </row>
    <row r="103" spans="1:30">
      <c r="A103" s="1703"/>
      <c r="B103" s="1703"/>
      <c r="C103" s="1703"/>
      <c r="D103" s="1703"/>
      <c r="E103" s="1703"/>
      <c r="F103" s="1703"/>
      <c r="G103" s="1703"/>
      <c r="H103" s="1703"/>
      <c r="I103" s="1703"/>
      <c r="J103" s="1703"/>
      <c r="K103" s="1710"/>
      <c r="L103" s="1711"/>
      <c r="M103" s="1703"/>
      <c r="N103" s="1703"/>
      <c r="O103" s="1703"/>
      <c r="P103" s="1409"/>
      <c r="Q103" s="1409"/>
      <c r="R103" s="1409"/>
      <c r="S103" s="1409"/>
      <c r="T103" s="1409"/>
      <c r="U103" s="1409"/>
      <c r="V103" s="1409"/>
      <c r="W103" s="1409"/>
      <c r="X103" s="1409"/>
      <c r="Y103" s="1409"/>
      <c r="Z103" s="1409"/>
      <c r="AA103" s="1409"/>
      <c r="AB103" s="1409"/>
      <c r="AC103" s="1409"/>
      <c r="AD103" s="1409"/>
    </row>
    <row r="104" spans="1:30">
      <c r="A104" s="1703"/>
      <c r="B104" s="1703"/>
      <c r="C104" s="1703"/>
      <c r="D104" s="1703"/>
      <c r="E104" s="1703"/>
      <c r="F104" s="1703"/>
      <c r="G104" s="1703"/>
      <c r="H104" s="1703"/>
      <c r="I104" s="1703"/>
      <c r="J104" s="1703"/>
      <c r="K104" s="1710"/>
      <c r="L104" s="1711"/>
      <c r="M104" s="1703"/>
      <c r="N104" s="1703"/>
      <c r="O104" s="1703"/>
      <c r="P104" s="1703"/>
      <c r="Q104" s="1703"/>
      <c r="R104" s="1703"/>
      <c r="S104" s="1703"/>
      <c r="T104" s="1703"/>
    </row>
    <row r="105" spans="1:30">
      <c r="A105" s="1703"/>
      <c r="B105" s="1703"/>
      <c r="C105" s="1703"/>
      <c r="D105" s="1703"/>
      <c r="E105" s="1703"/>
      <c r="F105" s="1703"/>
      <c r="G105" s="1703"/>
      <c r="H105" s="1703"/>
      <c r="I105" s="1703"/>
      <c r="J105" s="1703"/>
      <c r="K105" s="1710"/>
      <c r="L105" s="1711"/>
      <c r="M105" s="1703"/>
      <c r="N105" s="1703"/>
      <c r="O105" s="1703"/>
      <c r="P105" s="1703"/>
      <c r="Q105" s="1703"/>
      <c r="R105" s="1703"/>
      <c r="S105" s="1703"/>
      <c r="T105" s="1703"/>
    </row>
    <row r="106" spans="1:30">
      <c r="A106" s="1703"/>
      <c r="B106" s="1703"/>
      <c r="C106" s="1703"/>
      <c r="D106" s="1703"/>
      <c r="E106" s="1703"/>
      <c r="F106" s="1703"/>
      <c r="G106" s="1703"/>
      <c r="H106" s="1703"/>
      <c r="I106" s="1703"/>
      <c r="J106" s="1703"/>
      <c r="K106" s="1710"/>
      <c r="L106" s="1711"/>
      <c r="M106" s="1703"/>
      <c r="N106" s="1703"/>
      <c r="O106" s="1703"/>
      <c r="P106" s="1703"/>
      <c r="Q106" s="1703"/>
      <c r="R106" s="1703"/>
      <c r="S106" s="1703"/>
      <c r="T106" s="1703"/>
    </row>
    <row r="107" spans="1:30">
      <c r="A107" s="1703"/>
      <c r="B107" s="1703"/>
      <c r="C107" s="1703"/>
      <c r="D107" s="1703"/>
      <c r="E107" s="1703"/>
      <c r="F107" s="1703"/>
      <c r="G107" s="1703"/>
      <c r="H107" s="1703"/>
      <c r="I107" s="1703"/>
      <c r="J107" s="1703"/>
      <c r="K107" s="1710"/>
      <c r="L107" s="1711"/>
      <c r="M107" s="1703"/>
      <c r="N107" s="1703"/>
      <c r="O107" s="1703"/>
      <c r="P107" s="1703"/>
      <c r="Q107" s="1703"/>
      <c r="R107" s="1703"/>
      <c r="S107" s="1703"/>
      <c r="T107" s="1703"/>
    </row>
    <row r="108" spans="1:30">
      <c r="A108" s="1703"/>
      <c r="B108" s="1703"/>
      <c r="C108" s="1703"/>
      <c r="D108" s="1703"/>
      <c r="E108" s="1703"/>
      <c r="F108" s="1703"/>
      <c r="G108" s="1703"/>
      <c r="H108" s="1703"/>
      <c r="I108" s="1703"/>
      <c r="J108" s="1703"/>
      <c r="K108" s="1710"/>
      <c r="L108" s="1711"/>
      <c r="M108" s="1703"/>
      <c r="N108" s="1703"/>
      <c r="O108" s="1703"/>
      <c r="P108" s="1703"/>
      <c r="Q108" s="1703"/>
      <c r="R108" s="1703"/>
      <c r="S108" s="1703"/>
      <c r="T108" s="1703"/>
    </row>
    <row r="109" spans="1:30">
      <c r="A109" s="1703"/>
      <c r="B109" s="1703"/>
      <c r="C109" s="1703"/>
      <c r="D109" s="1703"/>
      <c r="E109" s="1703"/>
      <c r="F109" s="1703"/>
      <c r="G109" s="1703"/>
      <c r="H109" s="1703"/>
      <c r="I109" s="1703"/>
      <c r="J109" s="1703"/>
      <c r="K109" s="1710"/>
      <c r="L109" s="1711"/>
      <c r="M109" s="1703"/>
      <c r="N109" s="1703"/>
      <c r="O109" s="1703"/>
      <c r="P109" s="1703"/>
      <c r="Q109" s="1703"/>
      <c r="R109" s="1703"/>
      <c r="S109" s="1703"/>
      <c r="T109" s="1703"/>
    </row>
    <row r="110" spans="1:30">
      <c r="A110" s="1703"/>
      <c r="B110" s="1703"/>
      <c r="C110" s="1703"/>
      <c r="D110" s="1703"/>
      <c r="E110" s="1703"/>
      <c r="F110" s="1703"/>
      <c r="G110" s="1703"/>
      <c r="H110" s="1703"/>
      <c r="I110" s="1703"/>
      <c r="J110" s="1703"/>
      <c r="K110" s="1710"/>
      <c r="L110" s="1711"/>
      <c r="M110" s="1703"/>
      <c r="N110" s="1703"/>
      <c r="O110" s="1703"/>
      <c r="P110" s="1703"/>
      <c r="Q110" s="1703"/>
      <c r="R110" s="1703"/>
      <c r="S110" s="1703"/>
      <c r="T110" s="1703"/>
    </row>
    <row r="111" spans="1:30">
      <c r="A111" s="1703"/>
      <c r="B111" s="1703"/>
      <c r="C111" s="1703"/>
      <c r="D111" s="1703"/>
      <c r="E111" s="1703"/>
      <c r="F111" s="1703"/>
      <c r="G111" s="1703"/>
      <c r="H111" s="1703"/>
      <c r="I111" s="1703"/>
      <c r="J111" s="1703"/>
      <c r="K111" s="1710"/>
      <c r="L111" s="1711"/>
      <c r="M111" s="1703"/>
      <c r="N111" s="1703"/>
      <c r="O111" s="1703"/>
      <c r="P111" s="1703"/>
      <c r="Q111" s="1703"/>
      <c r="R111" s="1703"/>
      <c r="S111" s="1703"/>
      <c r="T111" s="1703"/>
    </row>
    <row r="112" spans="1:30">
      <c r="A112" s="1703"/>
      <c r="B112" s="1703"/>
      <c r="C112" s="1703"/>
      <c r="D112" s="1703"/>
      <c r="E112" s="1703"/>
      <c r="F112" s="1703"/>
      <c r="G112" s="1703"/>
      <c r="H112" s="1703"/>
      <c r="I112" s="1703"/>
      <c r="J112" s="1703"/>
      <c r="K112" s="1710"/>
      <c r="L112" s="1711"/>
      <c r="M112" s="1703"/>
      <c r="N112" s="1703"/>
      <c r="O112" s="1703"/>
      <c r="P112" s="1703"/>
      <c r="Q112" s="1703"/>
      <c r="R112" s="1703"/>
      <c r="S112" s="1703"/>
      <c r="T112" s="1703"/>
    </row>
    <row r="113" spans="1:20">
      <c r="A113" s="1703"/>
      <c r="B113" s="1703"/>
      <c r="C113" s="1703"/>
      <c r="D113" s="1703"/>
      <c r="E113" s="1703"/>
      <c r="F113" s="1703"/>
      <c r="G113" s="1703"/>
      <c r="H113" s="1703"/>
      <c r="I113" s="1703"/>
      <c r="J113" s="1703"/>
      <c r="K113" s="1710"/>
      <c r="L113" s="1711"/>
      <c r="M113" s="1703"/>
      <c r="N113" s="1703"/>
      <c r="O113" s="1703"/>
      <c r="P113" s="1703"/>
      <c r="Q113" s="1703"/>
      <c r="R113" s="1703"/>
      <c r="S113" s="1703"/>
      <c r="T113" s="1703"/>
    </row>
    <row r="114" spans="1:20">
      <c r="A114" s="1703"/>
      <c r="B114" s="1703"/>
      <c r="C114" s="1703"/>
      <c r="D114" s="1703"/>
      <c r="E114" s="1703"/>
      <c r="F114" s="1703"/>
      <c r="G114" s="1703"/>
      <c r="H114" s="1703"/>
      <c r="I114" s="1703"/>
      <c r="J114" s="1703"/>
      <c r="K114" s="1710"/>
      <c r="L114" s="1711"/>
      <c r="M114" s="1703"/>
      <c r="N114" s="1703"/>
      <c r="O114" s="1703"/>
      <c r="P114" s="1703"/>
      <c r="Q114" s="1703"/>
      <c r="R114" s="1703"/>
      <c r="S114" s="1703"/>
      <c r="T114" s="1703"/>
    </row>
    <row r="115" spans="1:20">
      <c r="A115" s="1703"/>
      <c r="B115" s="1703"/>
      <c r="C115" s="1703"/>
      <c r="D115" s="1703"/>
      <c r="E115" s="1703"/>
      <c r="F115" s="1703"/>
      <c r="G115" s="1703"/>
      <c r="H115" s="1703"/>
      <c r="I115" s="1703"/>
      <c r="J115" s="1703"/>
      <c r="K115" s="1710"/>
      <c r="L115" s="1711"/>
      <c r="M115" s="1703"/>
      <c r="N115" s="1703"/>
      <c r="O115" s="1703"/>
      <c r="P115" s="1703"/>
      <c r="Q115" s="1703"/>
      <c r="R115" s="1703"/>
      <c r="S115" s="1703"/>
      <c r="T115" s="1703"/>
    </row>
    <row r="116" spans="1:20">
      <c r="A116" s="1703"/>
      <c r="B116" s="1703"/>
      <c r="C116" s="1703"/>
      <c r="D116" s="1703"/>
      <c r="E116" s="1703"/>
      <c r="F116" s="1703"/>
      <c r="G116" s="1703"/>
      <c r="H116" s="1703"/>
      <c r="I116" s="1703"/>
      <c r="J116" s="1703"/>
      <c r="K116" s="1710"/>
      <c r="L116" s="1711"/>
      <c r="M116" s="1703"/>
      <c r="N116" s="1703"/>
      <c r="O116" s="1703"/>
      <c r="P116" s="1703"/>
      <c r="Q116" s="1703"/>
      <c r="R116" s="1703"/>
      <c r="S116" s="1703"/>
      <c r="T116" s="1703"/>
    </row>
    <row r="117" spans="1:20">
      <c r="A117" s="1703"/>
      <c r="B117" s="1703"/>
      <c r="C117" s="1703"/>
      <c r="D117" s="1703"/>
      <c r="E117" s="1703"/>
      <c r="F117" s="1703"/>
      <c r="G117" s="1703"/>
      <c r="H117" s="1703"/>
      <c r="I117" s="1703"/>
      <c r="J117" s="1703"/>
      <c r="K117" s="1710"/>
      <c r="L117" s="1711"/>
      <c r="M117" s="1703"/>
      <c r="N117" s="1703"/>
      <c r="O117" s="1703"/>
      <c r="P117" s="1703"/>
      <c r="Q117" s="1703"/>
      <c r="R117" s="1703"/>
      <c r="S117" s="1703"/>
      <c r="T117" s="1703"/>
    </row>
    <row r="118" spans="1:20">
      <c r="A118" s="1703"/>
      <c r="B118" s="1703"/>
      <c r="C118" s="1703"/>
      <c r="D118" s="1703"/>
      <c r="E118" s="1703"/>
      <c r="F118" s="1703"/>
      <c r="G118" s="1703"/>
      <c r="H118" s="1703"/>
      <c r="I118" s="1703"/>
      <c r="J118" s="1703"/>
      <c r="K118" s="1710"/>
      <c r="L118" s="1711"/>
      <c r="M118" s="1703"/>
      <c r="N118" s="1703"/>
      <c r="O118" s="1703"/>
      <c r="P118" s="1703"/>
      <c r="Q118" s="1703"/>
      <c r="R118" s="1703"/>
      <c r="S118" s="1703"/>
      <c r="T118" s="1703"/>
    </row>
    <row r="119" spans="1:20">
      <c r="A119" s="1703"/>
      <c r="B119" s="1703"/>
      <c r="C119" s="1703"/>
      <c r="D119" s="1703"/>
      <c r="E119" s="1703"/>
      <c r="F119" s="1703"/>
      <c r="G119" s="1703"/>
      <c r="H119" s="1703"/>
      <c r="I119" s="1703"/>
      <c r="J119" s="1703"/>
      <c r="K119" s="1710"/>
      <c r="L119" s="1711"/>
      <c r="M119" s="1703"/>
      <c r="N119" s="1703"/>
      <c r="O119" s="1703"/>
      <c r="P119" s="1703"/>
      <c r="Q119" s="1703"/>
      <c r="R119" s="1703"/>
      <c r="S119" s="1703"/>
      <c r="T119" s="1703"/>
    </row>
    <row r="120" spans="1:20">
      <c r="A120" s="1703"/>
      <c r="B120" s="1703"/>
      <c r="C120" s="1703"/>
      <c r="D120" s="1703"/>
      <c r="E120" s="1703"/>
      <c r="F120" s="1703"/>
      <c r="G120" s="1703"/>
      <c r="H120" s="1703"/>
      <c r="I120" s="1703"/>
      <c r="J120" s="1703"/>
      <c r="K120" s="1710"/>
      <c r="L120" s="1711"/>
      <c r="M120" s="1703"/>
      <c r="N120" s="1703"/>
      <c r="O120" s="1703"/>
      <c r="P120" s="1703"/>
      <c r="Q120" s="1703"/>
      <c r="R120" s="1703"/>
      <c r="S120" s="1703"/>
      <c r="T120" s="1703"/>
    </row>
    <row r="121" spans="1:20">
      <c r="A121" s="1703"/>
      <c r="B121" s="1703"/>
      <c r="C121" s="1703"/>
      <c r="D121" s="1703"/>
      <c r="E121" s="1703"/>
      <c r="F121" s="1703"/>
      <c r="G121" s="1703"/>
      <c r="H121" s="1703"/>
      <c r="I121" s="1703"/>
      <c r="J121" s="1703"/>
      <c r="K121" s="1710"/>
      <c r="L121" s="1711"/>
      <c r="M121" s="1703"/>
      <c r="N121" s="1703"/>
      <c r="O121" s="1703"/>
      <c r="P121" s="1703"/>
      <c r="Q121" s="1703"/>
      <c r="R121" s="1703"/>
      <c r="S121" s="1703"/>
      <c r="T121" s="1703"/>
    </row>
    <row r="122" spans="1:20">
      <c r="A122" s="1703"/>
      <c r="B122" s="1703"/>
      <c r="C122" s="1703"/>
      <c r="D122" s="1703"/>
      <c r="E122" s="1703"/>
      <c r="F122" s="1703"/>
      <c r="G122" s="1703"/>
      <c r="H122" s="1703"/>
      <c r="I122" s="1703"/>
      <c r="J122" s="1703"/>
      <c r="K122" s="1710"/>
      <c r="L122" s="1711"/>
      <c r="M122" s="1703"/>
      <c r="N122" s="1703"/>
      <c r="O122" s="1703"/>
      <c r="P122" s="1703"/>
      <c r="Q122" s="1703"/>
      <c r="R122" s="1703"/>
      <c r="S122" s="1703"/>
      <c r="T122" s="1703"/>
    </row>
    <row r="123" spans="1:20">
      <c r="A123" s="1703"/>
      <c r="B123" s="1703"/>
      <c r="C123" s="1703"/>
      <c r="D123" s="1703"/>
      <c r="E123" s="1703"/>
      <c r="F123" s="1703"/>
      <c r="G123" s="1703"/>
      <c r="H123" s="1703"/>
      <c r="I123" s="1703"/>
      <c r="J123" s="1703"/>
      <c r="K123" s="1710"/>
      <c r="L123" s="1711"/>
      <c r="M123" s="1703"/>
      <c r="N123" s="1703"/>
      <c r="O123" s="1703"/>
      <c r="P123" s="1703"/>
      <c r="Q123" s="1703"/>
      <c r="R123" s="1703"/>
      <c r="S123" s="1703"/>
      <c r="T123" s="1703"/>
    </row>
    <row r="124" spans="1:20">
      <c r="A124" s="1703"/>
      <c r="B124" s="1703"/>
      <c r="C124" s="1703"/>
      <c r="D124" s="1703"/>
      <c r="E124" s="1703"/>
      <c r="F124" s="1703"/>
      <c r="G124" s="1703"/>
      <c r="H124" s="1703"/>
      <c r="I124" s="1703"/>
      <c r="J124" s="1703"/>
      <c r="K124" s="1710"/>
      <c r="L124" s="1711"/>
      <c r="M124" s="1703"/>
      <c r="N124" s="1703"/>
      <c r="O124" s="1703"/>
      <c r="P124" s="1703"/>
      <c r="Q124" s="1703"/>
      <c r="R124" s="1703"/>
      <c r="S124" s="1703"/>
      <c r="T124" s="1703"/>
    </row>
    <row r="125" spans="1:20">
      <c r="A125" s="1703"/>
      <c r="B125" s="1703"/>
      <c r="C125" s="1703"/>
      <c r="D125" s="1703"/>
      <c r="E125" s="1703"/>
      <c r="F125" s="1703"/>
      <c r="G125" s="1703"/>
      <c r="H125" s="1703"/>
      <c r="I125" s="1703"/>
      <c r="J125" s="1703"/>
      <c r="K125" s="1710"/>
      <c r="L125" s="1711"/>
      <c r="M125" s="1703"/>
      <c r="N125" s="1703"/>
      <c r="O125" s="1703"/>
      <c r="P125" s="1703"/>
      <c r="Q125" s="1703"/>
      <c r="R125" s="1703"/>
      <c r="S125" s="1703"/>
      <c r="T125" s="1703"/>
    </row>
    <row r="126" spans="1:20">
      <c r="A126" s="1703"/>
      <c r="B126" s="1703"/>
      <c r="C126" s="1703"/>
      <c r="D126" s="1703"/>
      <c r="E126" s="1703"/>
      <c r="F126" s="1703"/>
      <c r="G126" s="1703"/>
      <c r="H126" s="1703"/>
      <c r="I126" s="1703"/>
      <c r="J126" s="1703"/>
      <c r="K126" s="1710"/>
      <c r="L126" s="1711"/>
      <c r="M126" s="1703"/>
      <c r="N126" s="1703"/>
      <c r="O126" s="1703"/>
      <c r="P126" s="1703"/>
      <c r="Q126" s="1703"/>
      <c r="R126" s="1703"/>
      <c r="S126" s="1703"/>
      <c r="T126" s="1703"/>
    </row>
    <row r="127" spans="1:20">
      <c r="A127" s="1703"/>
      <c r="B127" s="1703"/>
      <c r="C127" s="1703"/>
      <c r="D127" s="1703"/>
      <c r="E127" s="1703"/>
      <c r="F127" s="1703"/>
      <c r="G127" s="1703"/>
      <c r="H127" s="1703"/>
      <c r="I127" s="1703"/>
      <c r="J127" s="1703"/>
      <c r="K127" s="1710"/>
      <c r="L127" s="1711"/>
      <c r="M127" s="1703"/>
      <c r="N127" s="1703"/>
      <c r="O127" s="1703"/>
      <c r="P127" s="1703"/>
      <c r="Q127" s="1703"/>
      <c r="R127" s="1703"/>
      <c r="S127" s="1703"/>
      <c r="T127" s="1703"/>
    </row>
    <row r="128" spans="1:20">
      <c r="A128" s="1703"/>
      <c r="B128" s="1703"/>
      <c r="C128" s="1703"/>
      <c r="D128" s="1703"/>
      <c r="E128" s="1703"/>
      <c r="F128" s="1703"/>
      <c r="G128" s="1703"/>
      <c r="H128" s="1703"/>
      <c r="I128" s="1703"/>
      <c r="J128" s="1703"/>
      <c r="K128" s="1710"/>
      <c r="L128" s="1711"/>
      <c r="M128" s="1703"/>
      <c r="N128" s="1703"/>
      <c r="O128" s="1703"/>
      <c r="P128" s="1703"/>
      <c r="Q128" s="1703"/>
      <c r="R128" s="1703"/>
      <c r="S128" s="1703"/>
      <c r="T128" s="1703"/>
    </row>
    <row r="129" spans="1:20">
      <c r="A129" s="1703"/>
      <c r="B129" s="1703"/>
      <c r="C129" s="1703"/>
      <c r="D129" s="1703"/>
      <c r="E129" s="1703"/>
      <c r="F129" s="1703"/>
      <c r="G129" s="1703"/>
      <c r="H129" s="1703"/>
      <c r="I129" s="1703"/>
      <c r="J129" s="1703"/>
      <c r="K129" s="1710"/>
      <c r="L129" s="1711"/>
      <c r="M129" s="1703"/>
      <c r="N129" s="1703"/>
      <c r="O129" s="1703"/>
      <c r="P129" s="1703"/>
      <c r="Q129" s="1703"/>
      <c r="R129" s="1703"/>
      <c r="S129" s="1703"/>
      <c r="T129" s="1703"/>
    </row>
    <row r="130" spans="1:20">
      <c r="A130" s="1703"/>
      <c r="B130" s="1703"/>
      <c r="C130" s="1703"/>
      <c r="D130" s="1703"/>
      <c r="E130" s="1703"/>
      <c r="F130" s="1703"/>
      <c r="G130" s="1703"/>
      <c r="H130" s="1703"/>
      <c r="I130" s="1703"/>
      <c r="J130" s="1703"/>
      <c r="K130" s="1710"/>
      <c r="L130" s="1711"/>
      <c r="M130" s="1703"/>
      <c r="N130" s="1703"/>
      <c r="O130" s="1703"/>
      <c r="P130" s="1703"/>
      <c r="Q130" s="1703"/>
      <c r="R130" s="1703"/>
      <c r="S130" s="1703"/>
      <c r="T130" s="1703"/>
    </row>
    <row r="131" spans="1:20">
      <c r="A131" s="1703"/>
      <c r="B131" s="1703"/>
      <c r="C131" s="1703"/>
      <c r="D131" s="1703"/>
      <c r="E131" s="1703"/>
      <c r="F131" s="1703"/>
      <c r="G131" s="1703"/>
      <c r="H131" s="1703"/>
      <c r="I131" s="1703"/>
      <c r="J131" s="1703"/>
      <c r="K131" s="1710"/>
      <c r="L131" s="1711"/>
      <c r="M131" s="1703"/>
      <c r="N131" s="1703"/>
      <c r="O131" s="1703"/>
      <c r="P131" s="1703"/>
      <c r="Q131" s="1703"/>
      <c r="R131" s="1703"/>
      <c r="S131" s="1703"/>
      <c r="T131" s="1703"/>
    </row>
    <row r="132" spans="1:20">
      <c r="A132" s="1703"/>
      <c r="B132" s="1703"/>
      <c r="C132" s="1703"/>
      <c r="D132" s="1703"/>
      <c r="E132" s="1703"/>
      <c r="F132" s="1703"/>
      <c r="G132" s="1703"/>
      <c r="H132" s="1703"/>
      <c r="I132" s="1703"/>
      <c r="J132" s="1703"/>
      <c r="K132" s="1710"/>
      <c r="L132" s="1711"/>
      <c r="M132" s="1703"/>
      <c r="N132" s="1703"/>
      <c r="O132" s="1703"/>
      <c r="P132" s="1703"/>
      <c r="Q132" s="1703"/>
      <c r="R132" s="1703"/>
      <c r="S132" s="1703"/>
      <c r="T132" s="1703"/>
    </row>
    <row r="133" spans="1:20">
      <c r="A133" s="1703"/>
      <c r="B133" s="1703"/>
      <c r="C133" s="1703"/>
      <c r="D133" s="1703"/>
      <c r="E133" s="1703"/>
      <c r="F133" s="1703"/>
      <c r="G133" s="1703"/>
      <c r="H133" s="1703"/>
      <c r="I133" s="1703"/>
      <c r="J133" s="1703"/>
      <c r="K133" s="1710"/>
      <c r="L133" s="1711"/>
      <c r="M133" s="1703"/>
      <c r="N133" s="1703"/>
      <c r="O133" s="1703"/>
      <c r="P133" s="1703"/>
      <c r="Q133" s="1703"/>
      <c r="R133" s="1703"/>
      <c r="S133" s="1703"/>
      <c r="T133" s="1703"/>
    </row>
    <row r="134" spans="1:20">
      <c r="A134" s="1703"/>
      <c r="B134" s="1703"/>
      <c r="C134" s="1703"/>
      <c r="D134" s="1703"/>
      <c r="E134" s="1703"/>
      <c r="F134" s="1703"/>
      <c r="G134" s="1703"/>
      <c r="H134" s="1703"/>
      <c r="I134" s="1703"/>
      <c r="J134" s="1703"/>
      <c r="K134" s="1710"/>
      <c r="L134" s="1711"/>
      <c r="M134" s="1703"/>
      <c r="N134" s="1703"/>
      <c r="O134" s="1703"/>
      <c r="P134" s="1703"/>
      <c r="Q134" s="1703"/>
      <c r="R134" s="1703"/>
      <c r="S134" s="1703"/>
      <c r="T134" s="1703"/>
    </row>
    <row r="135" spans="1:20">
      <c r="A135" s="1703"/>
      <c r="B135" s="1703"/>
      <c r="C135" s="1703"/>
      <c r="D135" s="1703"/>
      <c r="E135" s="1703"/>
      <c r="F135" s="1703"/>
      <c r="G135" s="1703"/>
      <c r="H135" s="1703"/>
      <c r="I135" s="1703"/>
      <c r="J135" s="1703"/>
      <c r="K135" s="1710"/>
      <c r="L135" s="1711"/>
      <c r="M135" s="1703"/>
      <c r="N135" s="1703"/>
      <c r="O135" s="1703"/>
      <c r="P135" s="1703"/>
      <c r="Q135" s="1703"/>
      <c r="R135" s="1703"/>
      <c r="S135" s="1703"/>
      <c r="T135" s="1703"/>
    </row>
    <row r="136" spans="1:20">
      <c r="A136" s="1703"/>
      <c r="B136" s="1703"/>
      <c r="C136" s="1703"/>
      <c r="D136" s="1703"/>
      <c r="E136" s="1703"/>
      <c r="F136" s="1703"/>
      <c r="G136" s="1703"/>
      <c r="H136" s="1703"/>
      <c r="I136" s="1703"/>
      <c r="J136" s="1703"/>
      <c r="K136" s="1710"/>
      <c r="L136" s="1711"/>
      <c r="M136" s="1703"/>
      <c r="N136" s="1703"/>
      <c r="O136" s="1703"/>
      <c r="P136" s="1703"/>
      <c r="Q136" s="1703"/>
      <c r="R136" s="1703"/>
      <c r="S136" s="1703"/>
      <c r="T136" s="1703"/>
    </row>
    <row r="137" spans="1:20">
      <c r="A137" s="1703"/>
      <c r="B137" s="1703"/>
      <c r="C137" s="1703"/>
      <c r="D137" s="1703"/>
      <c r="E137" s="1703"/>
      <c r="F137" s="1703"/>
      <c r="G137" s="1703"/>
      <c r="H137" s="1703"/>
      <c r="I137" s="1703"/>
      <c r="J137" s="1703"/>
      <c r="K137" s="1710"/>
      <c r="L137" s="1711"/>
      <c r="M137" s="1703"/>
      <c r="N137" s="1703"/>
      <c r="O137" s="1703"/>
      <c r="P137" s="1703"/>
      <c r="Q137" s="1703"/>
      <c r="R137" s="1703"/>
      <c r="S137" s="1703"/>
      <c r="T137" s="1703"/>
    </row>
    <row r="138" spans="1:20">
      <c r="A138" s="1703"/>
      <c r="B138" s="1703"/>
      <c r="C138" s="1703"/>
      <c r="D138" s="1703"/>
      <c r="E138" s="1703"/>
      <c r="F138" s="1703"/>
      <c r="G138" s="1703"/>
      <c r="H138" s="1703"/>
      <c r="I138" s="1703"/>
      <c r="J138" s="1703"/>
      <c r="K138" s="1710"/>
      <c r="L138" s="1711"/>
      <c r="M138" s="1703"/>
      <c r="N138" s="1703"/>
      <c r="O138" s="1703"/>
      <c r="P138" s="1703"/>
      <c r="Q138" s="1703"/>
      <c r="R138" s="1703"/>
      <c r="S138" s="1703"/>
      <c r="T138" s="1703"/>
    </row>
    <row r="139" spans="1:20">
      <c r="A139" s="1703"/>
      <c r="B139" s="1703"/>
      <c r="C139" s="1703"/>
      <c r="D139" s="1703"/>
      <c r="E139" s="1703"/>
      <c r="F139" s="1703"/>
      <c r="G139" s="1703"/>
      <c r="H139" s="1703"/>
      <c r="I139" s="1703"/>
      <c r="J139" s="1703"/>
      <c r="K139" s="1710"/>
      <c r="L139" s="1711"/>
      <c r="M139" s="1703"/>
      <c r="N139" s="1703"/>
      <c r="O139" s="1703"/>
      <c r="P139" s="1703"/>
      <c r="Q139" s="1703"/>
      <c r="R139" s="1703"/>
      <c r="S139" s="1703"/>
      <c r="T139" s="1703"/>
    </row>
    <row r="140" spans="1:20">
      <c r="A140" s="1703"/>
      <c r="B140" s="1703"/>
      <c r="C140" s="1703"/>
      <c r="D140" s="1703"/>
      <c r="E140" s="1703"/>
      <c r="F140" s="1703"/>
      <c r="G140" s="1703"/>
      <c r="H140" s="1703"/>
      <c r="I140" s="1703"/>
      <c r="J140" s="1703"/>
      <c r="K140" s="1710"/>
      <c r="L140" s="1711"/>
      <c r="M140" s="1703"/>
      <c r="N140" s="1703"/>
      <c r="O140" s="1703"/>
      <c r="P140" s="1703"/>
      <c r="Q140" s="1703"/>
      <c r="R140" s="1703"/>
      <c r="S140" s="1703"/>
      <c r="T140" s="1703"/>
    </row>
    <row r="141" spans="1:20">
      <c r="A141" s="1703"/>
      <c r="B141" s="1703"/>
      <c r="C141" s="1703"/>
      <c r="D141" s="1703"/>
      <c r="E141" s="1703"/>
      <c r="F141" s="1703"/>
      <c r="G141" s="1703"/>
      <c r="H141" s="1703"/>
      <c r="I141" s="1703"/>
      <c r="J141" s="1703"/>
      <c r="K141" s="1710"/>
      <c r="L141" s="1711"/>
      <c r="M141" s="1703"/>
      <c r="N141" s="1703"/>
      <c r="O141" s="1703"/>
      <c r="P141" s="1703"/>
      <c r="Q141" s="1703"/>
      <c r="R141" s="1703"/>
      <c r="S141" s="1703"/>
      <c r="T141" s="1703"/>
    </row>
    <row r="142" spans="1:20">
      <c r="A142" s="1703"/>
      <c r="B142" s="1703"/>
      <c r="C142" s="1703"/>
      <c r="D142" s="1703"/>
      <c r="E142" s="1703"/>
      <c r="F142" s="1703"/>
      <c r="G142" s="1703"/>
      <c r="H142" s="1703"/>
      <c r="I142" s="1703"/>
      <c r="J142" s="1703"/>
      <c r="K142" s="1710"/>
      <c r="L142" s="1711"/>
      <c r="M142" s="1703"/>
      <c r="N142" s="1703"/>
      <c r="O142" s="1703"/>
      <c r="P142" s="1703"/>
      <c r="Q142" s="1703"/>
      <c r="R142" s="1703"/>
      <c r="S142" s="1703"/>
      <c r="T142" s="1703"/>
    </row>
    <row r="143" spans="1:20">
      <c r="A143" s="1703"/>
      <c r="B143" s="1703"/>
      <c r="C143" s="1703"/>
      <c r="D143" s="1703"/>
      <c r="E143" s="1703"/>
      <c r="F143" s="1703"/>
      <c r="G143" s="1703"/>
      <c r="H143" s="1703"/>
      <c r="I143" s="1703"/>
      <c r="J143" s="1703"/>
      <c r="K143" s="1710"/>
      <c r="L143" s="1711"/>
      <c r="M143" s="1703"/>
      <c r="N143" s="1703"/>
      <c r="O143" s="1703"/>
      <c r="P143" s="1703"/>
      <c r="Q143" s="1703"/>
      <c r="R143" s="1703"/>
      <c r="S143" s="1703"/>
      <c r="T143" s="1703"/>
    </row>
    <row r="144" spans="1:20">
      <c r="A144" s="1703"/>
      <c r="B144" s="1703"/>
      <c r="C144" s="1703"/>
      <c r="D144" s="1703"/>
      <c r="E144" s="1703"/>
      <c r="F144" s="1703"/>
      <c r="G144" s="1703"/>
      <c r="H144" s="1703"/>
      <c r="I144" s="1703"/>
      <c r="J144" s="1703"/>
      <c r="K144" s="1710"/>
      <c r="L144" s="1711"/>
      <c r="M144" s="1703"/>
      <c r="N144" s="1703"/>
      <c r="O144" s="1703"/>
      <c r="P144" s="1703"/>
      <c r="Q144" s="1703"/>
      <c r="R144" s="1703"/>
      <c r="S144" s="1703"/>
      <c r="T144" s="1703"/>
    </row>
    <row r="145" spans="1:20">
      <c r="A145" s="1703"/>
      <c r="B145" s="1703"/>
      <c r="C145" s="1703"/>
      <c r="D145" s="1703"/>
      <c r="E145" s="1703"/>
      <c r="F145" s="1703"/>
      <c r="G145" s="1703"/>
      <c r="H145" s="1703"/>
      <c r="I145" s="1703"/>
      <c r="J145" s="1703"/>
      <c r="K145" s="1710"/>
      <c r="L145" s="1711"/>
      <c r="M145" s="1703"/>
      <c r="N145" s="1703"/>
      <c r="O145" s="1703"/>
      <c r="P145" s="1703"/>
      <c r="Q145" s="1703"/>
      <c r="R145" s="1703"/>
      <c r="S145" s="1703"/>
      <c r="T145" s="1703"/>
    </row>
    <row r="146" spans="1:20">
      <c r="A146" s="1703"/>
      <c r="B146" s="1703"/>
      <c r="C146" s="1703"/>
      <c r="D146" s="1703"/>
      <c r="E146" s="1703"/>
      <c r="F146" s="1703"/>
      <c r="G146" s="1703"/>
      <c r="H146" s="1703"/>
      <c r="I146" s="1703"/>
      <c r="J146" s="1703"/>
      <c r="K146" s="1710"/>
      <c r="L146" s="1711"/>
      <c r="M146" s="1703"/>
      <c r="N146" s="1703"/>
      <c r="O146" s="1703"/>
      <c r="P146" s="1703"/>
      <c r="Q146" s="1703"/>
      <c r="R146" s="1703"/>
      <c r="S146" s="1703"/>
      <c r="T146" s="1703"/>
    </row>
    <row r="147" spans="1:20">
      <c r="A147" s="1703"/>
      <c r="B147" s="1703"/>
      <c r="C147" s="1703"/>
      <c r="D147" s="1703"/>
      <c r="E147" s="1703"/>
      <c r="F147" s="1703"/>
      <c r="G147" s="1703"/>
      <c r="H147" s="1703"/>
      <c r="I147" s="1703"/>
      <c r="J147" s="1703"/>
      <c r="K147" s="1710"/>
      <c r="L147" s="1711"/>
      <c r="M147" s="1703"/>
      <c r="N147" s="1703"/>
      <c r="O147" s="1703"/>
      <c r="P147" s="1703"/>
      <c r="Q147" s="1703"/>
      <c r="R147" s="1703"/>
      <c r="S147" s="1703"/>
      <c r="T147" s="1703"/>
    </row>
    <row r="148" spans="1:20">
      <c r="A148" s="1703"/>
      <c r="B148" s="1703"/>
      <c r="C148" s="1703"/>
      <c r="D148" s="1703"/>
      <c r="E148" s="1703"/>
      <c r="F148" s="1703"/>
      <c r="G148" s="1703"/>
      <c r="H148" s="1703"/>
      <c r="I148" s="1703"/>
      <c r="J148" s="1703"/>
      <c r="K148" s="1710"/>
      <c r="L148" s="1711"/>
      <c r="M148" s="1703"/>
      <c r="N148" s="1703"/>
      <c r="O148" s="1703"/>
      <c r="P148" s="1703"/>
      <c r="Q148" s="1703"/>
      <c r="R148" s="1703"/>
      <c r="S148" s="1703"/>
      <c r="T148" s="1703"/>
    </row>
    <row r="149" spans="1:20">
      <c r="A149" s="1703"/>
      <c r="B149" s="1703"/>
      <c r="C149" s="1703"/>
      <c r="D149" s="1703"/>
      <c r="E149" s="1703"/>
      <c r="F149" s="1703"/>
      <c r="G149" s="1703"/>
      <c r="H149" s="1703"/>
      <c r="I149" s="1703"/>
      <c r="J149" s="1703"/>
      <c r="K149" s="1710"/>
      <c r="L149" s="1711"/>
      <c r="M149" s="1703"/>
      <c r="N149" s="1703"/>
      <c r="O149" s="1703"/>
      <c r="P149" s="1703"/>
      <c r="Q149" s="1703"/>
      <c r="R149" s="1703"/>
      <c r="S149" s="1703"/>
      <c r="T149" s="1703"/>
    </row>
    <row r="150" spans="1:20">
      <c r="A150" s="1703"/>
      <c r="B150" s="1703"/>
      <c r="C150" s="1703"/>
      <c r="D150" s="1703"/>
      <c r="E150" s="1703"/>
      <c r="F150" s="1703"/>
      <c r="G150" s="1703"/>
      <c r="H150" s="1703"/>
      <c r="I150" s="1703"/>
      <c r="J150" s="1703"/>
      <c r="K150" s="1710"/>
      <c r="L150" s="1711"/>
      <c r="M150" s="1703"/>
      <c r="N150" s="1703"/>
      <c r="O150" s="1703"/>
      <c r="P150" s="1703"/>
      <c r="Q150" s="1703"/>
      <c r="R150" s="1703"/>
      <c r="S150" s="1703"/>
      <c r="T150" s="1703"/>
    </row>
    <row r="151" spans="1:20">
      <c r="A151" s="1703"/>
      <c r="B151" s="1703"/>
      <c r="C151" s="1703"/>
      <c r="D151" s="1703"/>
      <c r="E151" s="1703"/>
      <c r="F151" s="1703"/>
      <c r="G151" s="1703"/>
      <c r="H151" s="1703"/>
      <c r="I151" s="1703"/>
      <c r="J151" s="1703"/>
      <c r="K151" s="1710"/>
      <c r="L151" s="1711"/>
      <c r="M151" s="1703"/>
      <c r="N151" s="1703"/>
      <c r="O151" s="1703"/>
      <c r="P151" s="1703"/>
      <c r="Q151" s="1703"/>
      <c r="R151" s="1703"/>
      <c r="S151" s="1703"/>
      <c r="T151" s="1703"/>
    </row>
    <row r="152" spans="1:20">
      <c r="A152" s="1703"/>
      <c r="B152" s="1703"/>
      <c r="C152" s="1703"/>
      <c r="D152" s="1703"/>
      <c r="E152" s="1703"/>
      <c r="F152" s="1703"/>
      <c r="G152" s="1703"/>
      <c r="H152" s="1703"/>
      <c r="I152" s="1703"/>
      <c r="J152" s="1703"/>
      <c r="K152" s="1710"/>
      <c r="L152" s="1711"/>
      <c r="M152" s="1703"/>
      <c r="N152" s="1703"/>
      <c r="O152" s="1703"/>
      <c r="P152" s="1703"/>
      <c r="Q152" s="1703"/>
      <c r="R152" s="1703"/>
      <c r="S152" s="1703"/>
      <c r="T152" s="1703"/>
    </row>
    <row r="153" spans="1:20">
      <c r="A153" s="1703"/>
      <c r="B153" s="1703"/>
      <c r="C153" s="1703"/>
      <c r="D153" s="1703"/>
      <c r="E153" s="1703"/>
      <c r="F153" s="1703"/>
      <c r="G153" s="1703"/>
      <c r="H153" s="1703"/>
      <c r="I153" s="1703"/>
      <c r="J153" s="1703"/>
      <c r="K153" s="1710"/>
      <c r="L153" s="1711"/>
      <c r="M153" s="1703"/>
      <c r="N153" s="1703"/>
      <c r="O153" s="1703"/>
      <c r="P153" s="1703"/>
      <c r="Q153" s="1703"/>
      <c r="R153" s="1703"/>
      <c r="S153" s="1703"/>
      <c r="T153" s="1703"/>
    </row>
    <row r="154" spans="1:20">
      <c r="A154" s="1703"/>
      <c r="B154" s="1703"/>
      <c r="C154" s="1703"/>
      <c r="D154" s="1703"/>
      <c r="E154" s="1703"/>
      <c r="F154" s="1703"/>
      <c r="G154" s="1703"/>
      <c r="H154" s="1703"/>
      <c r="I154" s="1703"/>
      <c r="J154" s="1703"/>
      <c r="K154" s="1710"/>
      <c r="L154" s="1711"/>
      <c r="M154" s="1703"/>
      <c r="N154" s="1703"/>
      <c r="O154" s="1703"/>
      <c r="P154" s="1703"/>
      <c r="Q154" s="1703"/>
      <c r="R154" s="1703"/>
      <c r="S154" s="1703"/>
      <c r="T154" s="1703"/>
    </row>
    <row r="155" spans="1:20">
      <c r="A155" s="1703"/>
      <c r="B155" s="1703"/>
      <c r="C155" s="1703"/>
      <c r="D155" s="1703"/>
      <c r="E155" s="1703"/>
      <c r="F155" s="1703"/>
      <c r="G155" s="1703"/>
      <c r="H155" s="1703"/>
      <c r="I155" s="1703"/>
      <c r="J155" s="1703"/>
      <c r="K155" s="1710"/>
      <c r="L155" s="1711"/>
      <c r="M155" s="1703"/>
      <c r="N155" s="1703"/>
      <c r="O155" s="1703"/>
      <c r="P155" s="1703"/>
      <c r="Q155" s="1703"/>
      <c r="R155" s="1703"/>
      <c r="S155" s="1703"/>
      <c r="T155" s="1703"/>
    </row>
    <row r="156" spans="1:20">
      <c r="A156" s="1703"/>
      <c r="B156" s="1703"/>
      <c r="C156" s="1703"/>
      <c r="D156" s="1703"/>
      <c r="E156" s="1703"/>
      <c r="F156" s="1703"/>
      <c r="G156" s="1703"/>
      <c r="H156" s="1703"/>
      <c r="I156" s="1703"/>
      <c r="J156" s="1703"/>
      <c r="K156" s="1710"/>
      <c r="L156" s="1711"/>
      <c r="M156" s="1703"/>
      <c r="N156" s="1703"/>
      <c r="O156" s="1703"/>
      <c r="P156" s="1703"/>
      <c r="Q156" s="1703"/>
      <c r="R156" s="1703"/>
      <c r="S156" s="1703"/>
      <c r="T156" s="1703"/>
    </row>
    <row r="157" spans="1:20">
      <c r="A157" s="1703"/>
      <c r="B157" s="1703"/>
      <c r="C157" s="1703"/>
      <c r="D157" s="1703"/>
      <c r="E157" s="1703"/>
      <c r="F157" s="1703"/>
      <c r="G157" s="1703"/>
      <c r="H157" s="1703"/>
      <c r="I157" s="1703"/>
      <c r="J157" s="1703"/>
      <c r="K157" s="1710"/>
      <c r="L157" s="1711"/>
      <c r="M157" s="1703"/>
      <c r="N157" s="1703"/>
      <c r="O157" s="1703"/>
      <c r="P157" s="1703"/>
      <c r="Q157" s="1703"/>
      <c r="R157" s="1703"/>
      <c r="S157" s="1703"/>
      <c r="T157" s="1703"/>
    </row>
    <row r="158" spans="1:20">
      <c r="A158" s="1703"/>
      <c r="B158" s="1703"/>
      <c r="C158" s="1703"/>
      <c r="D158" s="1703"/>
      <c r="E158" s="1703"/>
      <c r="F158" s="1703"/>
      <c r="G158" s="1703"/>
      <c r="H158" s="1703"/>
      <c r="I158" s="1703"/>
      <c r="J158" s="1703"/>
      <c r="K158" s="1710"/>
      <c r="L158" s="1711"/>
      <c r="M158" s="1703"/>
      <c r="N158" s="1703"/>
      <c r="O158" s="1703"/>
      <c r="P158" s="1703"/>
      <c r="Q158" s="1703"/>
      <c r="R158" s="1703"/>
      <c r="S158" s="1703"/>
      <c r="T158" s="1703"/>
    </row>
    <row r="159" spans="1:20">
      <c r="A159" s="1703"/>
      <c r="B159" s="1703"/>
      <c r="C159" s="1703"/>
      <c r="D159" s="1703"/>
      <c r="E159" s="1703"/>
      <c r="F159" s="1703"/>
      <c r="G159" s="1703"/>
      <c r="H159" s="1703"/>
      <c r="I159" s="1703"/>
      <c r="J159" s="1703"/>
      <c r="K159" s="1710"/>
      <c r="L159" s="1711"/>
      <c r="M159" s="1703"/>
      <c r="N159" s="1703"/>
      <c r="O159" s="1703"/>
      <c r="P159" s="1703"/>
      <c r="Q159" s="1703"/>
      <c r="R159" s="1703"/>
      <c r="S159" s="1703"/>
      <c r="T159" s="1703"/>
    </row>
    <row r="160" spans="1:20">
      <c r="A160" s="1703"/>
      <c r="B160" s="1703"/>
      <c r="C160" s="1703"/>
      <c r="D160" s="1703"/>
      <c r="E160" s="1703"/>
      <c r="F160" s="1703"/>
      <c r="G160" s="1703"/>
      <c r="H160" s="1703"/>
      <c r="I160" s="1703"/>
      <c r="J160" s="1703"/>
      <c r="K160" s="1710"/>
      <c r="L160" s="1711"/>
      <c r="M160" s="1703"/>
      <c r="N160" s="1703"/>
      <c r="O160" s="1703"/>
      <c r="P160" s="1703"/>
      <c r="Q160" s="1703"/>
      <c r="R160" s="1703"/>
      <c r="S160" s="1703"/>
      <c r="T160" s="1703"/>
    </row>
    <row r="161" spans="1:20">
      <c r="A161" s="1703"/>
      <c r="B161" s="1703"/>
      <c r="C161" s="1703"/>
      <c r="D161" s="1703"/>
      <c r="E161" s="1703"/>
      <c r="F161" s="1703"/>
      <c r="G161" s="1703"/>
      <c r="H161" s="1703"/>
      <c r="I161" s="1703"/>
      <c r="J161" s="1703"/>
      <c r="K161" s="1710"/>
      <c r="L161" s="1711"/>
      <c r="M161" s="1703"/>
      <c r="N161" s="1703"/>
      <c r="O161" s="1703"/>
      <c r="P161" s="1703"/>
      <c r="Q161" s="1703"/>
      <c r="R161" s="1703"/>
      <c r="S161" s="1703"/>
      <c r="T161" s="1703"/>
    </row>
    <row r="162" spans="1:20">
      <c r="A162" s="1703"/>
      <c r="B162" s="1703"/>
      <c r="C162" s="1703"/>
      <c r="D162" s="1703"/>
      <c r="E162" s="1703"/>
      <c r="F162" s="1703"/>
      <c r="G162" s="1703"/>
      <c r="H162" s="1703"/>
      <c r="I162" s="1703"/>
      <c r="J162" s="1703"/>
      <c r="K162" s="1710"/>
      <c r="L162" s="1711"/>
      <c r="M162" s="1703"/>
      <c r="N162" s="1703"/>
      <c r="O162" s="1703"/>
      <c r="P162" s="1703"/>
      <c r="Q162" s="1703"/>
      <c r="R162" s="1703"/>
      <c r="S162" s="1703"/>
      <c r="T162" s="1703"/>
    </row>
    <row r="163" spans="1:20">
      <c r="A163" s="1703"/>
      <c r="B163" s="1703"/>
      <c r="C163" s="1703"/>
      <c r="D163" s="1703"/>
      <c r="E163" s="1703"/>
      <c r="F163" s="1703"/>
      <c r="G163" s="1703"/>
      <c r="H163" s="1703"/>
      <c r="I163" s="1703"/>
      <c r="J163" s="1703"/>
      <c r="K163" s="1710"/>
      <c r="L163" s="1711"/>
      <c r="M163" s="1703"/>
      <c r="N163" s="1703"/>
      <c r="O163" s="1703"/>
      <c r="P163" s="1703"/>
      <c r="Q163" s="1703"/>
      <c r="R163" s="1703"/>
      <c r="S163" s="1703"/>
      <c r="T163" s="1703"/>
    </row>
    <row r="164" spans="1:20">
      <c r="A164" s="1703"/>
      <c r="B164" s="1703"/>
      <c r="C164" s="1703"/>
      <c r="D164" s="1703"/>
      <c r="E164" s="1703"/>
      <c r="F164" s="1703"/>
      <c r="G164" s="1703"/>
      <c r="H164" s="1703"/>
      <c r="I164" s="1703"/>
      <c r="J164" s="1703"/>
      <c r="K164" s="1710"/>
      <c r="L164" s="1711"/>
      <c r="M164" s="1703"/>
      <c r="N164" s="1703"/>
      <c r="O164" s="1703"/>
      <c r="P164" s="1703"/>
      <c r="Q164" s="1703"/>
      <c r="R164" s="1703"/>
      <c r="S164" s="1703"/>
      <c r="T164" s="1703"/>
    </row>
    <row r="165" spans="1:20">
      <c r="A165" s="1703"/>
      <c r="B165" s="1703"/>
      <c r="C165" s="1703"/>
      <c r="D165" s="1703"/>
      <c r="E165" s="1703"/>
      <c r="F165" s="1703"/>
      <c r="G165" s="1703"/>
      <c r="H165" s="1703"/>
      <c r="I165" s="1703"/>
      <c r="J165" s="1703"/>
      <c r="K165" s="1710"/>
      <c r="L165" s="1711"/>
      <c r="M165" s="1703"/>
      <c r="N165" s="1703"/>
      <c r="O165" s="1703"/>
      <c r="P165" s="1703"/>
      <c r="Q165" s="1703"/>
      <c r="R165" s="1703"/>
      <c r="S165" s="1703"/>
      <c r="T165" s="1703"/>
    </row>
    <row r="166" spans="1:20">
      <c r="A166" s="1703"/>
      <c r="B166" s="1703"/>
      <c r="C166" s="1703"/>
      <c r="D166" s="1703"/>
      <c r="E166" s="1703"/>
      <c r="F166" s="1703"/>
      <c r="G166" s="1703"/>
      <c r="H166" s="1703"/>
      <c r="I166" s="1703"/>
      <c r="J166" s="1703"/>
      <c r="K166" s="1710"/>
      <c r="L166" s="1711"/>
      <c r="M166" s="1703"/>
      <c r="N166" s="1703"/>
      <c r="O166" s="1703"/>
      <c r="P166" s="1703"/>
      <c r="Q166" s="1703"/>
      <c r="R166" s="1703"/>
      <c r="S166" s="1703"/>
      <c r="T166" s="1703"/>
    </row>
    <row r="167" spans="1:20">
      <c r="A167" s="1703"/>
      <c r="B167" s="1703"/>
      <c r="C167" s="1703"/>
      <c r="D167" s="1703"/>
      <c r="E167" s="1703"/>
      <c r="F167" s="1703"/>
      <c r="G167" s="1703"/>
      <c r="H167" s="1703"/>
      <c r="I167" s="1703"/>
      <c r="J167" s="1703"/>
      <c r="K167" s="1710"/>
      <c r="L167" s="1711"/>
      <c r="M167" s="1703"/>
      <c r="N167" s="1703"/>
      <c r="O167" s="1703"/>
      <c r="P167" s="1703"/>
      <c r="Q167" s="1703"/>
      <c r="R167" s="1703"/>
      <c r="S167" s="1703"/>
      <c r="T167" s="1703"/>
    </row>
    <row r="168" spans="1:20">
      <c r="A168" s="1703"/>
      <c r="B168" s="1703"/>
      <c r="C168" s="1703"/>
      <c r="D168" s="1703"/>
      <c r="E168" s="1703"/>
      <c r="F168" s="1703"/>
      <c r="G168" s="1703"/>
      <c r="H168" s="1703"/>
      <c r="I168" s="1703"/>
      <c r="J168" s="1703"/>
      <c r="K168" s="1710"/>
      <c r="L168" s="1711"/>
      <c r="M168" s="1703"/>
      <c r="N168" s="1703"/>
      <c r="O168" s="1703"/>
      <c r="P168" s="1703"/>
      <c r="Q168" s="1703"/>
      <c r="R168" s="1703"/>
      <c r="S168" s="1703"/>
      <c r="T168" s="1703"/>
    </row>
    <row r="169" spans="1:20">
      <c r="A169" s="1703"/>
      <c r="B169" s="1703"/>
      <c r="C169" s="1703"/>
      <c r="D169" s="1703"/>
      <c r="E169" s="1703"/>
      <c r="F169" s="1703"/>
      <c r="G169" s="1703"/>
      <c r="H169" s="1703"/>
      <c r="I169" s="1703"/>
      <c r="J169" s="1703"/>
      <c r="K169" s="1710"/>
      <c r="L169" s="1711"/>
      <c r="M169" s="1703"/>
      <c r="N169" s="1703"/>
      <c r="O169" s="1703"/>
      <c r="P169" s="1703"/>
      <c r="Q169" s="1703"/>
      <c r="R169" s="1703"/>
      <c r="S169" s="1703"/>
      <c r="T169" s="1703"/>
    </row>
    <row r="170" spans="1:20">
      <c r="A170" s="1703"/>
      <c r="B170" s="1703"/>
      <c r="C170" s="1703"/>
      <c r="D170" s="1703"/>
      <c r="E170" s="1703"/>
      <c r="F170" s="1703"/>
      <c r="G170" s="1703"/>
      <c r="H170" s="1703"/>
      <c r="I170" s="1703"/>
      <c r="J170" s="1703"/>
      <c r="K170" s="1710"/>
      <c r="L170" s="1711"/>
      <c r="M170" s="1703"/>
      <c r="N170" s="1703"/>
      <c r="O170" s="1703"/>
      <c r="P170" s="1703"/>
      <c r="Q170" s="1703"/>
      <c r="R170" s="1703"/>
      <c r="S170" s="1703"/>
      <c r="T170" s="1703"/>
    </row>
    <row r="171" spans="1:20">
      <c r="A171" s="1703"/>
      <c r="B171" s="1703"/>
      <c r="C171" s="1703"/>
      <c r="D171" s="1703"/>
      <c r="E171" s="1703"/>
      <c r="F171" s="1703"/>
      <c r="G171" s="1703"/>
      <c r="H171" s="1703"/>
      <c r="I171" s="1703"/>
      <c r="J171" s="1703"/>
      <c r="K171" s="1710"/>
      <c r="L171" s="1711"/>
      <c r="M171" s="1703"/>
      <c r="N171" s="1703"/>
      <c r="O171" s="1703"/>
      <c r="P171" s="1703"/>
      <c r="Q171" s="1703"/>
      <c r="R171" s="1703"/>
      <c r="S171" s="1703"/>
      <c r="T171" s="1703"/>
    </row>
    <row r="172" spans="1:20">
      <c r="A172" s="1703"/>
      <c r="B172" s="1703"/>
      <c r="C172" s="1703"/>
      <c r="D172" s="1703"/>
      <c r="E172" s="1703"/>
      <c r="F172" s="1703"/>
      <c r="G172" s="1703"/>
      <c r="H172" s="1703"/>
      <c r="I172" s="1703"/>
      <c r="J172" s="1703"/>
      <c r="K172" s="1710"/>
      <c r="L172" s="1711"/>
      <c r="M172" s="1703"/>
      <c r="N172" s="1703"/>
      <c r="O172" s="1703"/>
      <c r="P172" s="1703"/>
      <c r="Q172" s="1703"/>
      <c r="R172" s="1703"/>
      <c r="S172" s="1703"/>
      <c r="T172" s="1703"/>
    </row>
    <row r="173" spans="1:20">
      <c r="A173" s="1703"/>
      <c r="B173" s="1703"/>
      <c r="C173" s="1703"/>
      <c r="D173" s="1703"/>
      <c r="E173" s="1703"/>
      <c r="F173" s="1703"/>
      <c r="G173" s="1703"/>
      <c r="H173" s="1703"/>
      <c r="I173" s="1703"/>
      <c r="J173" s="1703"/>
      <c r="K173" s="1710"/>
      <c r="L173" s="1711"/>
      <c r="M173" s="1703"/>
      <c r="N173" s="1703"/>
      <c r="O173" s="1703"/>
      <c r="P173" s="1703"/>
      <c r="Q173" s="1703"/>
      <c r="R173" s="1703"/>
      <c r="S173" s="1703"/>
      <c r="T173" s="1703"/>
    </row>
    <row r="174" spans="1:20">
      <c r="A174" s="1703"/>
      <c r="B174" s="1703"/>
      <c r="C174" s="1703"/>
      <c r="D174" s="1703"/>
      <c r="E174" s="1703"/>
      <c r="F174" s="1703"/>
      <c r="G174" s="1703"/>
      <c r="H174" s="1703"/>
      <c r="I174" s="1703"/>
      <c r="J174" s="1703"/>
      <c r="K174" s="1710"/>
      <c r="L174" s="1711"/>
      <c r="M174" s="1703"/>
      <c r="N174" s="1703"/>
      <c r="O174" s="1703"/>
      <c r="P174" s="1703"/>
      <c r="Q174" s="1703"/>
      <c r="R174" s="1703"/>
      <c r="S174" s="1703"/>
      <c r="T174" s="1703"/>
    </row>
    <row r="175" spans="1:20">
      <c r="A175" s="1703"/>
      <c r="B175" s="1703"/>
      <c r="C175" s="1703"/>
      <c r="D175" s="1703"/>
      <c r="E175" s="1703"/>
      <c r="F175" s="1703"/>
      <c r="G175" s="1703"/>
      <c r="H175" s="1703"/>
      <c r="I175" s="1703"/>
      <c r="J175" s="1703"/>
      <c r="K175" s="1710"/>
      <c r="L175" s="1711"/>
      <c r="M175" s="1703"/>
      <c r="N175" s="1703"/>
      <c r="O175" s="1703"/>
      <c r="P175" s="1703"/>
      <c r="Q175" s="1703"/>
      <c r="R175" s="1703"/>
      <c r="S175" s="1703"/>
      <c r="T175" s="1703"/>
    </row>
    <row r="176" spans="1:20">
      <c r="A176" s="1703"/>
      <c r="B176" s="1703"/>
      <c r="C176" s="1703"/>
      <c r="D176" s="1703"/>
      <c r="E176" s="1703"/>
      <c r="F176" s="1703"/>
      <c r="G176" s="1703"/>
      <c r="H176" s="1703"/>
      <c r="I176" s="1703"/>
      <c r="J176" s="1703"/>
      <c r="K176" s="1710"/>
      <c r="L176" s="1711"/>
      <c r="M176" s="1703"/>
      <c r="N176" s="1703"/>
      <c r="O176" s="1703"/>
      <c r="P176" s="1703"/>
      <c r="Q176" s="1703"/>
      <c r="R176" s="1703"/>
      <c r="S176" s="1703"/>
      <c r="T176" s="1703"/>
    </row>
    <row r="177" spans="1:20">
      <c r="A177" s="1703"/>
      <c r="B177" s="1703"/>
      <c r="C177" s="1703"/>
      <c r="D177" s="1703"/>
      <c r="E177" s="1703"/>
      <c r="F177" s="1703"/>
      <c r="G177" s="1703"/>
      <c r="H177" s="1703"/>
      <c r="I177" s="1703"/>
      <c r="J177" s="1703"/>
      <c r="K177" s="1710"/>
      <c r="L177" s="1711"/>
      <c r="M177" s="1703"/>
      <c r="N177" s="1703"/>
      <c r="O177" s="1703"/>
      <c r="P177" s="1703"/>
      <c r="Q177" s="1703"/>
      <c r="R177" s="1703"/>
      <c r="S177" s="1703"/>
      <c r="T177" s="1703"/>
    </row>
    <row r="178" spans="1:20">
      <c r="A178" s="1703"/>
      <c r="B178" s="1703"/>
      <c r="C178" s="1703"/>
      <c r="D178" s="1703"/>
      <c r="E178" s="1703"/>
      <c r="F178" s="1703"/>
      <c r="G178" s="1703"/>
      <c r="H178" s="1703"/>
      <c r="I178" s="1703"/>
      <c r="J178" s="1703"/>
      <c r="K178" s="1710"/>
      <c r="L178" s="1711"/>
      <c r="M178" s="1703"/>
      <c r="N178" s="1703"/>
      <c r="O178" s="1703"/>
      <c r="P178" s="1703"/>
      <c r="Q178" s="1703"/>
      <c r="R178" s="1703"/>
      <c r="S178" s="1703"/>
      <c r="T178" s="1703"/>
    </row>
    <row r="179" spans="1:20">
      <c r="A179" s="1703"/>
      <c r="B179" s="1703"/>
      <c r="C179" s="1703"/>
      <c r="D179" s="1703"/>
      <c r="E179" s="1703"/>
      <c r="F179" s="1703"/>
      <c r="G179" s="1703"/>
      <c r="H179" s="1703"/>
      <c r="I179" s="1703"/>
      <c r="J179" s="1703"/>
      <c r="K179" s="1710"/>
      <c r="L179" s="1711"/>
      <c r="M179" s="1703"/>
      <c r="N179" s="1703"/>
      <c r="O179" s="1703"/>
      <c r="P179" s="1703"/>
      <c r="Q179" s="1703"/>
      <c r="R179" s="1703"/>
      <c r="S179" s="1703"/>
      <c r="T179" s="1703"/>
    </row>
    <row r="180" spans="1:20">
      <c r="A180" s="1703"/>
      <c r="B180" s="1703"/>
      <c r="C180" s="1703"/>
      <c r="D180" s="1703"/>
      <c r="E180" s="1703"/>
      <c r="F180" s="1703"/>
      <c r="G180" s="1703"/>
      <c r="H180" s="1703"/>
      <c r="I180" s="1703"/>
      <c r="J180" s="1703"/>
      <c r="K180" s="1710"/>
      <c r="L180" s="1711"/>
      <c r="M180" s="1703"/>
      <c r="N180" s="1703"/>
      <c r="O180" s="1703"/>
      <c r="P180" s="1703"/>
      <c r="Q180" s="1703"/>
      <c r="R180" s="1703"/>
      <c r="S180" s="1703"/>
      <c r="T180" s="1703"/>
    </row>
    <row r="181" spans="1:20">
      <c r="A181" s="1703"/>
      <c r="B181" s="1703"/>
      <c r="C181" s="1703"/>
      <c r="D181" s="1703"/>
      <c r="E181" s="1703"/>
      <c r="F181" s="1703"/>
      <c r="G181" s="1703"/>
      <c r="H181" s="1703"/>
      <c r="I181" s="1703"/>
      <c r="J181" s="1703"/>
      <c r="K181" s="1710"/>
      <c r="L181" s="1711"/>
      <c r="M181" s="1703"/>
      <c r="N181" s="1703"/>
      <c r="O181" s="1703"/>
      <c r="P181" s="1703"/>
      <c r="Q181" s="1703"/>
      <c r="R181" s="1703"/>
      <c r="S181" s="1703"/>
      <c r="T181" s="1703"/>
    </row>
    <row r="182" spans="1:20">
      <c r="A182" s="1703"/>
      <c r="B182" s="1703"/>
      <c r="C182" s="1703"/>
      <c r="D182" s="1703"/>
      <c r="E182" s="1703"/>
      <c r="F182" s="1703"/>
      <c r="G182" s="1703"/>
      <c r="H182" s="1703"/>
      <c r="I182" s="1703"/>
      <c r="J182" s="1703"/>
      <c r="K182" s="1710"/>
      <c r="L182" s="1711"/>
      <c r="M182" s="1703"/>
      <c r="N182" s="1703"/>
      <c r="O182" s="1703"/>
      <c r="P182" s="1703"/>
      <c r="Q182" s="1703"/>
      <c r="R182" s="1703"/>
      <c r="S182" s="1703"/>
      <c r="T182" s="1703"/>
    </row>
    <row r="183" spans="1:20">
      <c r="A183" s="1703"/>
      <c r="B183" s="1703"/>
      <c r="C183" s="1703"/>
      <c r="D183" s="1703"/>
      <c r="E183" s="1703"/>
      <c r="F183" s="1703"/>
      <c r="G183" s="1703"/>
      <c r="H183" s="1703"/>
      <c r="I183" s="1703"/>
      <c r="J183" s="1703"/>
      <c r="K183" s="1710"/>
      <c r="L183" s="1711"/>
      <c r="M183" s="1703"/>
      <c r="N183" s="1703"/>
      <c r="O183" s="1703"/>
      <c r="P183" s="1703"/>
      <c r="Q183" s="1703"/>
      <c r="R183" s="1703"/>
      <c r="S183" s="1703"/>
      <c r="T183" s="1703"/>
    </row>
    <row r="184" spans="1:20">
      <c r="A184" s="1703"/>
      <c r="B184" s="1703"/>
      <c r="C184" s="1703"/>
      <c r="D184" s="1703"/>
      <c r="E184" s="1703"/>
      <c r="F184" s="1703"/>
      <c r="G184" s="1703"/>
      <c r="H184" s="1703"/>
      <c r="I184" s="1703"/>
      <c r="J184" s="1703"/>
      <c r="K184" s="1710"/>
      <c r="L184" s="1711"/>
      <c r="M184" s="1703"/>
      <c r="N184" s="1703"/>
      <c r="O184" s="1703"/>
      <c r="P184" s="1703"/>
      <c r="Q184" s="1703"/>
      <c r="R184" s="1703"/>
      <c r="S184" s="1703"/>
      <c r="T184" s="1703"/>
    </row>
    <row r="185" spans="1:20">
      <c r="A185" s="1703"/>
      <c r="B185" s="1703"/>
      <c r="C185" s="1703"/>
      <c r="D185" s="1703"/>
      <c r="E185" s="1703"/>
      <c r="F185" s="1703"/>
      <c r="G185" s="1703"/>
      <c r="H185" s="1703"/>
      <c r="I185" s="1703"/>
      <c r="J185" s="1703"/>
      <c r="K185" s="1710"/>
      <c r="L185" s="1711"/>
      <c r="M185" s="1703"/>
      <c r="N185" s="1703"/>
      <c r="O185" s="1703"/>
      <c r="P185" s="1703"/>
      <c r="Q185" s="1703"/>
      <c r="R185" s="1703"/>
      <c r="S185" s="1703"/>
      <c r="T185" s="1703"/>
    </row>
    <row r="186" spans="1:20">
      <c r="A186" s="1703"/>
      <c r="B186" s="1703"/>
      <c r="C186" s="1703"/>
      <c r="D186" s="1703"/>
      <c r="E186" s="1703"/>
      <c r="F186" s="1703"/>
      <c r="G186" s="1703"/>
      <c r="H186" s="1703"/>
      <c r="I186" s="1703"/>
      <c r="J186" s="1703"/>
      <c r="K186" s="1710"/>
      <c r="L186" s="1711"/>
      <c r="M186" s="1703"/>
      <c r="N186" s="1703"/>
      <c r="O186" s="1703"/>
      <c r="P186" s="1703"/>
      <c r="Q186" s="1703"/>
      <c r="R186" s="1703"/>
      <c r="S186" s="1703"/>
      <c r="T186" s="1703"/>
    </row>
    <row r="187" spans="1:20">
      <c r="A187" s="1703"/>
      <c r="B187" s="1703"/>
      <c r="C187" s="1703"/>
      <c r="D187" s="1703"/>
      <c r="E187" s="1703"/>
      <c r="F187" s="1703"/>
      <c r="G187" s="1703"/>
      <c r="H187" s="1703"/>
      <c r="I187" s="1703"/>
      <c r="J187" s="1703"/>
      <c r="K187" s="1710"/>
      <c r="L187" s="1711"/>
      <c r="M187" s="1703"/>
      <c r="N187" s="1703"/>
      <c r="O187" s="1703"/>
      <c r="P187" s="1703"/>
      <c r="Q187" s="1703"/>
      <c r="R187" s="1703"/>
      <c r="S187" s="1703"/>
      <c r="T187" s="1703"/>
    </row>
    <row r="188" spans="1:20">
      <c r="A188" s="1703"/>
      <c r="B188" s="1703"/>
      <c r="C188" s="1703"/>
      <c r="D188" s="1703"/>
      <c r="E188" s="1703"/>
      <c r="F188" s="1703"/>
      <c r="G188" s="1703"/>
      <c r="H188" s="1703"/>
      <c r="I188" s="1703"/>
      <c r="J188" s="1703"/>
      <c r="K188" s="1710"/>
      <c r="L188" s="1711"/>
      <c r="M188" s="1703"/>
      <c r="N188" s="1703"/>
      <c r="O188" s="1703"/>
      <c r="P188" s="1703"/>
      <c r="Q188" s="1703"/>
      <c r="R188" s="1703"/>
      <c r="S188" s="1703"/>
      <c r="T188" s="1703"/>
    </row>
    <row r="189" spans="1:20">
      <c r="A189" s="1703"/>
      <c r="B189" s="1703"/>
      <c r="C189" s="1703"/>
      <c r="D189" s="1703"/>
      <c r="E189" s="1703"/>
      <c r="F189" s="1703"/>
      <c r="G189" s="1703"/>
      <c r="H189" s="1703"/>
      <c r="I189" s="1703"/>
      <c r="J189" s="1703"/>
      <c r="K189" s="1710"/>
      <c r="L189" s="1711"/>
      <c r="M189" s="1703"/>
      <c r="N189" s="1703"/>
      <c r="O189" s="1703"/>
      <c r="P189" s="1703"/>
      <c r="Q189" s="1703"/>
      <c r="R189" s="1703"/>
      <c r="S189" s="1703"/>
      <c r="T189" s="1703"/>
    </row>
    <row r="190" spans="1:20">
      <c r="A190" s="1703"/>
      <c r="B190" s="1703"/>
      <c r="C190" s="1703"/>
      <c r="D190" s="1703"/>
      <c r="E190" s="1703"/>
      <c r="F190" s="1703"/>
      <c r="G190" s="1703"/>
      <c r="H190" s="1703"/>
      <c r="I190" s="1703"/>
      <c r="J190" s="1703"/>
      <c r="K190" s="1710"/>
      <c r="L190" s="1711"/>
      <c r="M190" s="1703"/>
      <c r="N190" s="1703"/>
      <c r="O190" s="1703"/>
      <c r="P190" s="1703"/>
      <c r="Q190" s="1703"/>
      <c r="R190" s="1703"/>
      <c r="S190" s="1703"/>
      <c r="T190" s="1703"/>
    </row>
    <row r="191" spans="1:20">
      <c r="A191" s="1703"/>
      <c r="B191" s="1703"/>
      <c r="C191" s="1703"/>
      <c r="D191" s="1703"/>
      <c r="E191" s="1703"/>
      <c r="F191" s="1703"/>
      <c r="G191" s="1703"/>
      <c r="H191" s="1703"/>
      <c r="I191" s="1703"/>
      <c r="J191" s="1703"/>
      <c r="K191" s="1710"/>
      <c r="L191" s="1711"/>
      <c r="M191" s="1703"/>
      <c r="N191" s="1703"/>
      <c r="O191" s="1703"/>
      <c r="P191" s="1703"/>
      <c r="Q191" s="1703"/>
      <c r="R191" s="1703"/>
      <c r="S191" s="1703"/>
      <c r="T191" s="1703"/>
    </row>
    <row r="192" spans="1:20">
      <c r="A192" s="1703"/>
      <c r="B192" s="1703"/>
      <c r="C192" s="1703"/>
      <c r="D192" s="1703"/>
      <c r="E192" s="1703"/>
      <c r="F192" s="1703"/>
      <c r="G192" s="1703"/>
      <c r="H192" s="1703"/>
      <c r="I192" s="1703"/>
      <c r="J192" s="1703"/>
      <c r="K192" s="1710"/>
      <c r="L192" s="1711"/>
      <c r="M192" s="1703"/>
      <c r="N192" s="1703"/>
      <c r="O192" s="1703"/>
      <c r="P192" s="1703"/>
      <c r="Q192" s="1703"/>
      <c r="R192" s="1703"/>
      <c r="S192" s="1703"/>
      <c r="T192" s="1703"/>
    </row>
    <row r="193" spans="1:20">
      <c r="A193" s="1703"/>
      <c r="B193" s="1703"/>
      <c r="C193" s="1703"/>
      <c r="D193" s="1703"/>
      <c r="E193" s="1703"/>
      <c r="F193" s="1703"/>
      <c r="G193" s="1703"/>
      <c r="H193" s="1703"/>
      <c r="I193" s="1703"/>
      <c r="J193" s="1703"/>
      <c r="K193" s="1710"/>
      <c r="L193" s="1711"/>
      <c r="M193" s="1703"/>
      <c r="N193" s="1703"/>
      <c r="O193" s="1703"/>
      <c r="P193" s="1703"/>
      <c r="Q193" s="1703"/>
      <c r="R193" s="1703"/>
      <c r="S193" s="1703"/>
      <c r="T193" s="1703"/>
    </row>
    <row r="194" spans="1:20">
      <c r="A194" s="1703"/>
      <c r="B194" s="1703"/>
      <c r="C194" s="1703"/>
      <c r="D194" s="1703"/>
      <c r="E194" s="1703"/>
      <c r="F194" s="1703"/>
      <c r="G194" s="1703"/>
      <c r="H194" s="1703"/>
      <c r="I194" s="1703"/>
      <c r="J194" s="1703"/>
      <c r="K194" s="1710"/>
      <c r="L194" s="1711"/>
      <c r="M194" s="1703"/>
      <c r="N194" s="1703"/>
      <c r="O194" s="1703"/>
      <c r="P194" s="1703"/>
      <c r="Q194" s="1703"/>
      <c r="R194" s="1703"/>
      <c r="S194" s="1703"/>
      <c r="T194" s="1703"/>
    </row>
    <row r="195" spans="1:20">
      <c r="A195" s="1703"/>
      <c r="B195" s="1703"/>
      <c r="C195" s="1703"/>
      <c r="D195" s="1703"/>
      <c r="E195" s="1703"/>
      <c r="F195" s="1703"/>
      <c r="G195" s="1703"/>
      <c r="H195" s="1703"/>
      <c r="I195" s="1703"/>
      <c r="J195" s="1703"/>
      <c r="K195" s="1710"/>
      <c r="L195" s="1711"/>
      <c r="M195" s="1703"/>
      <c r="N195" s="1703"/>
      <c r="O195" s="1703"/>
      <c r="P195" s="1703"/>
      <c r="Q195" s="1703"/>
      <c r="R195" s="1703"/>
      <c r="S195" s="1703"/>
      <c r="T195" s="1703"/>
    </row>
    <row r="196" spans="1:20">
      <c r="A196" s="1703"/>
      <c r="B196" s="1703"/>
      <c r="C196" s="1703"/>
      <c r="D196" s="1703"/>
      <c r="E196" s="1703"/>
      <c r="F196" s="1703"/>
      <c r="G196" s="1703"/>
      <c r="H196" s="1703"/>
      <c r="I196" s="1703"/>
      <c r="J196" s="1703"/>
      <c r="K196" s="1710"/>
      <c r="L196" s="1711"/>
      <c r="M196" s="1703"/>
      <c r="N196" s="1703"/>
      <c r="O196" s="1703"/>
      <c r="P196" s="1703"/>
      <c r="Q196" s="1703"/>
      <c r="R196" s="1703"/>
      <c r="S196" s="1703"/>
      <c r="T196" s="1703"/>
    </row>
    <row r="197" spans="1:20">
      <c r="A197" s="1703"/>
      <c r="B197" s="1703"/>
      <c r="C197" s="1703"/>
      <c r="D197" s="1703"/>
      <c r="E197" s="1703"/>
      <c r="F197" s="1703"/>
      <c r="G197" s="1703"/>
      <c r="H197" s="1703"/>
      <c r="I197" s="1703"/>
      <c r="J197" s="1703"/>
      <c r="K197" s="1710"/>
      <c r="L197" s="1711"/>
      <c r="M197" s="1703"/>
      <c r="N197" s="1703"/>
      <c r="O197" s="1703"/>
      <c r="P197" s="1703"/>
      <c r="Q197" s="1703"/>
      <c r="R197" s="1703"/>
      <c r="S197" s="1703"/>
      <c r="T197" s="1703"/>
    </row>
    <row r="198" spans="1:20">
      <c r="A198" s="1703"/>
      <c r="B198" s="1703"/>
      <c r="C198" s="1703"/>
      <c r="D198" s="1703"/>
      <c r="E198" s="1703"/>
      <c r="F198" s="1703"/>
      <c r="G198" s="1703"/>
      <c r="H198" s="1703"/>
      <c r="I198" s="1703"/>
      <c r="J198" s="1703"/>
      <c r="K198" s="1710"/>
      <c r="L198" s="1711"/>
      <c r="M198" s="1703"/>
      <c r="N198" s="1703"/>
      <c r="O198" s="1703"/>
      <c r="P198" s="1703"/>
      <c r="Q198" s="1703"/>
      <c r="R198" s="1703"/>
      <c r="S198" s="1703"/>
      <c r="T198" s="1703"/>
    </row>
    <row r="199" spans="1:20">
      <c r="A199" s="1703"/>
      <c r="B199" s="1703"/>
      <c r="C199" s="1703"/>
      <c r="D199" s="1703"/>
      <c r="E199" s="1703"/>
      <c r="F199" s="1703"/>
      <c r="G199" s="1703"/>
      <c r="H199" s="1703"/>
      <c r="I199" s="1703"/>
      <c r="J199" s="1703"/>
      <c r="K199" s="1710"/>
      <c r="L199" s="1711"/>
      <c r="M199" s="1703"/>
      <c r="N199" s="1703"/>
      <c r="O199" s="1703"/>
      <c r="P199" s="1703"/>
      <c r="Q199" s="1703"/>
      <c r="R199" s="1703"/>
      <c r="S199" s="1703"/>
      <c r="T199" s="1703"/>
    </row>
    <row r="200" spans="1:20">
      <c r="A200" s="1703"/>
      <c r="B200" s="1703"/>
      <c r="C200" s="1703"/>
      <c r="D200" s="1703"/>
      <c r="E200" s="1703"/>
      <c r="F200" s="1703"/>
      <c r="G200" s="1703"/>
      <c r="H200" s="1703"/>
      <c r="I200" s="1703"/>
      <c r="J200" s="1703"/>
      <c r="K200" s="1710"/>
      <c r="L200" s="1711"/>
      <c r="M200" s="1703"/>
      <c r="N200" s="1703"/>
      <c r="O200" s="1703"/>
      <c r="P200" s="1703"/>
      <c r="Q200" s="1703"/>
      <c r="R200" s="1703"/>
      <c r="S200" s="1703"/>
      <c r="T200" s="1703"/>
    </row>
    <row r="201" spans="1:20">
      <c r="A201" s="1703"/>
      <c r="B201" s="1703"/>
      <c r="C201" s="1703"/>
      <c r="D201" s="1703"/>
      <c r="E201" s="1703"/>
      <c r="F201" s="1703"/>
      <c r="G201" s="1703"/>
      <c r="H201" s="1703"/>
      <c r="I201" s="1703"/>
      <c r="J201" s="1703"/>
      <c r="K201" s="1710"/>
      <c r="L201" s="1711"/>
      <c r="M201" s="1703"/>
      <c r="N201" s="1703"/>
      <c r="O201" s="1703"/>
      <c r="P201" s="1703"/>
      <c r="Q201" s="1703"/>
      <c r="R201" s="1703"/>
      <c r="S201" s="1703"/>
      <c r="T201" s="1703"/>
    </row>
    <row r="202" spans="1:20">
      <c r="A202" s="1703"/>
      <c r="B202" s="1703"/>
      <c r="C202" s="1703"/>
      <c r="D202" s="1703"/>
      <c r="E202" s="1703"/>
      <c r="F202" s="1703"/>
      <c r="G202" s="1703"/>
      <c r="H202" s="1703"/>
      <c r="I202" s="1703"/>
      <c r="J202" s="1703"/>
      <c r="K202" s="1710"/>
      <c r="L202" s="1711"/>
      <c r="M202" s="1703"/>
      <c r="N202" s="1703"/>
      <c r="O202" s="1703"/>
      <c r="P202" s="1703"/>
      <c r="Q202" s="1703"/>
      <c r="R202" s="1703"/>
      <c r="S202" s="1703"/>
      <c r="T202" s="1703"/>
    </row>
    <row r="203" spans="1:20">
      <c r="A203" s="1703"/>
      <c r="B203" s="1703"/>
      <c r="C203" s="1703"/>
      <c r="D203" s="1703"/>
      <c r="E203" s="1703"/>
      <c r="F203" s="1703"/>
      <c r="G203" s="1703"/>
      <c r="H203" s="1703"/>
      <c r="I203" s="1703"/>
      <c r="J203" s="1703"/>
      <c r="K203" s="1710"/>
      <c r="L203" s="1711"/>
      <c r="M203" s="1703"/>
      <c r="N203" s="1703"/>
      <c r="O203" s="1703"/>
      <c r="P203" s="1703"/>
      <c r="Q203" s="1703"/>
      <c r="R203" s="1703"/>
      <c r="S203" s="1703"/>
      <c r="T203" s="1703"/>
    </row>
    <row r="204" spans="1:20">
      <c r="A204" s="1703"/>
      <c r="B204" s="1703"/>
      <c r="C204" s="1703"/>
      <c r="D204" s="1703"/>
      <c r="E204" s="1703"/>
      <c r="F204" s="1703"/>
      <c r="G204" s="1703"/>
      <c r="H204" s="1703"/>
      <c r="I204" s="1703"/>
      <c r="J204" s="1703"/>
      <c r="K204" s="1710"/>
      <c r="L204" s="1711"/>
      <c r="M204" s="1703"/>
      <c r="N204" s="1703"/>
      <c r="O204" s="1703"/>
      <c r="P204" s="1703"/>
      <c r="Q204" s="1703"/>
      <c r="R204" s="1703"/>
      <c r="S204" s="1703"/>
      <c r="T204" s="1703"/>
    </row>
    <row r="205" spans="1:20">
      <c r="A205" s="1703"/>
      <c r="B205" s="1703"/>
      <c r="C205" s="1703"/>
      <c r="D205" s="1703"/>
      <c r="E205" s="1703"/>
      <c r="F205" s="1703"/>
      <c r="G205" s="1703"/>
      <c r="H205" s="1703"/>
      <c r="I205" s="1703"/>
      <c r="J205" s="1703"/>
      <c r="K205" s="1710"/>
      <c r="L205" s="1711"/>
      <c r="M205" s="1703"/>
      <c r="N205" s="1703"/>
      <c r="O205" s="1703"/>
      <c r="P205" s="1703"/>
      <c r="Q205" s="1703"/>
      <c r="R205" s="1703"/>
      <c r="S205" s="1703"/>
      <c r="T205" s="1703"/>
    </row>
    <row r="206" spans="1:20">
      <c r="A206" s="1703"/>
      <c r="B206" s="1703"/>
      <c r="C206" s="1703"/>
      <c r="D206" s="1703"/>
      <c r="E206" s="1703"/>
      <c r="F206" s="1703"/>
      <c r="G206" s="1703"/>
      <c r="H206" s="1703"/>
      <c r="I206" s="1703"/>
      <c r="J206" s="1703"/>
      <c r="K206" s="1710"/>
      <c r="L206" s="1711"/>
      <c r="M206" s="1703"/>
      <c r="N206" s="1703"/>
      <c r="O206" s="1703"/>
      <c r="P206" s="1703"/>
      <c r="Q206" s="1703"/>
      <c r="R206" s="1703"/>
      <c r="S206" s="1703"/>
      <c r="T206" s="1703"/>
    </row>
    <row r="207" spans="1:20">
      <c r="A207" s="1703"/>
      <c r="B207" s="1703"/>
      <c r="C207" s="1703"/>
      <c r="D207" s="1703"/>
      <c r="E207" s="1703"/>
      <c r="F207" s="1703"/>
      <c r="G207" s="1703"/>
      <c r="H207" s="1703"/>
      <c r="I207" s="1703"/>
      <c r="J207" s="1703"/>
      <c r="K207" s="1710"/>
      <c r="L207" s="1711"/>
      <c r="M207" s="1703"/>
      <c r="N207" s="1703"/>
      <c r="O207" s="1703"/>
      <c r="P207" s="1703"/>
      <c r="Q207" s="1703"/>
      <c r="R207" s="1703"/>
      <c r="S207" s="1703"/>
      <c r="T207" s="1703"/>
    </row>
    <row r="208" spans="1:20">
      <c r="A208" s="1703"/>
      <c r="B208" s="1703"/>
      <c r="C208" s="1703"/>
      <c r="D208" s="1703"/>
      <c r="E208" s="1703"/>
      <c r="F208" s="1703"/>
      <c r="G208" s="1703"/>
      <c r="H208" s="1703"/>
      <c r="I208" s="1703"/>
      <c r="J208" s="1703"/>
      <c r="K208" s="1710"/>
      <c r="L208" s="1711"/>
      <c r="M208" s="1703"/>
      <c r="N208" s="1703"/>
      <c r="O208" s="1703"/>
      <c r="P208" s="1703"/>
      <c r="Q208" s="1703"/>
      <c r="R208" s="1703"/>
      <c r="S208" s="1703"/>
      <c r="T208" s="1703"/>
    </row>
    <row r="209" spans="1:20">
      <c r="A209" s="1703"/>
      <c r="B209" s="1703"/>
      <c r="C209" s="1703"/>
      <c r="D209" s="1703"/>
      <c r="E209" s="1703"/>
      <c r="F209" s="1703"/>
      <c r="G209" s="1703"/>
      <c r="H209" s="1703"/>
      <c r="I209" s="1703"/>
      <c r="J209" s="1703"/>
      <c r="K209" s="1710"/>
      <c r="L209" s="1711"/>
      <c r="M209" s="1703"/>
      <c r="N209" s="1703"/>
      <c r="O209" s="1703"/>
      <c r="P209" s="1703"/>
      <c r="Q209" s="1703"/>
      <c r="R209" s="1703"/>
      <c r="S209" s="1703"/>
      <c r="T209" s="1703"/>
    </row>
    <row r="210" spans="1:20">
      <c r="A210" s="1703"/>
      <c r="B210" s="1703"/>
      <c r="C210" s="1703"/>
      <c r="D210" s="1703"/>
      <c r="E210" s="1703"/>
      <c r="F210" s="1703"/>
      <c r="G210" s="1703"/>
      <c r="H210" s="1703"/>
      <c r="I210" s="1703"/>
      <c r="J210" s="1703"/>
      <c r="K210" s="1710"/>
      <c r="L210" s="1711"/>
      <c r="M210" s="1703"/>
      <c r="N210" s="1703"/>
      <c r="O210" s="1703"/>
      <c r="P210" s="1703"/>
      <c r="Q210" s="1703"/>
      <c r="R210" s="1703"/>
      <c r="S210" s="1703"/>
      <c r="T210" s="1703"/>
    </row>
    <row r="211" spans="1:20">
      <c r="A211" s="1703"/>
      <c r="B211" s="1703"/>
      <c r="C211" s="1703"/>
      <c r="D211" s="1703"/>
      <c r="E211" s="1703"/>
      <c r="F211" s="1703"/>
      <c r="G211" s="1703"/>
      <c r="H211" s="1703"/>
      <c r="I211" s="1703"/>
      <c r="J211" s="1703"/>
      <c r="K211" s="1710"/>
      <c r="L211" s="1711"/>
      <c r="M211" s="1703"/>
      <c r="N211" s="1703"/>
      <c r="O211" s="1703"/>
      <c r="P211" s="1703"/>
      <c r="Q211" s="1703"/>
      <c r="R211" s="1703"/>
      <c r="S211" s="1703"/>
      <c r="T211" s="1703"/>
    </row>
    <row r="212" spans="1:20">
      <c r="A212" s="1703"/>
      <c r="B212" s="1703"/>
      <c r="C212" s="1703"/>
      <c r="D212" s="1703"/>
      <c r="E212" s="1703"/>
      <c r="F212" s="1703"/>
      <c r="G212" s="1703"/>
      <c r="H212" s="1703"/>
      <c r="I212" s="1703"/>
      <c r="J212" s="1703"/>
      <c r="K212" s="1710"/>
      <c r="L212" s="1711"/>
      <c r="M212" s="1703"/>
      <c r="N212" s="1703"/>
      <c r="O212" s="1703"/>
      <c r="P212" s="1703"/>
      <c r="Q212" s="1703"/>
      <c r="R212" s="1703"/>
      <c r="S212" s="1703"/>
      <c r="T212" s="1703"/>
    </row>
    <row r="213" spans="1:20">
      <c r="A213" s="1703"/>
      <c r="B213" s="1703"/>
      <c r="C213" s="1703"/>
      <c r="D213" s="1703"/>
      <c r="E213" s="1703"/>
      <c r="F213" s="1703"/>
      <c r="G213" s="1703"/>
      <c r="H213" s="1703"/>
      <c r="I213" s="1703"/>
      <c r="J213" s="1703"/>
      <c r="K213" s="1710"/>
      <c r="L213" s="1711"/>
      <c r="M213" s="1703"/>
      <c r="N213" s="1703"/>
      <c r="O213" s="1703"/>
      <c r="P213" s="1703"/>
      <c r="Q213" s="1703"/>
      <c r="R213" s="1703"/>
      <c r="S213" s="1703"/>
      <c r="T213" s="1703"/>
    </row>
    <row r="214" spans="1:20">
      <c r="A214" s="1703"/>
      <c r="B214" s="1703"/>
      <c r="C214" s="1703"/>
      <c r="D214" s="1703"/>
      <c r="E214" s="1703"/>
      <c r="F214" s="1703"/>
      <c r="G214" s="1703"/>
      <c r="H214" s="1703"/>
      <c r="I214" s="1703"/>
      <c r="J214" s="1703"/>
      <c r="K214" s="1710"/>
      <c r="L214" s="1711"/>
      <c r="M214" s="1703"/>
      <c r="N214" s="1703"/>
      <c r="O214" s="1703"/>
      <c r="P214" s="1703"/>
      <c r="Q214" s="1703"/>
      <c r="R214" s="1703"/>
      <c r="S214" s="1703"/>
      <c r="T214" s="1703"/>
    </row>
    <row r="215" spans="1:20">
      <c r="A215" s="1703"/>
      <c r="B215" s="1703"/>
      <c r="C215" s="1703"/>
      <c r="D215" s="1703"/>
      <c r="E215" s="1703"/>
      <c r="F215" s="1703"/>
      <c r="G215" s="1703"/>
      <c r="H215" s="1703"/>
      <c r="I215" s="1703"/>
      <c r="J215" s="1703"/>
      <c r="K215" s="1710"/>
      <c r="L215" s="1711"/>
      <c r="M215" s="1703"/>
      <c r="N215" s="1703"/>
      <c r="O215" s="1703"/>
      <c r="P215" s="1703"/>
      <c r="Q215" s="1703"/>
      <c r="R215" s="1703"/>
      <c r="S215" s="1703"/>
      <c r="T215" s="1703"/>
    </row>
    <row r="216" spans="1:20">
      <c r="A216" s="1703"/>
      <c r="B216" s="1703"/>
      <c r="C216" s="1703"/>
      <c r="D216" s="1703"/>
      <c r="E216" s="1703"/>
      <c r="F216" s="1703"/>
      <c r="G216" s="1703"/>
      <c r="H216" s="1703"/>
      <c r="I216" s="1703"/>
      <c r="J216" s="1703"/>
      <c r="K216" s="1710"/>
      <c r="L216" s="1711"/>
      <c r="M216" s="1703"/>
      <c r="N216" s="1703"/>
      <c r="O216" s="1703"/>
      <c r="P216" s="1703"/>
      <c r="Q216" s="1703"/>
      <c r="R216" s="1703"/>
      <c r="S216" s="1703"/>
      <c r="T216" s="1703"/>
    </row>
    <row r="217" spans="1:20">
      <c r="A217" s="1703"/>
      <c r="B217" s="1703"/>
      <c r="C217" s="1703"/>
      <c r="D217" s="1703"/>
      <c r="E217" s="1703"/>
      <c r="F217" s="1703"/>
      <c r="G217" s="1703"/>
      <c r="H217" s="1703"/>
      <c r="I217" s="1703"/>
      <c r="J217" s="1703"/>
      <c r="K217" s="1710"/>
      <c r="L217" s="1711"/>
      <c r="M217" s="1703"/>
      <c r="N217" s="1703"/>
      <c r="O217" s="1703"/>
      <c r="P217" s="1703"/>
      <c r="Q217" s="1703"/>
      <c r="R217" s="1703"/>
      <c r="S217" s="1703"/>
      <c r="T217" s="1703"/>
    </row>
    <row r="218" spans="1:20">
      <c r="A218" s="1703"/>
      <c r="B218" s="1703"/>
      <c r="C218" s="1703"/>
      <c r="D218" s="1703"/>
      <c r="E218" s="1703"/>
      <c r="F218" s="1703"/>
      <c r="G218" s="1703"/>
      <c r="H218" s="1703"/>
      <c r="I218" s="1703"/>
      <c r="J218" s="1703"/>
      <c r="K218" s="1710"/>
      <c r="L218" s="1711"/>
      <c r="M218" s="1703"/>
      <c r="N218" s="1703"/>
      <c r="O218" s="1703"/>
      <c r="P218" s="1703"/>
      <c r="Q218" s="1703"/>
      <c r="R218" s="1703"/>
      <c r="S218" s="1703"/>
      <c r="T218" s="1703"/>
    </row>
    <row r="219" spans="1:20">
      <c r="A219" s="1703"/>
      <c r="B219" s="1703"/>
      <c r="C219" s="1703"/>
      <c r="D219" s="1703"/>
      <c r="E219" s="1703"/>
      <c r="F219" s="1703"/>
      <c r="G219" s="1703"/>
      <c r="H219" s="1703"/>
      <c r="I219" s="1703"/>
      <c r="J219" s="1703"/>
      <c r="K219" s="1710"/>
      <c r="L219" s="1711"/>
      <c r="M219" s="1703"/>
      <c r="N219" s="1703"/>
      <c r="O219" s="1703"/>
      <c r="P219" s="1703"/>
      <c r="Q219" s="1703"/>
      <c r="R219" s="1703"/>
      <c r="S219" s="1703"/>
      <c r="T219" s="1703"/>
    </row>
    <row r="220" spans="1:20">
      <c r="A220" s="1703"/>
      <c r="B220" s="1703"/>
      <c r="C220" s="1703"/>
      <c r="D220" s="1703"/>
      <c r="E220" s="1703"/>
      <c r="F220" s="1703"/>
      <c r="G220" s="1703"/>
      <c r="H220" s="1703"/>
      <c r="I220" s="1703"/>
      <c r="J220" s="1703"/>
      <c r="K220" s="1710"/>
      <c r="L220" s="1711"/>
      <c r="M220" s="1703"/>
      <c r="N220" s="1703"/>
      <c r="O220" s="1703"/>
      <c r="P220" s="1703"/>
      <c r="Q220" s="1703"/>
      <c r="R220" s="1703"/>
      <c r="S220" s="1703"/>
      <c r="T220" s="1703"/>
    </row>
    <row r="221" spans="1:20">
      <c r="A221" s="1703"/>
      <c r="B221" s="1703"/>
      <c r="C221" s="1703"/>
      <c r="D221" s="1703"/>
      <c r="E221" s="1703"/>
      <c r="F221" s="1703"/>
      <c r="G221" s="1703"/>
      <c r="H221" s="1703"/>
      <c r="I221" s="1703"/>
      <c r="J221" s="1703"/>
      <c r="K221" s="1710"/>
      <c r="L221" s="1711"/>
      <c r="M221" s="1703"/>
      <c r="N221" s="1703"/>
      <c r="O221" s="1703"/>
      <c r="P221" s="1703"/>
      <c r="Q221" s="1703"/>
      <c r="R221" s="1703"/>
      <c r="S221" s="1703"/>
      <c r="T221" s="1703"/>
    </row>
    <row r="222" spans="1:20">
      <c r="A222" s="1703"/>
      <c r="B222" s="1703"/>
      <c r="C222" s="1703"/>
      <c r="D222" s="1703"/>
      <c r="E222" s="1703"/>
      <c r="F222" s="1703"/>
      <c r="G222" s="1703"/>
      <c r="H222" s="1703"/>
      <c r="I222" s="1703"/>
      <c r="J222" s="1703"/>
      <c r="K222" s="1710"/>
      <c r="L222" s="1711"/>
      <c r="M222" s="1703"/>
      <c r="N222" s="1703"/>
      <c r="O222" s="1703"/>
      <c r="P222" s="1703"/>
      <c r="Q222" s="1703"/>
      <c r="R222" s="1703"/>
      <c r="S222" s="1703"/>
      <c r="T222" s="1703"/>
    </row>
    <row r="223" spans="1:20">
      <c r="A223" s="1703"/>
      <c r="B223" s="1703"/>
      <c r="C223" s="1703"/>
      <c r="D223" s="1703"/>
      <c r="E223" s="1703"/>
      <c r="F223" s="1703"/>
      <c r="G223" s="1703"/>
      <c r="H223" s="1703"/>
      <c r="I223" s="1703"/>
      <c r="J223" s="1703"/>
      <c r="K223" s="1710"/>
      <c r="L223" s="1711"/>
      <c r="M223" s="1703"/>
      <c r="N223" s="1703"/>
      <c r="O223" s="1703"/>
      <c r="P223" s="1703"/>
      <c r="Q223" s="1703"/>
      <c r="R223" s="1703"/>
      <c r="S223" s="1703"/>
      <c r="T223" s="1703"/>
    </row>
    <row r="224" spans="1:20">
      <c r="A224" s="1703"/>
      <c r="B224" s="1703"/>
      <c r="C224" s="1703"/>
      <c r="D224" s="1703"/>
      <c r="E224" s="1703"/>
      <c r="F224" s="1703"/>
      <c r="G224" s="1703"/>
      <c r="H224" s="1703"/>
      <c r="I224" s="1703"/>
      <c r="J224" s="1703"/>
      <c r="K224" s="1710"/>
      <c r="L224" s="1711"/>
      <c r="M224" s="1703"/>
      <c r="N224" s="1703"/>
      <c r="O224" s="1703"/>
      <c r="P224" s="1703"/>
      <c r="Q224" s="1703"/>
      <c r="R224" s="1703"/>
      <c r="S224" s="1703"/>
      <c r="T224" s="1703"/>
    </row>
    <row r="225" spans="1:20">
      <c r="A225" s="1703"/>
      <c r="B225" s="1703"/>
      <c r="C225" s="1703"/>
      <c r="D225" s="1703"/>
      <c r="E225" s="1703"/>
      <c r="F225" s="1703"/>
      <c r="G225" s="1703"/>
      <c r="H225" s="1703"/>
      <c r="I225" s="1703"/>
      <c r="J225" s="1703"/>
      <c r="K225" s="1710"/>
      <c r="L225" s="1711"/>
      <c r="M225" s="1703"/>
      <c r="N225" s="1703"/>
      <c r="O225" s="1703"/>
      <c r="P225" s="1703"/>
      <c r="Q225" s="1703"/>
      <c r="R225" s="1703"/>
      <c r="S225" s="1703"/>
      <c r="T225" s="1703"/>
    </row>
    <row r="226" spans="1:20">
      <c r="A226" s="1703"/>
      <c r="B226" s="1703"/>
      <c r="C226" s="1703"/>
      <c r="D226" s="1703"/>
      <c r="E226" s="1703"/>
      <c r="F226" s="1703"/>
      <c r="G226" s="1703"/>
      <c r="H226" s="1703"/>
      <c r="I226" s="1703"/>
      <c r="J226" s="1703"/>
      <c r="K226" s="1710"/>
      <c r="L226" s="1711"/>
      <c r="M226" s="1703"/>
      <c r="N226" s="1703"/>
      <c r="O226" s="1703"/>
      <c r="P226" s="1703"/>
      <c r="Q226" s="1703"/>
      <c r="R226" s="1703"/>
      <c r="S226" s="1703"/>
      <c r="T226" s="1703"/>
    </row>
    <row r="227" spans="1:20">
      <c r="A227" s="1703"/>
      <c r="B227" s="1703"/>
      <c r="C227" s="1703"/>
      <c r="D227" s="1703"/>
      <c r="E227" s="1703"/>
      <c r="F227" s="1703"/>
      <c r="G227" s="1703"/>
      <c r="H227" s="1703"/>
      <c r="I227" s="1703"/>
      <c r="J227" s="1703"/>
      <c r="K227" s="1710"/>
      <c r="L227" s="1711"/>
      <c r="M227" s="1703"/>
      <c r="N227" s="1703"/>
      <c r="O227" s="1703"/>
      <c r="P227" s="1703"/>
      <c r="Q227" s="1703"/>
      <c r="R227" s="1703"/>
      <c r="S227" s="1703"/>
      <c r="T227" s="1703"/>
    </row>
    <row r="228" spans="1:20">
      <c r="A228" s="1703"/>
      <c r="B228" s="1703"/>
      <c r="C228" s="1703"/>
      <c r="D228" s="1703"/>
      <c r="E228" s="1703"/>
      <c r="F228" s="1703"/>
      <c r="G228" s="1703"/>
      <c r="H228" s="1703"/>
      <c r="I228" s="1703"/>
      <c r="J228" s="1703"/>
      <c r="K228" s="1710"/>
      <c r="L228" s="1711"/>
      <c r="M228" s="1703"/>
      <c r="N228" s="1703"/>
      <c r="O228" s="1703"/>
      <c r="P228" s="1703"/>
      <c r="Q228" s="1703"/>
      <c r="R228" s="1703"/>
      <c r="S228" s="1703"/>
      <c r="T228" s="1703"/>
    </row>
    <row r="229" spans="1:20">
      <c r="A229" s="1703"/>
      <c r="B229" s="1703"/>
      <c r="C229" s="1703"/>
      <c r="D229" s="1703"/>
      <c r="E229" s="1703"/>
      <c r="F229" s="1703"/>
      <c r="G229" s="1703"/>
      <c r="H229" s="1703"/>
      <c r="I229" s="1703"/>
      <c r="J229" s="1703"/>
      <c r="K229" s="1710"/>
      <c r="L229" s="1711"/>
      <c r="M229" s="1703"/>
      <c r="N229" s="1703"/>
      <c r="O229" s="1703"/>
      <c r="P229" s="1703"/>
      <c r="Q229" s="1703"/>
      <c r="R229" s="1703"/>
      <c r="S229" s="1703"/>
      <c r="T229" s="1703"/>
    </row>
    <row r="230" spans="1:20">
      <c r="A230" s="1703"/>
      <c r="B230" s="1703"/>
      <c r="C230" s="1703"/>
      <c r="D230" s="1703"/>
      <c r="E230" s="1703"/>
      <c r="F230" s="1703"/>
      <c r="G230" s="1703"/>
      <c r="H230" s="1703"/>
      <c r="I230" s="1703"/>
      <c r="J230" s="1703"/>
      <c r="K230" s="1710"/>
      <c r="L230" s="1711"/>
      <c r="M230" s="1703"/>
      <c r="N230" s="1703"/>
      <c r="O230" s="1703"/>
      <c r="P230" s="1703"/>
      <c r="Q230" s="1703"/>
      <c r="R230" s="1703"/>
      <c r="S230" s="1703"/>
      <c r="T230" s="1703"/>
    </row>
    <row r="231" spans="1:20">
      <c r="A231" s="1703"/>
      <c r="B231" s="1703"/>
      <c r="C231" s="1703"/>
      <c r="D231" s="1703"/>
      <c r="E231" s="1703"/>
      <c r="F231" s="1703"/>
      <c r="G231" s="1703"/>
      <c r="H231" s="1703"/>
      <c r="I231" s="1703"/>
      <c r="J231" s="1703"/>
      <c r="K231" s="1710"/>
      <c r="L231" s="1711"/>
      <c r="M231" s="1703"/>
      <c r="N231" s="1703"/>
      <c r="O231" s="1703"/>
      <c r="P231" s="1703"/>
      <c r="Q231" s="1703"/>
      <c r="R231" s="1703"/>
      <c r="S231" s="1703"/>
      <c r="T231" s="1703"/>
    </row>
    <row r="232" spans="1:20">
      <c r="A232" s="1703"/>
      <c r="B232" s="1703"/>
      <c r="C232" s="1703"/>
      <c r="D232" s="1703"/>
      <c r="E232" s="1703"/>
      <c r="F232" s="1703"/>
      <c r="G232" s="1703"/>
      <c r="H232" s="1703"/>
      <c r="I232" s="1703"/>
      <c r="J232" s="1703"/>
      <c r="K232" s="1710"/>
      <c r="L232" s="1711"/>
      <c r="M232" s="1703"/>
      <c r="N232" s="1703"/>
      <c r="O232" s="1703"/>
      <c r="P232" s="1703"/>
      <c r="Q232" s="1703"/>
      <c r="R232" s="1703"/>
      <c r="S232" s="1703"/>
      <c r="T232" s="1703"/>
    </row>
    <row r="233" spans="1:20">
      <c r="A233" s="1703"/>
      <c r="B233" s="1703"/>
      <c r="C233" s="1703"/>
      <c r="D233" s="1703"/>
      <c r="E233" s="1703"/>
      <c r="F233" s="1703"/>
      <c r="G233" s="1703"/>
      <c r="H233" s="1703"/>
      <c r="I233" s="1703"/>
      <c r="J233" s="1703"/>
      <c r="K233" s="1710"/>
      <c r="L233" s="1711"/>
      <c r="M233" s="1703"/>
      <c r="N233" s="1703"/>
      <c r="O233" s="1703"/>
      <c r="P233" s="1703"/>
      <c r="Q233" s="1703"/>
      <c r="R233" s="1703"/>
      <c r="S233" s="1703"/>
      <c r="T233" s="1703"/>
    </row>
    <row r="234" spans="1:20">
      <c r="A234" s="1703"/>
      <c r="B234" s="1703"/>
      <c r="C234" s="1703"/>
      <c r="D234" s="1703"/>
      <c r="E234" s="1703"/>
      <c r="F234" s="1703"/>
      <c r="G234" s="1703"/>
      <c r="H234" s="1703"/>
      <c r="I234" s="1703"/>
      <c r="J234" s="1703"/>
      <c r="K234" s="1710"/>
      <c r="L234" s="1711"/>
      <c r="M234" s="1703"/>
      <c r="N234" s="1703"/>
      <c r="O234" s="1703"/>
      <c r="P234" s="1703"/>
      <c r="Q234" s="1703"/>
      <c r="R234" s="1703"/>
      <c r="S234" s="1703"/>
      <c r="T234" s="1703"/>
    </row>
    <row r="235" spans="1:20">
      <c r="A235" s="1703"/>
      <c r="B235" s="1703"/>
      <c r="C235" s="1703"/>
      <c r="D235" s="1703"/>
      <c r="E235" s="1703"/>
      <c r="F235" s="1703"/>
      <c r="G235" s="1703"/>
      <c r="H235" s="1703"/>
      <c r="I235" s="1703"/>
      <c r="J235" s="1703"/>
      <c r="K235" s="1710"/>
      <c r="L235" s="1711"/>
      <c r="M235" s="1703"/>
      <c r="N235" s="1703"/>
      <c r="O235" s="1703"/>
      <c r="P235" s="1703"/>
      <c r="Q235" s="1703"/>
      <c r="R235" s="1703"/>
      <c r="S235" s="1703"/>
      <c r="T235" s="1703"/>
    </row>
    <row r="236" spans="1:20">
      <c r="A236" s="1703"/>
      <c r="B236" s="1703"/>
      <c r="C236" s="1703"/>
      <c r="D236" s="1703"/>
      <c r="E236" s="1703"/>
      <c r="F236" s="1703"/>
      <c r="G236" s="1703"/>
      <c r="H236" s="1703"/>
      <c r="I236" s="1703"/>
      <c r="J236" s="1703"/>
      <c r="K236" s="1710"/>
      <c r="L236" s="1711"/>
      <c r="M236" s="1703"/>
      <c r="N236" s="1703"/>
      <c r="O236" s="1703"/>
      <c r="P236" s="1703"/>
      <c r="Q236" s="1703"/>
      <c r="R236" s="1703"/>
      <c r="S236" s="1703"/>
      <c r="T236" s="1703"/>
    </row>
    <row r="237" spans="1:20">
      <c r="A237" s="1703"/>
      <c r="B237" s="1703"/>
      <c r="C237" s="1703"/>
      <c r="D237" s="1703"/>
      <c r="E237" s="1703"/>
      <c r="F237" s="1703"/>
      <c r="G237" s="1703"/>
      <c r="H237" s="1703"/>
      <c r="I237" s="1703"/>
      <c r="J237" s="1703"/>
      <c r="K237" s="1710"/>
      <c r="L237" s="1711"/>
      <c r="M237" s="1703"/>
      <c r="N237" s="1703"/>
      <c r="O237" s="1703"/>
      <c r="P237" s="1703"/>
      <c r="Q237" s="1703"/>
      <c r="R237" s="1703"/>
      <c r="S237" s="1703"/>
      <c r="T237" s="1703"/>
    </row>
    <row r="238" spans="1:20">
      <c r="A238" s="1703"/>
      <c r="B238" s="1703"/>
      <c r="C238" s="1703"/>
      <c r="D238" s="1703"/>
      <c r="E238" s="1703"/>
      <c r="F238" s="1703"/>
      <c r="G238" s="1703"/>
      <c r="H238" s="1703"/>
      <c r="I238" s="1703"/>
      <c r="J238" s="1703"/>
      <c r="K238" s="1710"/>
      <c r="L238" s="1711"/>
      <c r="M238" s="1703"/>
      <c r="N238" s="1703"/>
      <c r="O238" s="1703"/>
      <c r="P238" s="1703"/>
      <c r="Q238" s="1703"/>
      <c r="R238" s="1703"/>
      <c r="S238" s="1703"/>
      <c r="T238" s="1703"/>
    </row>
    <row r="239" spans="1:20">
      <c r="A239" s="1703"/>
      <c r="B239" s="1703"/>
      <c r="C239" s="1703"/>
      <c r="D239" s="1703"/>
      <c r="E239" s="1703"/>
      <c r="F239" s="1703"/>
      <c r="G239" s="1703"/>
      <c r="H239" s="1703"/>
      <c r="I239" s="1703"/>
      <c r="J239" s="1703"/>
      <c r="K239" s="1710"/>
      <c r="L239" s="1711"/>
      <c r="M239" s="1703"/>
      <c r="N239" s="1703"/>
      <c r="O239" s="1703"/>
      <c r="P239" s="1703"/>
      <c r="Q239" s="1703"/>
      <c r="R239" s="1703"/>
      <c r="S239" s="1703"/>
      <c r="T239" s="1703"/>
    </row>
    <row r="240" spans="1:20">
      <c r="A240" s="1703"/>
      <c r="B240" s="1703"/>
      <c r="C240" s="1703"/>
      <c r="D240" s="1703"/>
      <c r="E240" s="1703"/>
      <c r="F240" s="1703"/>
      <c r="G240" s="1703"/>
      <c r="H240" s="1703"/>
      <c r="I240" s="1703"/>
      <c r="J240" s="1703"/>
      <c r="K240" s="1710"/>
      <c r="L240" s="1711"/>
      <c r="M240" s="1703"/>
      <c r="N240" s="1703"/>
      <c r="O240" s="1703"/>
      <c r="P240" s="1703"/>
      <c r="Q240" s="1703"/>
      <c r="R240" s="1703"/>
      <c r="S240" s="1703"/>
      <c r="T240" s="1703"/>
    </row>
    <row r="241" spans="1:20">
      <c r="A241" s="1703"/>
      <c r="B241" s="1703"/>
      <c r="C241" s="1703"/>
      <c r="D241" s="1703"/>
      <c r="E241" s="1703"/>
      <c r="F241" s="1703"/>
      <c r="G241" s="1703"/>
      <c r="H241" s="1703"/>
      <c r="I241" s="1703"/>
      <c r="J241" s="1703"/>
      <c r="K241" s="1710"/>
      <c r="L241" s="1711"/>
      <c r="M241" s="1703"/>
      <c r="N241" s="1703"/>
      <c r="O241" s="1703"/>
      <c r="P241" s="1703"/>
      <c r="Q241" s="1703"/>
      <c r="R241" s="1703"/>
      <c r="S241" s="1703"/>
      <c r="T241" s="17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299" customWidth="1"/>
    <col min="2" max="2" width="15.75" style="1299" customWidth="1"/>
    <col min="3" max="3" width="14.375" style="1299" customWidth="1"/>
    <col min="4" max="4" width="14.1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2258</v>
      </c>
      <c r="B1" s="1303"/>
      <c r="C1" s="1304" t="s">
        <v>2259</v>
      </c>
      <c r="D1" s="1305"/>
      <c r="E1" s="1305"/>
      <c r="F1" s="1306" t="s">
        <v>1647</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1648</v>
      </c>
      <c r="B2" s="1307" t="e">
        <f>F65</f>
        <v>#DIV/0!</v>
      </c>
      <c r="C2" s="1621"/>
      <c r="D2" s="1621"/>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1650</v>
      </c>
      <c r="B3" s="1310" t="e">
        <f>ROUND(IF(D3="",B2*10000/'数据-汇总表'!E3,B2*10000/D3),0)</f>
        <v>#DIV/0!</v>
      </c>
      <c r="C3" s="346" t="s">
        <v>1651</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1652</v>
      </c>
      <c r="B4" s="1313"/>
      <c r="C4" s="3469" t="s">
        <v>1653</v>
      </c>
      <c r="D4" s="3470"/>
      <c r="E4" s="3471" t="s">
        <v>1654</v>
      </c>
      <c r="F4" s="3472"/>
      <c r="G4" s="3469" t="s">
        <v>1655</v>
      </c>
      <c r="H4" s="3470"/>
      <c r="I4" s="3469" t="s">
        <v>1656</v>
      </c>
      <c r="J4" s="3470"/>
      <c r="K4" s="1457" t="s">
        <v>1657</v>
      </c>
      <c r="L4" s="1458"/>
      <c r="M4" s="1409"/>
      <c r="N4" s="1409"/>
      <c r="O4" s="1409"/>
      <c r="P4" s="3508" t="s">
        <v>1658</v>
      </c>
      <c r="Q4" s="3509"/>
      <c r="R4" s="3512" t="s">
        <v>1654</v>
      </c>
      <c r="S4" s="3513"/>
      <c r="T4" s="3512" t="s">
        <v>1655</v>
      </c>
      <c r="U4" s="3513"/>
      <c r="V4" s="3446" t="s">
        <v>1656</v>
      </c>
      <c r="W4" s="3446"/>
      <c r="X4" s="1506"/>
      <c r="Y4" s="3512" t="s">
        <v>1658</v>
      </c>
      <c r="Z4" s="3513"/>
      <c r="AA4" s="3507" t="s">
        <v>1654</v>
      </c>
      <c r="AB4" s="3428" t="s">
        <v>1655</v>
      </c>
      <c r="AC4" s="3507" t="s">
        <v>1656</v>
      </c>
    </row>
    <row r="5" spans="1:29" ht="15">
      <c r="A5" s="1316"/>
      <c r="B5" s="1317"/>
      <c r="C5" s="3473" t="s">
        <v>1659</v>
      </c>
      <c r="D5" s="3474"/>
      <c r="E5" s="3475" t="s">
        <v>2200</v>
      </c>
      <c r="F5" s="3476"/>
      <c r="G5" s="3473" t="s">
        <v>2201</v>
      </c>
      <c r="H5" s="3474"/>
      <c r="I5" s="3473" t="s">
        <v>2202</v>
      </c>
      <c r="J5" s="3474"/>
      <c r="K5" s="1457"/>
      <c r="L5" s="1458"/>
      <c r="M5" s="1409"/>
      <c r="N5" s="1409"/>
      <c r="O5" s="1409"/>
      <c r="P5" s="3510"/>
      <c r="Q5" s="3436"/>
      <c r="R5" s="3441"/>
      <c r="S5" s="3442"/>
      <c r="T5" s="3441"/>
      <c r="U5" s="3442"/>
      <c r="V5" s="3446"/>
      <c r="W5" s="3446"/>
      <c r="X5" s="1506"/>
      <c r="Y5" s="3441"/>
      <c r="Z5" s="3442"/>
      <c r="AA5" s="3428"/>
      <c r="AB5" s="3428"/>
      <c r="AC5" s="3428"/>
    </row>
    <row r="6" spans="1:29" ht="15">
      <c r="A6" s="1318"/>
      <c r="B6" s="1319"/>
      <c r="C6" s="3464" t="s">
        <v>1660</v>
      </c>
      <c r="D6" s="3465"/>
      <c r="E6" s="3466" t="s">
        <v>1660</v>
      </c>
      <c r="F6" s="3467"/>
      <c r="G6" s="3464" t="s">
        <v>1660</v>
      </c>
      <c r="H6" s="3465"/>
      <c r="I6" s="3464" t="s">
        <v>1660</v>
      </c>
      <c r="J6" s="3465"/>
      <c r="K6" s="1457" t="s">
        <v>1661</v>
      </c>
      <c r="L6" s="1458"/>
      <c r="M6" s="1409"/>
      <c r="N6" s="1409"/>
      <c r="O6" s="1409"/>
      <c r="P6" s="3511"/>
      <c r="Q6" s="3438"/>
      <c r="R6" s="3441"/>
      <c r="S6" s="3442"/>
      <c r="T6" s="3443"/>
      <c r="U6" s="3444"/>
      <c r="V6" s="3446"/>
      <c r="W6" s="3446"/>
      <c r="X6" s="1506"/>
      <c r="Y6" s="3443"/>
      <c r="Z6" s="3444"/>
      <c r="AA6" s="3429"/>
      <c r="AB6" s="3429"/>
      <c r="AC6" s="3429"/>
    </row>
    <row r="7" spans="1:29" s="1293" customFormat="1" ht="15">
      <c r="A7" s="1321" t="s">
        <v>1662</v>
      </c>
      <c r="B7" s="1322"/>
      <c r="C7" s="1323">
        <f>'数据-取费表'!B2</f>
        <v>45882</v>
      </c>
      <c r="D7" s="1324">
        <v>100</v>
      </c>
      <c r="E7" s="1325"/>
      <c r="F7" s="1326">
        <f>SUMIF(69:69,YEAR(E7)&amp;"-"&amp;INT((MONTH(E7)+2)/3),70:70)</f>
        <v>0</v>
      </c>
      <c r="G7" s="1327"/>
      <c r="H7" s="1324">
        <f>SUMIF(69:69,YEAR(G7)&amp;"-"&amp;INT((MONTH(G7)+2)/3),70:70)</f>
        <v>0</v>
      </c>
      <c r="I7" s="1327"/>
      <c r="J7" s="1324">
        <f>SUMIF(69:69,YEAR(I7)&amp;"-"&amp;INT((MONTH(I7)+2)/3),70:70)</f>
        <v>0</v>
      </c>
      <c r="K7" s="1462"/>
      <c r="L7" s="1463"/>
      <c r="M7" s="1464"/>
      <c r="N7" s="1464"/>
      <c r="O7" s="1464"/>
      <c r="P7" s="3452" t="s">
        <v>1663</v>
      </c>
      <c r="Q7" s="3468"/>
      <c r="R7" s="1507" t="s">
        <v>1664</v>
      </c>
      <c r="S7" s="1508">
        <f t="shared" ref="S7:S15" si="0">F7</f>
        <v>0</v>
      </c>
      <c r="T7" s="1507" t="s">
        <v>1664</v>
      </c>
      <c r="U7" s="1508">
        <f t="shared" ref="U7:U15" si="1">H7</f>
        <v>0</v>
      </c>
      <c r="V7" s="1507" t="s">
        <v>1664</v>
      </c>
      <c r="W7" s="1508">
        <f t="shared" ref="W7:W15" si="2">J7</f>
        <v>0</v>
      </c>
      <c r="X7" s="1509"/>
      <c r="Y7" s="3452" t="s">
        <v>1663</v>
      </c>
      <c r="Z7" s="3453"/>
      <c r="AA7" s="1518" t="e">
        <f>D7/F7</f>
        <v>#DIV/0!</v>
      </c>
      <c r="AB7" s="1518" t="e">
        <f>D7/H7</f>
        <v>#DIV/0!</v>
      </c>
      <c r="AC7" s="1518" t="e">
        <f>D7/J7</f>
        <v>#DIV/0!</v>
      </c>
    </row>
    <row r="8" spans="1:29" s="1293" customFormat="1" ht="15">
      <c r="A8" s="1321" t="s">
        <v>1665</v>
      </c>
      <c r="B8" s="1322"/>
      <c r="C8" s="1328" t="s">
        <v>1720</v>
      </c>
      <c r="D8" s="1324">
        <v>100</v>
      </c>
      <c r="E8" s="1328"/>
      <c r="F8" s="1326">
        <f>SUMIF(72:72,E8,73:73)-SUMIF(72:72,C8,73:73)+100</f>
        <v>0</v>
      </c>
      <c r="G8" s="1328"/>
      <c r="H8" s="1324">
        <f>SUMIF(72:72,G8,73:73)-SUMIF(72:72,C8,73:73)+100</f>
        <v>0</v>
      </c>
      <c r="I8" s="1328"/>
      <c r="J8" s="1324">
        <f>SUMIF(72:72,I8,73:73)-SUMIF(72:72,C8,73:73)+100</f>
        <v>0</v>
      </c>
      <c r="K8" s="1462"/>
      <c r="L8" s="1463"/>
      <c r="M8" s="1464"/>
      <c r="N8" s="1464"/>
      <c r="O8" s="1464"/>
      <c r="P8" s="3452" t="s">
        <v>1667</v>
      </c>
      <c r="Q8" s="3453"/>
      <c r="R8" s="1507" t="s">
        <v>1664</v>
      </c>
      <c r="S8" s="1508">
        <f t="shared" si="0"/>
        <v>0</v>
      </c>
      <c r="T8" s="1507" t="s">
        <v>1664</v>
      </c>
      <c r="U8" s="1508">
        <f t="shared" si="1"/>
        <v>0</v>
      </c>
      <c r="V8" s="1507" t="s">
        <v>1664</v>
      </c>
      <c r="W8" s="1508">
        <f t="shared" si="2"/>
        <v>0</v>
      </c>
      <c r="X8" s="1509"/>
      <c r="Y8" s="3452" t="s">
        <v>1667</v>
      </c>
      <c r="Z8" s="3453"/>
      <c r="AA8" s="1518" t="e">
        <f t="shared" ref="AA8:AA45" si="3">D8/F8</f>
        <v>#DIV/0!</v>
      </c>
      <c r="AB8" s="1518" t="e">
        <f t="shared" ref="AB8:AB45" si="4">D8/H8</f>
        <v>#DIV/0!</v>
      </c>
      <c r="AC8" s="1518" t="e">
        <f t="shared" ref="AC8:AC45" si="5">D8/J8</f>
        <v>#DIV/0!</v>
      </c>
    </row>
    <row r="9" spans="1:29" s="1293" customFormat="1">
      <c r="A9" s="1329" t="s">
        <v>1668</v>
      </c>
      <c r="B9" s="1330" t="s">
        <v>1669</v>
      </c>
      <c r="C9" s="1331"/>
      <c r="D9" s="1332">
        <v>100</v>
      </c>
      <c r="E9" s="1331"/>
      <c r="F9" s="1332">
        <f>SUMIF(74:74,E9,75:75)-SUMIF(74:74,C9,75:75)+100</f>
        <v>100</v>
      </c>
      <c r="G9" s="1331"/>
      <c r="H9" s="1332">
        <f>SUMIF(74:74,G9,75:75)-SUMIF(74:74,C9,75:75)+100</f>
        <v>100</v>
      </c>
      <c r="I9" s="1331"/>
      <c r="J9" s="1332">
        <f>SUMIF(74:74,I9,75:75)-SUMIF(74:74,C9,75:75)+100</f>
        <v>100</v>
      </c>
      <c r="K9" s="1462"/>
      <c r="L9" s="1463"/>
      <c r="M9" s="1464"/>
      <c r="N9" s="1464"/>
      <c r="O9" s="1466"/>
      <c r="P9" s="3448" t="s">
        <v>1670</v>
      </c>
      <c r="Q9" s="794" t="str">
        <f t="shared" ref="Q9:Q15" si="6">B9</f>
        <v>用途</v>
      </c>
      <c r="R9" s="1507" t="s">
        <v>1664</v>
      </c>
      <c r="S9" s="1508">
        <f t="shared" si="0"/>
        <v>100</v>
      </c>
      <c r="T9" s="1507" t="s">
        <v>1664</v>
      </c>
      <c r="U9" s="1508">
        <f t="shared" si="1"/>
        <v>100</v>
      </c>
      <c r="V9" s="1507" t="s">
        <v>1664</v>
      </c>
      <c r="W9" s="1508">
        <f t="shared" si="2"/>
        <v>100</v>
      </c>
      <c r="X9" s="1509"/>
      <c r="Y9" s="3342" t="s">
        <v>1671</v>
      </c>
      <c r="Z9" s="1518" t="str">
        <f t="shared" ref="Z9:Z15" si="7">Q9</f>
        <v>用途</v>
      </c>
      <c r="AA9" s="1518">
        <f t="shared" si="3"/>
        <v>1</v>
      </c>
      <c r="AB9" s="1518">
        <f t="shared" si="4"/>
        <v>1</v>
      </c>
      <c r="AC9" s="1518">
        <f t="shared" si="5"/>
        <v>1</v>
      </c>
    </row>
    <row r="10" spans="1:29" s="1294" customFormat="1" ht="27">
      <c r="A10" s="1333"/>
      <c r="B10" s="1334" t="s">
        <v>1672</v>
      </c>
      <c r="C10" s="1335"/>
      <c r="D10" s="1336">
        <v>100</v>
      </c>
      <c r="E10" s="1622"/>
      <c r="F10" s="1336">
        <f>ROUND(100/'数据-取费表'!G16,0)</f>
        <v>142</v>
      </c>
      <c r="G10" s="1623"/>
      <c r="H10" s="1336">
        <f>ROUND(100/'数据-取费表'!G16,0)</f>
        <v>142</v>
      </c>
      <c r="I10" s="1623"/>
      <c r="J10" s="1336">
        <f>ROUND(100/'数据-取费表'!G16,0)</f>
        <v>142</v>
      </c>
      <c r="K10" s="1467"/>
      <c r="L10" s="1468"/>
      <c r="M10" s="1469"/>
      <c r="N10" s="1469"/>
      <c r="O10" s="1470"/>
      <c r="P10" s="3448"/>
      <c r="Q10" s="794" t="str">
        <f t="shared" si="6"/>
        <v>土地使用年限（年）</v>
      </c>
      <c r="R10" s="1507" t="s">
        <v>1664</v>
      </c>
      <c r="S10" s="1508">
        <f t="shared" si="0"/>
        <v>142</v>
      </c>
      <c r="T10" s="1507" t="s">
        <v>1664</v>
      </c>
      <c r="U10" s="1508">
        <f t="shared" si="1"/>
        <v>142</v>
      </c>
      <c r="V10" s="1507" t="s">
        <v>1664</v>
      </c>
      <c r="W10" s="1508">
        <f t="shared" si="2"/>
        <v>142</v>
      </c>
      <c r="X10" s="1509"/>
      <c r="Y10" s="3342"/>
      <c r="Z10" s="1518" t="str">
        <f t="shared" si="7"/>
        <v>土地使用年限（年）</v>
      </c>
      <c r="AA10" s="1518">
        <f t="shared" si="3"/>
        <v>0.70422535211267601</v>
      </c>
      <c r="AB10" s="1518">
        <f t="shared" si="4"/>
        <v>0.70422535211267601</v>
      </c>
      <c r="AC10" s="1518">
        <f t="shared" si="5"/>
        <v>0.70422535211267601</v>
      </c>
    </row>
    <row r="11" spans="1:29" ht="15">
      <c r="A11" s="1337"/>
      <c r="B11" s="1334" t="s">
        <v>1675</v>
      </c>
      <c r="C11" s="1338"/>
      <c r="D11" s="1336">
        <v>100</v>
      </c>
      <c r="E11" s="1338"/>
      <c r="F11" s="1336" t="e">
        <f>LOOKUP(E11,79:79,80:80)-LOOKUP(C11,79:79,80:80)+100</f>
        <v>#N/A</v>
      </c>
      <c r="G11" s="1339"/>
      <c r="H11" s="1336" t="e">
        <f>LOOKUP(G11,79:79,80:80)-LOOKUP(C11,79:79,80:80)+100</f>
        <v>#N/A</v>
      </c>
      <c r="I11" s="1338"/>
      <c r="J11" s="1336" t="e">
        <f>LOOKUP(I11,79:79,80:80)-LOOKUP(C11,79:79,80:80)+100</f>
        <v>#N/A</v>
      </c>
      <c r="K11" s="1471"/>
      <c r="L11" s="1472"/>
      <c r="M11" s="1409"/>
      <c r="N11" s="1409"/>
      <c r="O11" s="1473"/>
      <c r="P11" s="3448"/>
      <c r="Q11" s="794" t="str">
        <f t="shared" si="6"/>
        <v>容积率</v>
      </c>
      <c r="R11" s="1507" t="s">
        <v>1664</v>
      </c>
      <c r="S11" s="1508" t="e">
        <f t="shared" si="0"/>
        <v>#N/A</v>
      </c>
      <c r="T11" s="1507" t="s">
        <v>1664</v>
      </c>
      <c r="U11" s="1508" t="e">
        <f t="shared" si="1"/>
        <v>#N/A</v>
      </c>
      <c r="V11" s="1507" t="s">
        <v>1664</v>
      </c>
      <c r="W11" s="1508" t="e">
        <f t="shared" si="2"/>
        <v>#N/A</v>
      </c>
      <c r="X11" s="1509"/>
      <c r="Y11" s="3342"/>
      <c r="Z11" s="1518" t="str">
        <f t="shared" si="7"/>
        <v>容积率</v>
      </c>
      <c r="AA11" s="1518" t="e">
        <f t="shared" si="3"/>
        <v>#N/A</v>
      </c>
      <c r="AB11" s="1518" t="e">
        <f t="shared" si="4"/>
        <v>#N/A</v>
      </c>
      <c r="AC11" s="1518" t="e">
        <f t="shared" si="5"/>
        <v>#N/A</v>
      </c>
    </row>
    <row r="12" spans="1:29" s="1293" customFormat="1" ht="15">
      <c r="A12" s="1340"/>
      <c r="B12" s="1341" t="s">
        <v>2260</v>
      </c>
      <c r="C12" s="1335"/>
      <c r="D12" s="1342">
        <v>100</v>
      </c>
      <c r="E12" s="1622"/>
      <c r="F12" s="1336">
        <f>SUMIF(81:81,E12,82:82)-SUMIF(81:81,C12,82:82)+100</f>
        <v>100</v>
      </c>
      <c r="G12" s="1623"/>
      <c r="H12" s="1336">
        <f>SUMIF(81:81,G12,82:82)-SUMIF(81:81,C12,82:82)+100</f>
        <v>100</v>
      </c>
      <c r="I12" s="1622"/>
      <c r="J12" s="1336">
        <f>SUMIF(81:81,I12,82:82)-SUMIF(81:81,C12,82:82)+100</f>
        <v>100</v>
      </c>
      <c r="K12" s="1467"/>
      <c r="L12" s="1463"/>
      <c r="M12" s="1464"/>
      <c r="N12" s="1464"/>
      <c r="O12" s="1466"/>
      <c r="P12" s="3448"/>
      <c r="Q12" s="794" t="str">
        <f t="shared" si="6"/>
        <v>配建</v>
      </c>
      <c r="R12" s="1507" t="s">
        <v>1664</v>
      </c>
      <c r="S12" s="1508">
        <f t="shared" si="0"/>
        <v>100</v>
      </c>
      <c r="T12" s="1507" t="s">
        <v>1664</v>
      </c>
      <c r="U12" s="1508">
        <f t="shared" si="1"/>
        <v>100</v>
      </c>
      <c r="V12" s="1507" t="s">
        <v>1664</v>
      </c>
      <c r="W12" s="1508">
        <f t="shared" si="2"/>
        <v>100</v>
      </c>
      <c r="X12" s="1509"/>
      <c r="Y12" s="3342"/>
      <c r="Z12" s="1518" t="str">
        <f t="shared" si="7"/>
        <v>配建</v>
      </c>
      <c r="AA12" s="1518">
        <f t="shared" si="3"/>
        <v>1</v>
      </c>
      <c r="AB12" s="1518">
        <f t="shared" si="4"/>
        <v>1</v>
      </c>
      <c r="AC12" s="1518">
        <f t="shared" si="5"/>
        <v>1</v>
      </c>
    </row>
    <row r="13" spans="1:29" ht="15">
      <c r="A13" s="1337"/>
      <c r="B13" s="1341">
        <v>111</v>
      </c>
      <c r="C13" s="1345"/>
      <c r="D13" s="759">
        <v>100</v>
      </c>
      <c r="E13" s="1343"/>
      <c r="F13" s="1336">
        <f>SUMIF(83:83,E13,84:84)-SUMIF(83:83,C13,84:84)+100</f>
        <v>100</v>
      </c>
      <c r="G13" s="1344"/>
      <c r="H13" s="759">
        <f>SUMIF(83:83,G13,84:84)-SUMIF(83:83,C13,84:84)+100</f>
        <v>100</v>
      </c>
      <c r="I13" s="1344"/>
      <c r="J13" s="759">
        <f>SUMIF(83:83,I13,84:84)-SUMIF(83:83,C13,84:84)+100</f>
        <v>100</v>
      </c>
      <c r="K13" s="1467"/>
      <c r="L13" s="1474"/>
      <c r="M13" s="1409"/>
      <c r="N13" s="1409"/>
      <c r="O13" s="1473"/>
      <c r="P13" s="3448"/>
      <c r="Q13" s="794">
        <f t="shared" si="6"/>
        <v>111</v>
      </c>
      <c r="R13" s="1507" t="s">
        <v>1664</v>
      </c>
      <c r="S13" s="1508">
        <f t="shared" si="0"/>
        <v>100</v>
      </c>
      <c r="T13" s="1507" t="s">
        <v>1664</v>
      </c>
      <c r="U13" s="1508">
        <f t="shared" si="1"/>
        <v>100</v>
      </c>
      <c r="V13" s="1507" t="s">
        <v>1664</v>
      </c>
      <c r="W13" s="1508">
        <f t="shared" si="2"/>
        <v>100</v>
      </c>
      <c r="X13" s="1509"/>
      <c r="Y13" s="3342"/>
      <c r="Z13" s="1518">
        <f t="shared" si="7"/>
        <v>111</v>
      </c>
      <c r="AA13" s="1518">
        <f t="shared" si="3"/>
        <v>1</v>
      </c>
      <c r="AB13" s="1518">
        <f t="shared" si="4"/>
        <v>1</v>
      </c>
      <c r="AC13" s="1518">
        <f t="shared" si="5"/>
        <v>1</v>
      </c>
    </row>
    <row r="14" spans="1:29" ht="15">
      <c r="A14" s="1346"/>
      <c r="B14" s="1347">
        <v>111</v>
      </c>
      <c r="C14" s="1348"/>
      <c r="D14" s="1349">
        <v>100</v>
      </c>
      <c r="E14" s="1343"/>
      <c r="F14" s="1349">
        <f>SUMIF(85:85,E14,86:86)-SUMIF(85:85,C14,86:86)+100</f>
        <v>100</v>
      </c>
      <c r="G14" s="1344"/>
      <c r="H14" s="1349">
        <f>SUMIF(85:85,G14,86:86)-SUMIF(85:85,C14,86:86)+100</f>
        <v>100</v>
      </c>
      <c r="I14" s="1344"/>
      <c r="J14" s="1349">
        <f>SUMIF(85:85,I14,86:86)-SUMIF(85:85,C14,86:86)+100</f>
        <v>100</v>
      </c>
      <c r="K14" s="1467"/>
      <c r="L14" s="1474"/>
      <c r="M14" s="1409"/>
      <c r="N14" s="1409"/>
      <c r="O14" s="1473"/>
      <c r="P14" s="3448"/>
      <c r="Q14" s="794">
        <f t="shared" si="6"/>
        <v>111</v>
      </c>
      <c r="R14" s="1507" t="s">
        <v>1664</v>
      </c>
      <c r="S14" s="1508">
        <f t="shared" si="0"/>
        <v>100</v>
      </c>
      <c r="T14" s="1507" t="s">
        <v>1664</v>
      </c>
      <c r="U14" s="1508">
        <f t="shared" si="1"/>
        <v>100</v>
      </c>
      <c r="V14" s="1507" t="s">
        <v>1664</v>
      </c>
      <c r="W14" s="1508">
        <f t="shared" si="2"/>
        <v>100</v>
      </c>
      <c r="X14" s="1509"/>
      <c r="Y14" s="3342"/>
      <c r="Z14" s="1518">
        <f t="shared" si="7"/>
        <v>111</v>
      </c>
      <c r="AA14" s="1518">
        <f t="shared" si="3"/>
        <v>1</v>
      </c>
      <c r="AB14" s="1518">
        <f t="shared" si="4"/>
        <v>1</v>
      </c>
      <c r="AC14" s="1518">
        <f t="shared" si="5"/>
        <v>1</v>
      </c>
    </row>
    <row r="15" spans="1:29" ht="15">
      <c r="A15" s="1350" t="s">
        <v>1676</v>
      </c>
      <c r="B15" s="1624" t="s">
        <v>2203</v>
      </c>
      <c r="C15" s="1625">
        <f>估价对象房地状况!C15</f>
        <v>0</v>
      </c>
      <c r="D15" s="1353">
        <v>100</v>
      </c>
      <c r="E15" s="1354"/>
      <c r="F15" s="1353">
        <f>SUMIF(87:87,E16,88:88)-SUMIF(87:87,C16,88:88)+100</f>
        <v>100</v>
      </c>
      <c r="G15" s="1354"/>
      <c r="H15" s="1353">
        <f>SUMIF(87:87,G16,88:88)-SUMIF(87:87,C16,88:88)+100</f>
        <v>100</v>
      </c>
      <c r="I15" s="1475"/>
      <c r="J15" s="1353">
        <f>SUMIF(87:87,I16,88:88)-SUMIF(87:87,C16,88:88)+100</f>
        <v>100</v>
      </c>
      <c r="K15" s="1471"/>
      <c r="L15" s="1474"/>
      <c r="M15" s="1409"/>
      <c r="N15" s="1409"/>
      <c r="O15" s="1473"/>
      <c r="P15" s="3460" t="s">
        <v>1678</v>
      </c>
      <c r="Q15" s="625" t="str">
        <f t="shared" si="6"/>
        <v>居住社区成熟度</v>
      </c>
      <c r="R15" s="1511" t="s">
        <v>1664</v>
      </c>
      <c r="S15" s="1512">
        <f t="shared" si="0"/>
        <v>100</v>
      </c>
      <c r="T15" s="1511" t="s">
        <v>1664</v>
      </c>
      <c r="U15" s="1512">
        <f t="shared" si="1"/>
        <v>100</v>
      </c>
      <c r="V15" s="1511" t="s">
        <v>1664</v>
      </c>
      <c r="W15" s="1512">
        <f t="shared" si="2"/>
        <v>100</v>
      </c>
      <c r="X15" s="1506"/>
      <c r="Y15" s="3460" t="s">
        <v>1678</v>
      </c>
      <c r="Z15" s="1495" t="str">
        <f t="shared" si="7"/>
        <v>居住社区成熟度</v>
      </c>
      <c r="AA15" s="1495">
        <f t="shared" si="3"/>
        <v>1</v>
      </c>
      <c r="AB15" s="1495">
        <f t="shared" si="4"/>
        <v>1</v>
      </c>
      <c r="AC15" s="1495">
        <f t="shared" si="5"/>
        <v>1</v>
      </c>
    </row>
    <row r="16" spans="1:29" ht="15">
      <c r="A16" s="1337"/>
      <c r="B16" s="1448"/>
      <c r="C16" s="1356"/>
      <c r="D16" s="1357"/>
      <c r="E16" s="1365"/>
      <c r="F16" s="1357"/>
      <c r="G16" s="1365"/>
      <c r="H16" s="1359"/>
      <c r="I16" s="1478"/>
      <c r="J16" s="1357"/>
      <c r="K16" s="1467"/>
      <c r="L16" s="1474"/>
      <c r="M16" s="1409"/>
      <c r="N16" s="1409"/>
      <c r="O16" s="1473"/>
      <c r="P16" s="3461"/>
      <c r="Q16" s="625"/>
      <c r="R16" s="1511"/>
      <c r="S16" s="1512"/>
      <c r="T16" s="1511"/>
      <c r="U16" s="1512"/>
      <c r="V16" s="1511"/>
      <c r="W16" s="1512"/>
      <c r="X16" s="1506"/>
      <c r="Y16" s="3461"/>
      <c r="Z16" s="1495"/>
      <c r="AA16" s="1495">
        <v>1</v>
      </c>
      <c r="AB16" s="1495">
        <v>1</v>
      </c>
      <c r="AC16" s="1495">
        <v>1</v>
      </c>
    </row>
    <row r="17" spans="1:29" ht="15">
      <c r="A17" s="1337"/>
      <c r="B17" s="1626" t="s">
        <v>2230</v>
      </c>
      <c r="C17" s="623">
        <f>估价对象房地状况!C16</f>
        <v>0</v>
      </c>
      <c r="D17" s="1359">
        <v>100</v>
      </c>
      <c r="E17" s="1362"/>
      <c r="F17" s="1359">
        <f>SUMIF(89:89,E18,90:90)-SUMIF(89:89,C18,90:90)+100</f>
        <v>100</v>
      </c>
      <c r="G17" s="1362"/>
      <c r="H17" s="1363">
        <f>SUMIF(89:89,G18,90:90)-SUMIF(89:89,C18,90:90)+100</f>
        <v>100</v>
      </c>
      <c r="I17" s="1477"/>
      <c r="J17" s="1363">
        <f>SUMIF(89:89,I18,90:90)-SUMIF(89:89,C18,90:90)+100</f>
        <v>100</v>
      </c>
      <c r="K17" s="1471"/>
      <c r="L17" s="1474"/>
      <c r="M17" s="1409"/>
      <c r="N17" s="1409"/>
      <c r="O17" s="1473"/>
      <c r="P17" s="3461"/>
      <c r="Q17" s="625" t="str">
        <f>B17</f>
        <v>商业繁华度</v>
      </c>
      <c r="R17" s="1511" t="s">
        <v>1664</v>
      </c>
      <c r="S17" s="1512">
        <f>F17</f>
        <v>100</v>
      </c>
      <c r="T17" s="1511" t="s">
        <v>1664</v>
      </c>
      <c r="U17" s="1512">
        <f>H17</f>
        <v>100</v>
      </c>
      <c r="V17" s="1511" t="s">
        <v>1664</v>
      </c>
      <c r="W17" s="1512">
        <f>J17</f>
        <v>100</v>
      </c>
      <c r="X17" s="1506"/>
      <c r="Y17" s="3461"/>
      <c r="Z17" s="1495" t="str">
        <f>Q17</f>
        <v>商业繁华度</v>
      </c>
      <c r="AA17" s="1495">
        <f t="shared" si="3"/>
        <v>1</v>
      </c>
      <c r="AB17" s="1495">
        <f t="shared" si="4"/>
        <v>1</v>
      </c>
      <c r="AC17" s="1495">
        <f t="shared" si="5"/>
        <v>1</v>
      </c>
    </row>
    <row r="18" spans="1:29" ht="15">
      <c r="A18" s="1337"/>
      <c r="B18" s="1383"/>
      <c r="C18" s="1627"/>
      <c r="D18" s="1359"/>
      <c r="E18" s="1628"/>
      <c r="F18" s="1359"/>
      <c r="G18" s="1628"/>
      <c r="H18" s="1357"/>
      <c r="I18" s="1635"/>
      <c r="J18" s="1357"/>
      <c r="K18" s="1467"/>
      <c r="L18" s="1474"/>
      <c r="M18" s="1409"/>
      <c r="N18" s="1409"/>
      <c r="O18" s="1473"/>
      <c r="P18" s="3461"/>
      <c r="Q18" s="625"/>
      <c r="R18" s="1511"/>
      <c r="S18" s="1512"/>
      <c r="T18" s="1511"/>
      <c r="U18" s="1512"/>
      <c r="V18" s="1511"/>
      <c r="W18" s="1512"/>
      <c r="X18" s="1506"/>
      <c r="Y18" s="3461"/>
      <c r="Z18" s="1495"/>
      <c r="AA18" s="1495">
        <v>1</v>
      </c>
      <c r="AB18" s="1495">
        <v>1</v>
      </c>
      <c r="AC18" s="1495">
        <v>1</v>
      </c>
    </row>
    <row r="19" spans="1:29" ht="15">
      <c r="A19" s="1337"/>
      <c r="B19" s="1626" t="s">
        <v>1677</v>
      </c>
      <c r="C19" s="623">
        <f>估价对象房地状况!C17</f>
        <v>0</v>
      </c>
      <c r="D19" s="1363">
        <v>100</v>
      </c>
      <c r="E19" s="1629"/>
      <c r="F19" s="1363">
        <f>SUMIF(91:91,E20,92:92)-SUMIF(91:91,C20,92:92)+100</f>
        <v>100</v>
      </c>
      <c r="G19" s="1629"/>
      <c r="H19" s="1359">
        <f>SUMIF(91:91,G20,92:92)-SUMIF(91:91,C20,92:92)+100</f>
        <v>100</v>
      </c>
      <c r="I19" s="1636"/>
      <c r="J19" s="1359">
        <f>SUMIF(91:91,I20,92:92)-SUMIF(91:91,C20,92:92)+100</f>
        <v>100</v>
      </c>
      <c r="K19" s="1471"/>
      <c r="L19" s="1474"/>
      <c r="M19" s="1409"/>
      <c r="N19" s="1409"/>
      <c r="O19" s="1473"/>
      <c r="P19" s="3461"/>
      <c r="Q19" s="625" t="str">
        <f>B19</f>
        <v>办公集聚程度</v>
      </c>
      <c r="R19" s="1511" t="s">
        <v>1664</v>
      </c>
      <c r="S19" s="1512">
        <f>F19</f>
        <v>100</v>
      </c>
      <c r="T19" s="1511" t="s">
        <v>1664</v>
      </c>
      <c r="U19" s="1512">
        <f>H19</f>
        <v>100</v>
      </c>
      <c r="V19" s="1511" t="s">
        <v>1664</v>
      </c>
      <c r="W19" s="1512">
        <f>J19</f>
        <v>100</v>
      </c>
      <c r="X19" s="1506"/>
      <c r="Y19" s="3461"/>
      <c r="Z19" s="1495" t="str">
        <f>Q19</f>
        <v>办公集聚程度</v>
      </c>
      <c r="AA19" s="1495">
        <f t="shared" si="3"/>
        <v>1</v>
      </c>
      <c r="AB19" s="1495">
        <f t="shared" si="4"/>
        <v>1</v>
      </c>
      <c r="AC19" s="1495">
        <f t="shared" si="5"/>
        <v>1</v>
      </c>
    </row>
    <row r="20" spans="1:29" ht="15">
      <c r="A20" s="1337"/>
      <c r="B20" s="1383"/>
      <c r="C20" s="1356"/>
      <c r="D20" s="1357"/>
      <c r="E20" s="1365"/>
      <c r="F20" s="1357"/>
      <c r="G20" s="1365"/>
      <c r="H20" s="1357"/>
      <c r="I20" s="1478"/>
      <c r="J20" s="1357"/>
      <c r="K20" s="1467"/>
      <c r="L20" s="1474"/>
      <c r="M20" s="1409"/>
      <c r="N20" s="1409"/>
      <c r="O20" s="1473"/>
      <c r="P20" s="3461"/>
      <c r="Q20" s="625"/>
      <c r="R20" s="1511"/>
      <c r="S20" s="1512"/>
      <c r="T20" s="1511"/>
      <c r="U20" s="1512"/>
      <c r="V20" s="1511"/>
      <c r="W20" s="1512"/>
      <c r="X20" s="1506"/>
      <c r="Y20" s="3461"/>
      <c r="Z20" s="1495"/>
      <c r="AA20" s="1495">
        <v>1</v>
      </c>
      <c r="AB20" s="1495">
        <v>1</v>
      </c>
      <c r="AC20" s="1495">
        <v>1</v>
      </c>
    </row>
    <row r="21" spans="1:29" ht="15">
      <c r="A21" s="1337"/>
      <c r="B21" s="1626" t="s">
        <v>1682</v>
      </c>
      <c r="C21" s="1361">
        <f>估价对象房地状况!C18</f>
        <v>0</v>
      </c>
      <c r="D21" s="1359">
        <v>100</v>
      </c>
      <c r="E21" s="1362"/>
      <c r="F21" s="1363">
        <f>SUMIF(93:93,E22,94:94)-SUMIF(93:93,C22,94:94)+100</f>
        <v>100</v>
      </c>
      <c r="G21" s="1362"/>
      <c r="H21" s="1359">
        <f>SUMIF(93:93,G22,94:94)-SUMIF(93:93,C22,94:94)+100</f>
        <v>100</v>
      </c>
      <c r="I21" s="1477"/>
      <c r="J21" s="1359">
        <f>SUMIF(93:93,I22,94:94)-SUMIF(93:93,C22,94:94)+100</f>
        <v>100</v>
      </c>
      <c r="K21" s="1471"/>
      <c r="L21" s="1474"/>
      <c r="M21" s="1409"/>
      <c r="N21" s="1409"/>
      <c r="O21" s="1473"/>
      <c r="P21" s="3461"/>
      <c r="Q21" s="625" t="str">
        <f>B21</f>
        <v>交通便捷度</v>
      </c>
      <c r="R21" s="1511" t="s">
        <v>1664</v>
      </c>
      <c r="S21" s="1512">
        <f>F21</f>
        <v>100</v>
      </c>
      <c r="T21" s="1511" t="s">
        <v>1664</v>
      </c>
      <c r="U21" s="1512">
        <f>H21</f>
        <v>100</v>
      </c>
      <c r="V21" s="1511" t="s">
        <v>1664</v>
      </c>
      <c r="W21" s="1512">
        <f>J21</f>
        <v>100</v>
      </c>
      <c r="X21" s="1506"/>
      <c r="Y21" s="3461"/>
      <c r="Z21" s="1495" t="str">
        <f>Q21</f>
        <v>交通便捷度</v>
      </c>
      <c r="AA21" s="1495">
        <f t="shared" si="3"/>
        <v>1</v>
      </c>
      <c r="AB21" s="1495">
        <f t="shared" si="4"/>
        <v>1</v>
      </c>
      <c r="AC21" s="1495">
        <f t="shared" si="5"/>
        <v>1</v>
      </c>
    </row>
    <row r="22" spans="1:29" ht="15">
      <c r="A22" s="1337"/>
      <c r="B22" s="1630"/>
      <c r="C22" s="1356"/>
      <c r="D22" s="1359"/>
      <c r="E22" s="1365"/>
      <c r="F22" s="1357"/>
      <c r="G22" s="1365"/>
      <c r="H22" s="1357"/>
      <c r="I22" s="1478"/>
      <c r="J22" s="1357"/>
      <c r="K22" s="1467"/>
      <c r="L22" s="1474"/>
      <c r="M22" s="1409"/>
      <c r="N22" s="1409"/>
      <c r="O22" s="1473"/>
      <c r="P22" s="3461"/>
      <c r="Q22" s="625"/>
      <c r="R22" s="1511"/>
      <c r="S22" s="1512"/>
      <c r="T22" s="1511"/>
      <c r="U22" s="1512"/>
      <c r="V22" s="1511"/>
      <c r="W22" s="1512"/>
      <c r="X22" s="1506"/>
      <c r="Y22" s="3461"/>
      <c r="Z22" s="1495"/>
      <c r="AA22" s="1495">
        <v>1</v>
      </c>
      <c r="AB22" s="1495">
        <v>1</v>
      </c>
      <c r="AC22" s="1495">
        <v>1</v>
      </c>
    </row>
    <row r="23" spans="1:29" ht="15">
      <c r="A23" s="1316"/>
      <c r="B23" s="1626" t="s">
        <v>2261</v>
      </c>
      <c r="C23" s="1373">
        <f>估价对象房地状况!C19</f>
        <v>0</v>
      </c>
      <c r="D23" s="1363">
        <v>100</v>
      </c>
      <c r="E23" s="1362"/>
      <c r="F23" s="1363">
        <f>SUMIF(95:95,E24,96:96)-SUMIF(95:95,C24,96:96)+100</f>
        <v>100</v>
      </c>
      <c r="G23" s="1477"/>
      <c r="H23" s="1363">
        <f>SUMIF(95:95,G24,96:96)-SUMIF(95:95,C24,96:96)+100</f>
        <v>100</v>
      </c>
      <c r="I23" s="1477"/>
      <c r="J23" s="1363">
        <f>SUMIF(95:95,I24,96:96)-SUMIF(95:95,C24,96:96)+100</f>
        <v>100</v>
      </c>
      <c r="K23" s="1471"/>
      <c r="L23" s="1474"/>
      <c r="M23" s="1409"/>
      <c r="N23" s="1409"/>
      <c r="O23" s="1473"/>
      <c r="P23" s="3461"/>
      <c r="Q23" s="625" t="str">
        <f t="shared" ref="Q23:Q38" si="8">B23</f>
        <v>区域土地利用方向</v>
      </c>
      <c r="R23" s="1511" t="s">
        <v>1664</v>
      </c>
      <c r="S23" s="1512">
        <f>F23</f>
        <v>100</v>
      </c>
      <c r="T23" s="1511" t="s">
        <v>1664</v>
      </c>
      <c r="U23" s="1512">
        <f>H23</f>
        <v>100</v>
      </c>
      <c r="V23" s="1511" t="s">
        <v>1664</v>
      </c>
      <c r="W23" s="1512">
        <f>J23</f>
        <v>100</v>
      </c>
      <c r="X23" s="1506"/>
      <c r="Y23" s="3461"/>
      <c r="Z23" s="1495" t="str">
        <f>Q23</f>
        <v>区域土地利用方向</v>
      </c>
      <c r="AA23" s="1495">
        <f t="shared" si="3"/>
        <v>1</v>
      </c>
      <c r="AB23" s="1495">
        <f t="shared" si="4"/>
        <v>1</v>
      </c>
      <c r="AC23" s="1495">
        <f t="shared" si="5"/>
        <v>1</v>
      </c>
    </row>
    <row r="24" spans="1:29" ht="15">
      <c r="A24" s="1316"/>
      <c r="B24" s="1383"/>
      <c r="C24" s="1370"/>
      <c r="D24" s="1357"/>
      <c r="E24" s="1365"/>
      <c r="F24" s="1357"/>
      <c r="G24" s="1478"/>
      <c r="H24" s="1357"/>
      <c r="I24" s="1478"/>
      <c r="J24" s="1357"/>
      <c r="K24" s="1479"/>
      <c r="L24" s="1474"/>
      <c r="M24" s="1409"/>
      <c r="N24" s="1409"/>
      <c r="O24" s="1473"/>
      <c r="P24" s="3461"/>
      <c r="Q24" s="625"/>
      <c r="R24" s="1511"/>
      <c r="S24" s="1512"/>
      <c r="T24" s="1511"/>
      <c r="U24" s="1512"/>
      <c r="V24" s="1511"/>
      <c r="W24" s="1512"/>
      <c r="X24" s="1506"/>
      <c r="Y24" s="3461"/>
      <c r="Z24" s="1495"/>
      <c r="AA24" s="1495"/>
      <c r="AB24" s="1495"/>
      <c r="AC24" s="1495"/>
    </row>
    <row r="25" spans="1:29" ht="27">
      <c r="A25" s="1316"/>
      <c r="B25" s="1630" t="s">
        <v>2262</v>
      </c>
      <c r="C25" s="623">
        <f>估价对象房地状况!C20</f>
        <v>0</v>
      </c>
      <c r="D25" s="1359">
        <v>100</v>
      </c>
      <c r="E25" s="1362"/>
      <c r="F25" s="1359">
        <f>SUMIF(97:97,E26,98:98)-SUMIF(97:97,C26,98:98)+100</f>
        <v>100</v>
      </c>
      <c r="G25" s="1362"/>
      <c r="H25" s="1359">
        <f>SUMIF(97:97,G26,98:98)-SUMIF(97:97,C26,98:98)+100</f>
        <v>100</v>
      </c>
      <c r="I25" s="1477"/>
      <c r="J25" s="1359">
        <f>SUMIF(97:97,I26,98:98)-SUMIF(97:97,C26,98:98)+100</f>
        <v>100</v>
      </c>
      <c r="K25" s="1471"/>
      <c r="L25" s="1474"/>
      <c r="M25" s="1409"/>
      <c r="N25" s="1409"/>
      <c r="O25" s="1473"/>
      <c r="P25" s="3461"/>
      <c r="Q25" s="625" t="str">
        <f t="shared" si="8"/>
        <v>自然及人文环境状况</v>
      </c>
      <c r="R25" s="1511" t="s">
        <v>1664</v>
      </c>
      <c r="S25" s="1512">
        <f>F25</f>
        <v>100</v>
      </c>
      <c r="T25" s="1511" t="s">
        <v>1664</v>
      </c>
      <c r="U25" s="1512">
        <f>H25</f>
        <v>100</v>
      </c>
      <c r="V25" s="1511" t="s">
        <v>1664</v>
      </c>
      <c r="W25" s="1512">
        <f>J25</f>
        <v>100</v>
      </c>
      <c r="X25" s="1506"/>
      <c r="Y25" s="3461"/>
      <c r="Z25" s="1495" t="str">
        <f>Q25</f>
        <v>自然及人文环境状况</v>
      </c>
      <c r="AA25" s="1495">
        <f t="shared" si="3"/>
        <v>1</v>
      </c>
      <c r="AB25" s="1495">
        <f t="shared" si="4"/>
        <v>1</v>
      </c>
      <c r="AC25" s="1495">
        <f t="shared" si="5"/>
        <v>1</v>
      </c>
    </row>
    <row r="26" spans="1:29" ht="15">
      <c r="A26" s="1316"/>
      <c r="B26" s="1383"/>
      <c r="C26" s="1356"/>
      <c r="D26" s="1357"/>
      <c r="E26" s="1358"/>
      <c r="F26" s="1357"/>
      <c r="G26" s="1358"/>
      <c r="H26" s="1357"/>
      <c r="I26" s="1356"/>
      <c r="J26" s="1357"/>
      <c r="K26" s="1467"/>
      <c r="L26" s="1474"/>
      <c r="M26" s="1409"/>
      <c r="N26" s="1409"/>
      <c r="O26" s="1473"/>
      <c r="P26" s="3461"/>
      <c r="Q26" s="625"/>
      <c r="R26" s="1511"/>
      <c r="S26" s="1512"/>
      <c r="T26" s="1511"/>
      <c r="U26" s="1512"/>
      <c r="V26" s="1511"/>
      <c r="W26" s="1512"/>
      <c r="X26" s="1506"/>
      <c r="Y26" s="3461"/>
      <c r="Z26" s="1495"/>
      <c r="AA26" s="1495">
        <v>1</v>
      </c>
      <c r="AB26" s="1495">
        <v>1</v>
      </c>
      <c r="AC26" s="1495">
        <v>1</v>
      </c>
    </row>
    <row r="27" spans="1:29" s="1293" customFormat="1" ht="15">
      <c r="A27" s="1366"/>
      <c r="B27" s="1630" t="s">
        <v>1683</v>
      </c>
      <c r="C27" s="1361">
        <f>估价对象房地状况!C21</f>
        <v>0</v>
      </c>
      <c r="D27" s="1359">
        <v>100</v>
      </c>
      <c r="E27" s="1362"/>
      <c r="F27" s="1359">
        <f>SUMIF(99:99,E28,100:100)-SUMIF(99:99,C28,100:100)+100</f>
        <v>100</v>
      </c>
      <c r="G27" s="1362"/>
      <c r="H27" s="1359">
        <f>SUMIF(99:99,G28,100:100)-SUMIF(99:99,C28,100:100)+100</f>
        <v>100</v>
      </c>
      <c r="I27" s="1477"/>
      <c r="J27" s="1359">
        <f>SUMIF(99:99,I28,100:100)-SUMIF(99:99,C28,100:100)+100</f>
        <v>100</v>
      </c>
      <c r="K27" s="1471"/>
      <c r="L27" s="1463"/>
      <c r="M27" s="1464"/>
      <c r="N27" s="1464"/>
      <c r="O27" s="1466"/>
      <c r="P27" s="3461"/>
      <c r="Q27" s="794" t="str">
        <f t="shared" si="8"/>
        <v>公共配套设施</v>
      </c>
      <c r="R27" s="1507" t="s">
        <v>1664</v>
      </c>
      <c r="S27" s="1508">
        <f>F27</f>
        <v>100</v>
      </c>
      <c r="T27" s="1507" t="s">
        <v>1664</v>
      </c>
      <c r="U27" s="1508">
        <f>H27</f>
        <v>100</v>
      </c>
      <c r="V27" s="1507" t="s">
        <v>1664</v>
      </c>
      <c r="W27" s="1508">
        <f>J27</f>
        <v>100</v>
      </c>
      <c r="X27" s="1509"/>
      <c r="Y27" s="3461"/>
      <c r="Z27" s="1518" t="str">
        <f>Q27</f>
        <v>公共配套设施</v>
      </c>
      <c r="AA27" s="1495">
        <f>D27/F27</f>
        <v>1</v>
      </c>
      <c r="AB27" s="1495">
        <f>D27/H27</f>
        <v>1</v>
      </c>
      <c r="AC27" s="1495">
        <f>D27/J27</f>
        <v>1</v>
      </c>
    </row>
    <row r="28" spans="1:29" s="1293" customFormat="1" ht="15">
      <c r="A28" s="1366"/>
      <c r="B28" s="1383"/>
      <c r="C28" s="1368"/>
      <c r="D28" s="1357"/>
      <c r="E28" s="1358"/>
      <c r="F28" s="1357"/>
      <c r="G28" s="1358"/>
      <c r="H28" s="1357"/>
      <c r="I28" s="1356"/>
      <c r="J28" s="1357"/>
      <c r="K28" s="1467"/>
      <c r="L28" s="1463"/>
      <c r="M28" s="1464"/>
      <c r="N28" s="1464"/>
      <c r="O28" s="1466"/>
      <c r="P28" s="3461"/>
      <c r="Q28" s="794"/>
      <c r="R28" s="1507"/>
      <c r="S28" s="1508"/>
      <c r="T28" s="1507"/>
      <c r="U28" s="1508"/>
      <c r="V28" s="1507"/>
      <c r="W28" s="1508"/>
      <c r="X28" s="1509"/>
      <c r="Y28" s="3461"/>
      <c r="Z28" s="1518"/>
      <c r="AA28" s="1495">
        <v>1</v>
      </c>
      <c r="AB28" s="1495">
        <v>1</v>
      </c>
      <c r="AC28" s="1495">
        <v>1</v>
      </c>
    </row>
    <row r="29" spans="1:29" s="1293" customFormat="1" ht="15">
      <c r="A29" s="1366"/>
      <c r="B29" s="1630" t="s">
        <v>1684</v>
      </c>
      <c r="C29" s="1361">
        <f>估价对象房地状况!C22</f>
        <v>0</v>
      </c>
      <c r="D29" s="1359">
        <v>100</v>
      </c>
      <c r="E29" s="1362"/>
      <c r="F29" s="1359">
        <f>SUMIF(101:101,E30,102:102)-SUMIF(101:101,C30,102:102)+100</f>
        <v>100</v>
      </c>
      <c r="G29" s="1362"/>
      <c r="H29" s="1359">
        <f>SUMIF(101:101,G30,102:102)-SUMIF(101:101,C30,102:102)+100</f>
        <v>100</v>
      </c>
      <c r="I29" s="1477"/>
      <c r="J29" s="1359">
        <f>SUMIF(101:101,I30,102:102)-SUMIF(101:101,C30,102:102)+100</f>
        <v>100</v>
      </c>
      <c r="K29" s="1471"/>
      <c r="L29" s="1463"/>
      <c r="M29" s="1464"/>
      <c r="N29" s="1464"/>
      <c r="O29" s="1466"/>
      <c r="P29" s="3461"/>
      <c r="Q29" s="794" t="str">
        <f t="shared" ref="Q29" si="9">B29</f>
        <v>基础设施水平</v>
      </c>
      <c r="R29" s="1507" t="s">
        <v>1664</v>
      </c>
      <c r="S29" s="1508">
        <f>F29</f>
        <v>100</v>
      </c>
      <c r="T29" s="1507" t="s">
        <v>1664</v>
      </c>
      <c r="U29" s="1508">
        <f>H29</f>
        <v>100</v>
      </c>
      <c r="V29" s="1507" t="s">
        <v>1664</v>
      </c>
      <c r="W29" s="1508">
        <f>J29</f>
        <v>100</v>
      </c>
      <c r="X29" s="1509"/>
      <c r="Y29" s="3461"/>
      <c r="Z29" s="1518" t="str">
        <f>Q29</f>
        <v>基础设施水平</v>
      </c>
      <c r="AA29" s="1495">
        <f>D29/F29</f>
        <v>1</v>
      </c>
      <c r="AB29" s="1495">
        <f>D29/H29</f>
        <v>1</v>
      </c>
      <c r="AC29" s="1495">
        <f>D29/J29</f>
        <v>1</v>
      </c>
    </row>
    <row r="30" spans="1:29" s="1293" customFormat="1" ht="15">
      <c r="A30" s="1366"/>
      <c r="B30" s="1383"/>
      <c r="C30" s="1368"/>
      <c r="D30" s="1357"/>
      <c r="E30" s="1369"/>
      <c r="F30" s="1357"/>
      <c r="G30" s="1369"/>
      <c r="H30" s="1357"/>
      <c r="I30" s="1369"/>
      <c r="J30" s="1357"/>
      <c r="K30" s="1467"/>
      <c r="L30" s="1463"/>
      <c r="M30" s="1464"/>
      <c r="N30" s="1464"/>
      <c r="O30" s="1466"/>
      <c r="P30" s="3461"/>
      <c r="Q30" s="794"/>
      <c r="R30" s="1507"/>
      <c r="S30" s="1508"/>
      <c r="T30" s="1507"/>
      <c r="U30" s="1508"/>
      <c r="V30" s="1507"/>
      <c r="W30" s="1508"/>
      <c r="X30" s="1509"/>
      <c r="Y30" s="3461"/>
      <c r="Z30" s="1518"/>
      <c r="AA30" s="1495">
        <v>1</v>
      </c>
      <c r="AB30" s="1495">
        <v>1</v>
      </c>
      <c r="AC30" s="1495">
        <v>1</v>
      </c>
    </row>
    <row r="31" spans="1:29" ht="15">
      <c r="A31" s="1337"/>
      <c r="B31" s="1383" t="s">
        <v>2231</v>
      </c>
      <c r="C31" s="1370"/>
      <c r="D31" s="759">
        <v>100</v>
      </c>
      <c r="E31" s="1371"/>
      <c r="F31" s="759">
        <f>SUMIF(103:103,E31,104:104)-SUMIF(103:103,C31,104:104)+100</f>
        <v>100</v>
      </c>
      <c r="G31" s="1371"/>
      <c r="H31" s="759">
        <f>SUMIF(103:103,G31,104:104)-SUMIF(103:103,C31,104:104)+100</f>
        <v>100</v>
      </c>
      <c r="I31" s="1371"/>
      <c r="J31" s="759">
        <f>SUMIF(103:103,I31,104:104)-SUMIF(103:103,C31,104:104)+100</f>
        <v>100</v>
      </c>
      <c r="K31" s="1471"/>
      <c r="L31" s="1474"/>
      <c r="M31" s="1409"/>
      <c r="N31" s="1409"/>
      <c r="O31" s="1473"/>
      <c r="P31" s="3461"/>
      <c r="Q31" s="625" t="str">
        <f t="shared" si="8"/>
        <v>临街状况</v>
      </c>
      <c r="R31" s="1511" t="s">
        <v>1664</v>
      </c>
      <c r="S31" s="1512">
        <f t="shared" ref="S31:S45" si="10">F31</f>
        <v>100</v>
      </c>
      <c r="T31" s="1511" t="s">
        <v>1664</v>
      </c>
      <c r="U31" s="1512">
        <f t="shared" ref="U31:U45" si="11">H31</f>
        <v>100</v>
      </c>
      <c r="V31" s="1511" t="s">
        <v>1664</v>
      </c>
      <c r="W31" s="1512">
        <f t="shared" ref="W31:W45" si="12">J31</f>
        <v>100</v>
      </c>
      <c r="X31" s="1506"/>
      <c r="Y31" s="3461"/>
      <c r="Z31" s="1495" t="str">
        <f t="shared" ref="Z31:Z45" si="13">Q31</f>
        <v>临街状况</v>
      </c>
      <c r="AA31" s="1495">
        <f t="shared" si="3"/>
        <v>1</v>
      </c>
      <c r="AB31" s="1495">
        <f t="shared" si="4"/>
        <v>1</v>
      </c>
      <c r="AC31" s="1495">
        <f t="shared" si="5"/>
        <v>1</v>
      </c>
    </row>
    <row r="32" spans="1:29" ht="27">
      <c r="A32" s="1337"/>
      <c r="B32" s="1630" t="s">
        <v>1686</v>
      </c>
      <c r="C32" s="1477"/>
      <c r="D32" s="1359">
        <v>100</v>
      </c>
      <c r="E32" s="1362"/>
      <c r="F32" s="1359">
        <f>SUMIF(105:105,E33,106:106)-SUMIF(105:105,C33,106:106)+100</f>
        <v>100</v>
      </c>
      <c r="G32" s="1362"/>
      <c r="H32" s="1359">
        <f>SUMIF(105:105,G33,106:106)-SUMIF(105:105,C33,106:106)+100</f>
        <v>100</v>
      </c>
      <c r="I32" s="1477"/>
      <c r="J32" s="1359">
        <f>SUMIF(105:105,I33,106:106)-SUMIF(105:105,C33,106:106)+100</f>
        <v>100</v>
      </c>
      <c r="K32" s="1471"/>
      <c r="L32" s="1474"/>
      <c r="M32" s="1409"/>
      <c r="N32" s="1409"/>
      <c r="O32" s="1473"/>
      <c r="P32" s="3461"/>
      <c r="Q32" s="625" t="str">
        <f t="shared" si="8"/>
        <v>毗邻道路的类型与等级</v>
      </c>
      <c r="R32" s="1511" t="s">
        <v>1664</v>
      </c>
      <c r="S32" s="1512">
        <f t="shared" si="10"/>
        <v>100</v>
      </c>
      <c r="T32" s="1511" t="s">
        <v>1664</v>
      </c>
      <c r="U32" s="1512">
        <f t="shared" si="11"/>
        <v>100</v>
      </c>
      <c r="V32" s="1511" t="s">
        <v>1664</v>
      </c>
      <c r="W32" s="1512">
        <f t="shared" si="12"/>
        <v>100</v>
      </c>
      <c r="X32" s="1506"/>
      <c r="Y32" s="3461"/>
      <c r="Z32" s="1495" t="str">
        <f t="shared" si="13"/>
        <v>毗邻道路的类型与等级</v>
      </c>
      <c r="AA32" s="1495">
        <f t="shared" si="3"/>
        <v>1</v>
      </c>
      <c r="AB32" s="1495">
        <f t="shared" si="4"/>
        <v>1</v>
      </c>
      <c r="AC32" s="1495">
        <f t="shared" si="5"/>
        <v>1</v>
      </c>
    </row>
    <row r="33" spans="1:29" ht="15">
      <c r="A33" s="1337"/>
      <c r="B33" s="1383"/>
      <c r="C33" s="1356"/>
      <c r="D33" s="1357"/>
      <c r="E33" s="1358"/>
      <c r="F33" s="1357"/>
      <c r="G33" s="1358"/>
      <c r="H33" s="1357"/>
      <c r="I33" s="1356"/>
      <c r="J33" s="1357"/>
      <c r="K33" s="1480"/>
      <c r="L33" s="1474"/>
      <c r="M33" s="1409"/>
      <c r="N33" s="1409"/>
      <c r="O33" s="1473"/>
      <c r="P33" s="3461"/>
      <c r="Q33" s="625"/>
      <c r="R33" s="1511"/>
      <c r="S33" s="1512"/>
      <c r="T33" s="1511"/>
      <c r="U33" s="1512"/>
      <c r="V33" s="1511"/>
      <c r="W33" s="1512"/>
      <c r="X33" s="1506"/>
      <c r="Y33" s="3461"/>
      <c r="Z33" s="1495"/>
      <c r="AA33" s="1495">
        <v>1</v>
      </c>
      <c r="AB33" s="1495">
        <v>1</v>
      </c>
      <c r="AC33" s="1495">
        <v>1</v>
      </c>
    </row>
    <row r="34" spans="1:29" ht="15">
      <c r="A34" s="1337"/>
      <c r="B34" s="1334" t="s">
        <v>2263</v>
      </c>
      <c r="C34" s="1370"/>
      <c r="D34" s="759">
        <v>100</v>
      </c>
      <c r="E34" s="1371"/>
      <c r="F34" s="759">
        <f>SUMIF(107:107,E34,108:108)-SUMIF(107:107,C34,108:108)+100</f>
        <v>100</v>
      </c>
      <c r="G34" s="1371"/>
      <c r="H34" s="759">
        <f>SUMIF(107:107,G34,108:108)-SUMIF(107:107,C34,108:108)+100</f>
        <v>100</v>
      </c>
      <c r="I34" s="1370"/>
      <c r="J34" s="759">
        <f>SUMIF(107:107,I34,108:108)-SUMIF(107:107,C34,108:108)+100</f>
        <v>100</v>
      </c>
      <c r="K34" s="1481"/>
      <c r="L34" s="1474"/>
      <c r="M34" s="1409"/>
      <c r="N34" s="1409"/>
      <c r="O34" s="1473"/>
      <c r="P34" s="3461"/>
      <c r="Q34" s="625" t="str">
        <f t="shared" si="8"/>
        <v>土地级别</v>
      </c>
      <c r="R34" s="1511" t="s">
        <v>1664</v>
      </c>
      <c r="S34" s="1512">
        <f t="shared" si="10"/>
        <v>100</v>
      </c>
      <c r="T34" s="1511" t="s">
        <v>1664</v>
      </c>
      <c r="U34" s="1512">
        <f t="shared" si="11"/>
        <v>100</v>
      </c>
      <c r="V34" s="1511" t="s">
        <v>1664</v>
      </c>
      <c r="W34" s="1512">
        <f t="shared" si="12"/>
        <v>100</v>
      </c>
      <c r="X34" s="1506"/>
      <c r="Y34" s="3461"/>
      <c r="Z34" s="1495" t="str">
        <f t="shared" si="13"/>
        <v>土地级别</v>
      </c>
      <c r="AA34" s="1495">
        <f t="shared" si="3"/>
        <v>1</v>
      </c>
      <c r="AB34" s="1495">
        <f t="shared" si="4"/>
        <v>1</v>
      </c>
      <c r="AC34" s="1495">
        <f t="shared" si="5"/>
        <v>1</v>
      </c>
    </row>
    <row r="35" spans="1:29" ht="15">
      <c r="A35" s="1316"/>
      <c r="B35" s="1569">
        <v>111</v>
      </c>
      <c r="C35" s="1344"/>
      <c r="D35" s="759">
        <v>100</v>
      </c>
      <c r="E35" s="1375"/>
      <c r="F35" s="759">
        <f>SUMIF(109:109,E35,110:110)-SUMIF(109:109,C35,110:110)+100</f>
        <v>100</v>
      </c>
      <c r="G35" s="1375"/>
      <c r="H35" s="759">
        <f>SUMIF(109:109,G35,110:110)-SUMIF(109:109,C35,110:110)+100</f>
        <v>100</v>
      </c>
      <c r="I35" s="1344"/>
      <c r="J35" s="759">
        <f>SUMIF(109:109,I35,110:110)-SUMIF(109:109,C35,110:110)+100</f>
        <v>100</v>
      </c>
      <c r="K35" s="1480"/>
      <c r="L35" s="1474"/>
      <c r="M35" s="1409"/>
      <c r="N35" s="1409"/>
      <c r="O35" s="1473"/>
      <c r="P35" s="3461"/>
      <c r="Q35" s="625">
        <f t="shared" si="8"/>
        <v>111</v>
      </c>
      <c r="R35" s="1511" t="s">
        <v>1664</v>
      </c>
      <c r="S35" s="1512">
        <f t="shared" si="10"/>
        <v>100</v>
      </c>
      <c r="T35" s="1511" t="s">
        <v>1664</v>
      </c>
      <c r="U35" s="1512">
        <f t="shared" si="11"/>
        <v>100</v>
      </c>
      <c r="V35" s="1511" t="s">
        <v>1664</v>
      </c>
      <c r="W35" s="1512">
        <f t="shared" si="12"/>
        <v>100</v>
      </c>
      <c r="X35" s="1506"/>
      <c r="Y35" s="3461"/>
      <c r="Z35" s="1495">
        <f t="shared" si="13"/>
        <v>111</v>
      </c>
      <c r="AA35" s="1495">
        <f t="shared" si="3"/>
        <v>1</v>
      </c>
      <c r="AB35" s="1495">
        <f t="shared" si="4"/>
        <v>1</v>
      </c>
      <c r="AC35" s="1495">
        <f t="shared" si="5"/>
        <v>1</v>
      </c>
    </row>
    <row r="36" spans="1:29" ht="15">
      <c r="A36" s="1376"/>
      <c r="B36" s="1389">
        <v>111</v>
      </c>
      <c r="C36" s="1344"/>
      <c r="D36" s="759">
        <v>100</v>
      </c>
      <c r="E36" s="1375"/>
      <c r="F36" s="759">
        <f>SUMIF(111:111,E37,112:112)-SUMIF(111:111,C37,112:112)+100</f>
        <v>100</v>
      </c>
      <c r="G36" s="1375"/>
      <c r="H36" s="759">
        <f>SUMIF(111:111,G36,112:112)-SUMIF(111:111,C36,112:112)+100</f>
        <v>100</v>
      </c>
      <c r="I36" s="1344"/>
      <c r="J36" s="759">
        <f>SUMIF(111:111,I36,112:112)-SUMIF(111:111,C36,112:112)+100</f>
        <v>100</v>
      </c>
      <c r="K36" s="1480"/>
      <c r="L36" s="1474"/>
      <c r="M36" s="1409"/>
      <c r="N36" s="1409"/>
      <c r="O36" s="1473"/>
      <c r="P36" s="3517" t="s">
        <v>1694</v>
      </c>
      <c r="Q36" s="625">
        <f t="shared" si="8"/>
        <v>111</v>
      </c>
      <c r="R36" s="1511" t="s">
        <v>1664</v>
      </c>
      <c r="S36" s="1512">
        <f t="shared" si="10"/>
        <v>100</v>
      </c>
      <c r="T36" s="1511" t="s">
        <v>1664</v>
      </c>
      <c r="U36" s="1512">
        <f t="shared" si="11"/>
        <v>100</v>
      </c>
      <c r="V36" s="1511" t="s">
        <v>1664</v>
      </c>
      <c r="W36" s="1512">
        <f t="shared" si="12"/>
        <v>100</v>
      </c>
      <c r="X36" s="1506"/>
      <c r="Y36" s="3462" t="s">
        <v>1694</v>
      </c>
      <c r="Z36" s="1495">
        <f t="shared" si="13"/>
        <v>111</v>
      </c>
      <c r="AA36" s="1495">
        <f t="shared" si="3"/>
        <v>1</v>
      </c>
      <c r="AB36" s="1495">
        <f t="shared" si="4"/>
        <v>1</v>
      </c>
      <c r="AC36" s="1495">
        <f t="shared" si="5"/>
        <v>1</v>
      </c>
    </row>
    <row r="37" spans="1:29" s="1295" customFormat="1" ht="15">
      <c r="A37" s="1378"/>
      <c r="B37" s="1631">
        <v>111</v>
      </c>
      <c r="C37" s="1380"/>
      <c r="D37" s="1381">
        <v>100</v>
      </c>
      <c r="E37" s="1382"/>
      <c r="F37" s="1349">
        <f>SUMIF(113:113,E37,114:114)-SUMIF(113:113,C37,114:114)+100</f>
        <v>100</v>
      </c>
      <c r="G37" s="1382"/>
      <c r="H37" s="1349">
        <f>SUMIF(113:113,G37,114:114)-SUMIF(113:113,C37,114:114)+100</f>
        <v>100</v>
      </c>
      <c r="I37" s="1380"/>
      <c r="J37" s="1349">
        <f>SUMIF(113:113,I37,114:114)-SUMIF(113:113,C37,114:114)+100</f>
        <v>100</v>
      </c>
      <c r="K37" s="1480"/>
      <c r="L37" s="1472"/>
      <c r="M37" s="1482"/>
      <c r="N37" s="1482"/>
      <c r="O37" s="1483"/>
      <c r="P37" s="3462"/>
      <c r="Q37" s="625">
        <f t="shared" si="8"/>
        <v>111</v>
      </c>
      <c r="R37" s="1513" t="s">
        <v>1664</v>
      </c>
      <c r="S37" s="1514">
        <f t="shared" si="10"/>
        <v>100</v>
      </c>
      <c r="T37" s="1513" t="s">
        <v>1664</v>
      </c>
      <c r="U37" s="1514">
        <f t="shared" si="11"/>
        <v>100</v>
      </c>
      <c r="V37" s="1513" t="s">
        <v>1664</v>
      </c>
      <c r="W37" s="1514">
        <f t="shared" si="12"/>
        <v>100</v>
      </c>
      <c r="X37" s="1515"/>
      <c r="Y37" s="3462"/>
      <c r="Z37" s="1519">
        <f t="shared" si="13"/>
        <v>111</v>
      </c>
      <c r="AA37" s="1495">
        <f t="shared" si="3"/>
        <v>1</v>
      </c>
      <c r="AB37" s="1495">
        <f t="shared" si="4"/>
        <v>1</v>
      </c>
      <c r="AC37" s="1495">
        <f t="shared" si="5"/>
        <v>1</v>
      </c>
    </row>
    <row r="38" spans="1:29" ht="15">
      <c r="A38" s="1385" t="s">
        <v>1691</v>
      </c>
      <c r="B38" s="1383" t="s">
        <v>2264</v>
      </c>
      <c r="C38" s="1384"/>
      <c r="D38" s="1314">
        <v>100</v>
      </c>
      <c r="E38" s="1384"/>
      <c r="F38" s="1314" t="e">
        <f>LOOKUP(E38,116:116,117:117)-LOOKUP(C38,116:116,117:117)+100</f>
        <v>#N/A</v>
      </c>
      <c r="G38" s="1384"/>
      <c r="H38" s="1314" t="e">
        <f>LOOKUP(G38,116:116,117:117)-LOOKUP(C38,116:116,117:117)+100</f>
        <v>#N/A</v>
      </c>
      <c r="I38" s="1484"/>
      <c r="J38" s="1314" t="e">
        <f>LOOKUP(I38,116:116,117:117)-LOOKUP(C38,116:116,117:117)+100</f>
        <v>#N/A</v>
      </c>
      <c r="K38" s="1480"/>
      <c r="L38" s="1474"/>
      <c r="M38" s="1409"/>
      <c r="N38" s="1409"/>
      <c r="O38" s="1473"/>
      <c r="P38" s="3462"/>
      <c r="Q38" s="625" t="str">
        <f t="shared" si="8"/>
        <v>宗地面积</v>
      </c>
      <c r="R38" s="1511" t="s">
        <v>1664</v>
      </c>
      <c r="S38" s="1512" t="e">
        <f t="shared" si="10"/>
        <v>#N/A</v>
      </c>
      <c r="T38" s="1511" t="s">
        <v>1664</v>
      </c>
      <c r="U38" s="1512" t="e">
        <f t="shared" si="11"/>
        <v>#N/A</v>
      </c>
      <c r="V38" s="1511" t="s">
        <v>1664</v>
      </c>
      <c r="W38" s="1512" t="e">
        <f t="shared" si="12"/>
        <v>#N/A</v>
      </c>
      <c r="X38" s="1506"/>
      <c r="Y38" s="3462"/>
      <c r="Z38" s="1495" t="str">
        <f t="shared" si="13"/>
        <v>宗地面积</v>
      </c>
      <c r="AA38" s="1495" t="e">
        <f t="shared" si="3"/>
        <v>#N/A</v>
      </c>
      <c r="AB38" s="1495" t="e">
        <f t="shared" si="4"/>
        <v>#N/A</v>
      </c>
      <c r="AC38" s="1495" t="e">
        <f t="shared" si="5"/>
        <v>#N/A</v>
      </c>
    </row>
    <row r="39" spans="1:29" ht="15">
      <c r="A39" s="1385"/>
      <c r="B39" s="1334" t="s">
        <v>2265</v>
      </c>
      <c r="C39" s="1386"/>
      <c r="D39" s="759">
        <v>100</v>
      </c>
      <c r="E39" s="1386"/>
      <c r="F39" s="759">
        <f>SUMIF(118:118,E39,119:119)-SUMIF(118:118,C39,119:119)+100</f>
        <v>100</v>
      </c>
      <c r="G39" s="1386"/>
      <c r="H39" s="759">
        <f>SUMIF(118:118,G39,119:119)-SUMIF(118:118,C39,119:119)+100</f>
        <v>100</v>
      </c>
      <c r="I39" s="1386"/>
      <c r="J39" s="759">
        <f>SUMIF(118:118,I39,119:119)-SUMIF(118:118,C39,119:119)+100</f>
        <v>100</v>
      </c>
      <c r="K39" s="1481"/>
      <c r="L39" s="1474"/>
      <c r="M39" s="1409"/>
      <c r="N39" s="1409"/>
      <c r="O39" s="1473"/>
      <c r="P39" s="3462"/>
      <c r="Q39" s="625" t="str">
        <f t="shared" ref="Q39:Q45" si="14">B39</f>
        <v>宗地形状</v>
      </c>
      <c r="R39" s="1511" t="s">
        <v>1664</v>
      </c>
      <c r="S39" s="1512">
        <f t="shared" si="10"/>
        <v>100</v>
      </c>
      <c r="T39" s="1511" t="s">
        <v>1664</v>
      </c>
      <c r="U39" s="1512">
        <f t="shared" si="11"/>
        <v>100</v>
      </c>
      <c r="V39" s="1511" t="s">
        <v>1664</v>
      </c>
      <c r="W39" s="1512">
        <f t="shared" si="12"/>
        <v>100</v>
      </c>
      <c r="X39" s="1506"/>
      <c r="Y39" s="3462"/>
      <c r="Z39" s="1495" t="str">
        <f t="shared" si="13"/>
        <v>宗地形状</v>
      </c>
      <c r="AA39" s="1495">
        <f t="shared" si="3"/>
        <v>1</v>
      </c>
      <c r="AB39" s="1495">
        <f t="shared" si="4"/>
        <v>1</v>
      </c>
      <c r="AC39" s="1495">
        <f t="shared" si="5"/>
        <v>1</v>
      </c>
    </row>
    <row r="40" spans="1:29" ht="15">
      <c r="A40" s="1385"/>
      <c r="B40" s="1334" t="s">
        <v>2266</v>
      </c>
      <c r="C40" s="1386"/>
      <c r="D40" s="759">
        <v>100</v>
      </c>
      <c r="E40" s="1386"/>
      <c r="F40" s="759">
        <f>SUMIF(120:120,E40,121:121)-SUMIF(120:120,C40,121:121)+100</f>
        <v>100</v>
      </c>
      <c r="G40" s="1386"/>
      <c r="H40" s="759">
        <f>SUMIF(120:120,G40,121:121)-SUMIF(120:120,C40,121:121)+100</f>
        <v>100</v>
      </c>
      <c r="I40" s="1386"/>
      <c r="J40" s="759">
        <f>SUMIF(120:120,I40,121:121)-SUMIF(120:120,C40,121:121)+100</f>
        <v>100</v>
      </c>
      <c r="K40" s="1481"/>
      <c r="L40" s="1474"/>
      <c r="M40" s="1409"/>
      <c r="N40" s="1409"/>
      <c r="O40" s="1473"/>
      <c r="P40" s="3462"/>
      <c r="Q40" s="625" t="str">
        <f t="shared" si="14"/>
        <v>临街宽度及深度</v>
      </c>
      <c r="R40" s="1511" t="s">
        <v>1664</v>
      </c>
      <c r="S40" s="1512">
        <f t="shared" si="10"/>
        <v>100</v>
      </c>
      <c r="T40" s="1511" t="s">
        <v>1664</v>
      </c>
      <c r="U40" s="1512">
        <f t="shared" si="11"/>
        <v>100</v>
      </c>
      <c r="V40" s="1511" t="s">
        <v>1664</v>
      </c>
      <c r="W40" s="1512">
        <f t="shared" si="12"/>
        <v>100</v>
      </c>
      <c r="X40" s="1506"/>
      <c r="Y40" s="3462"/>
      <c r="Z40" s="1495" t="str">
        <f t="shared" si="13"/>
        <v>临街宽度及深度</v>
      </c>
      <c r="AA40" s="1495">
        <f t="shared" si="3"/>
        <v>1</v>
      </c>
      <c r="AB40" s="1495">
        <f t="shared" si="4"/>
        <v>1</v>
      </c>
      <c r="AC40" s="1495">
        <f t="shared" si="5"/>
        <v>1</v>
      </c>
    </row>
    <row r="41" spans="1:29" s="1293" customFormat="1" ht="15">
      <c r="A41" s="1387"/>
      <c r="B41" s="1334" t="s">
        <v>2267</v>
      </c>
      <c r="C41" s="1388"/>
      <c r="D41" s="1336">
        <v>100</v>
      </c>
      <c r="E41" s="1388"/>
      <c r="F41" s="759">
        <f>SUMIF(122:122,E41,123:123)-SUMIF(122:122,C41,123:123)+100</f>
        <v>100</v>
      </c>
      <c r="G41" s="1388"/>
      <c r="H41" s="759">
        <f>SUMIF(122:122,G41,123:123)-SUMIF(122:122,C41,123:123)+100</f>
        <v>100</v>
      </c>
      <c r="I41" s="1388"/>
      <c r="J41" s="759">
        <f>SUMIF(122:122,I41,123:123)-SUMIF(122:122,C41,123:123)+100</f>
        <v>100</v>
      </c>
      <c r="K41" s="1481"/>
      <c r="L41" s="1463"/>
      <c r="M41" s="1464"/>
      <c r="N41" s="1464"/>
      <c r="O41" s="1466"/>
      <c r="P41" s="3462"/>
      <c r="Q41" s="625" t="str">
        <f t="shared" si="14"/>
        <v>宗地开发程度</v>
      </c>
      <c r="R41" s="1507" t="s">
        <v>1664</v>
      </c>
      <c r="S41" s="1508">
        <f t="shared" si="10"/>
        <v>100</v>
      </c>
      <c r="T41" s="1507" t="s">
        <v>1664</v>
      </c>
      <c r="U41" s="1508">
        <f t="shared" si="11"/>
        <v>100</v>
      </c>
      <c r="V41" s="1507" t="s">
        <v>1664</v>
      </c>
      <c r="W41" s="1508">
        <f t="shared" si="12"/>
        <v>100</v>
      </c>
      <c r="X41" s="1509"/>
      <c r="Y41" s="3462"/>
      <c r="Z41" s="1518" t="str">
        <f t="shared" si="13"/>
        <v>宗地开发程度</v>
      </c>
      <c r="AA41" s="1518">
        <f t="shared" si="3"/>
        <v>1</v>
      </c>
      <c r="AB41" s="1518">
        <f t="shared" si="4"/>
        <v>1</v>
      </c>
      <c r="AC41" s="1518">
        <f t="shared" si="5"/>
        <v>1</v>
      </c>
    </row>
    <row r="42" spans="1:29" ht="15">
      <c r="A42" s="1385"/>
      <c r="B42" s="1334" t="s">
        <v>2268</v>
      </c>
      <c r="C42" s="1386"/>
      <c r="D42" s="759">
        <v>100</v>
      </c>
      <c r="E42" s="1386"/>
      <c r="F42" s="759">
        <f>SUMIF(124:124,E42,125:125)-SUMIF(124:124,C42,125:125)+100</f>
        <v>100</v>
      </c>
      <c r="G42" s="1386"/>
      <c r="H42" s="759">
        <f>SUMIF(124:124,G42,125:125)-SUMIF(124:124,C42,125:125)+100</f>
        <v>100</v>
      </c>
      <c r="I42" s="1386"/>
      <c r="J42" s="759">
        <f>SUMIF(124:124,I42,125:125)-SUMIF(124:124,C42,125:125)+100</f>
        <v>100</v>
      </c>
      <c r="K42" s="1481"/>
      <c r="L42" s="1474"/>
      <c r="M42" s="1409"/>
      <c r="N42" s="1409"/>
      <c r="O42" s="1473"/>
      <c r="P42" s="3462" t="s">
        <v>1694</v>
      </c>
      <c r="Q42" s="625" t="str">
        <f t="shared" si="14"/>
        <v>工程地质条件</v>
      </c>
      <c r="R42" s="1511" t="s">
        <v>1664</v>
      </c>
      <c r="S42" s="1512">
        <f t="shared" si="10"/>
        <v>100</v>
      </c>
      <c r="T42" s="1511" t="s">
        <v>1664</v>
      </c>
      <c r="U42" s="1512">
        <f t="shared" si="11"/>
        <v>100</v>
      </c>
      <c r="V42" s="1511" t="s">
        <v>1664</v>
      </c>
      <c r="W42" s="1512">
        <f t="shared" si="12"/>
        <v>100</v>
      </c>
      <c r="X42" s="1506"/>
      <c r="Y42" s="3462" t="s">
        <v>1694</v>
      </c>
      <c r="Z42" s="1495" t="str">
        <f t="shared" si="13"/>
        <v>工程地质条件</v>
      </c>
      <c r="AA42" s="1495">
        <f t="shared" si="3"/>
        <v>1</v>
      </c>
      <c r="AB42" s="1495">
        <f t="shared" si="4"/>
        <v>1</v>
      </c>
      <c r="AC42" s="1495">
        <f t="shared" si="5"/>
        <v>1</v>
      </c>
    </row>
    <row r="43" spans="1:29" ht="15">
      <c r="A43" s="1385"/>
      <c r="B43" s="1389">
        <v>111</v>
      </c>
      <c r="C43" s="1344"/>
      <c r="D43" s="759">
        <v>100</v>
      </c>
      <c r="E43" s="1344"/>
      <c r="F43" s="759">
        <f>SUMIF(126:126,E43,127:127)-SUMIF(126:126,C43,127:127)+100</f>
        <v>100</v>
      </c>
      <c r="G43" s="1344"/>
      <c r="H43" s="759">
        <f>SUMIF(126:126,G43,127:127)-SUMIF(126:126,C43,127:127)+100</f>
        <v>100</v>
      </c>
      <c r="I43" s="1343"/>
      <c r="J43" s="759">
        <f>SUMIF(126:126,I43,127:127)-SUMIF(126:126,C43,127:127)+100</f>
        <v>100</v>
      </c>
      <c r="K43" s="1480"/>
      <c r="L43" s="1474"/>
      <c r="M43" s="1409"/>
      <c r="N43" s="1409"/>
      <c r="O43" s="1473"/>
      <c r="P43" s="3462"/>
      <c r="Q43" s="625">
        <f t="shared" si="14"/>
        <v>111</v>
      </c>
      <c r="R43" s="1511" t="s">
        <v>1664</v>
      </c>
      <c r="S43" s="1512">
        <f t="shared" si="10"/>
        <v>100</v>
      </c>
      <c r="T43" s="1511" t="s">
        <v>1664</v>
      </c>
      <c r="U43" s="1512">
        <f t="shared" si="11"/>
        <v>100</v>
      </c>
      <c r="V43" s="1511" t="s">
        <v>1664</v>
      </c>
      <c r="W43" s="1512">
        <f t="shared" si="12"/>
        <v>100</v>
      </c>
      <c r="X43" s="1506"/>
      <c r="Y43" s="3462"/>
      <c r="Z43" s="1495">
        <f t="shared" si="13"/>
        <v>111</v>
      </c>
      <c r="AA43" s="1495">
        <f t="shared" si="3"/>
        <v>1</v>
      </c>
      <c r="AB43" s="1495">
        <f t="shared" si="4"/>
        <v>1</v>
      </c>
      <c r="AC43" s="1495">
        <f t="shared" si="5"/>
        <v>1</v>
      </c>
    </row>
    <row r="44" spans="1:29" ht="15">
      <c r="A44" s="1385"/>
      <c r="B44" s="1389">
        <v>111</v>
      </c>
      <c r="C44" s="1344"/>
      <c r="D44" s="759">
        <v>100</v>
      </c>
      <c r="E44" s="1344"/>
      <c r="F44" s="759">
        <f>SUMIF(128:128,E44,129:129)-SUMIF(128:128,C44,129:129)+100</f>
        <v>100</v>
      </c>
      <c r="G44" s="1344"/>
      <c r="H44" s="759">
        <f>SUMIF(128:128,G44,129:129)-SUMIF(128:128,C44,129:129)+100</f>
        <v>100</v>
      </c>
      <c r="I44" s="1343"/>
      <c r="J44" s="759">
        <f>SUMIF(128:128,I44,129:129)-SUMIF(128:128,C44,129:129)+100</f>
        <v>100</v>
      </c>
      <c r="K44" s="1480"/>
      <c r="L44" s="1474"/>
      <c r="M44" s="1409"/>
      <c r="N44" s="1409"/>
      <c r="O44" s="1473"/>
      <c r="P44" s="3462"/>
      <c r="Q44" s="625">
        <f t="shared" si="14"/>
        <v>111</v>
      </c>
      <c r="R44" s="1511" t="s">
        <v>1664</v>
      </c>
      <c r="S44" s="1512">
        <f t="shared" si="10"/>
        <v>100</v>
      </c>
      <c r="T44" s="1511" t="s">
        <v>1664</v>
      </c>
      <c r="U44" s="1512">
        <f t="shared" si="11"/>
        <v>100</v>
      </c>
      <c r="V44" s="1511" t="s">
        <v>1664</v>
      </c>
      <c r="W44" s="1512">
        <f t="shared" si="12"/>
        <v>100</v>
      </c>
      <c r="X44" s="1506"/>
      <c r="Y44" s="3462"/>
      <c r="Z44" s="1495">
        <f t="shared" si="13"/>
        <v>111</v>
      </c>
      <c r="AA44" s="1495">
        <f t="shared" si="3"/>
        <v>1</v>
      </c>
      <c r="AB44" s="1495">
        <f t="shared" si="4"/>
        <v>1</v>
      </c>
      <c r="AC44" s="1495">
        <f t="shared" si="5"/>
        <v>1</v>
      </c>
    </row>
    <row r="45" spans="1:29" s="1295" customFormat="1" ht="15">
      <c r="A45" s="1390"/>
      <c r="B45" s="1389">
        <v>111</v>
      </c>
      <c r="C45" s="1391"/>
      <c r="D45" s="1632">
        <v>100</v>
      </c>
      <c r="E45" s="1344"/>
      <c r="F45" s="1349">
        <f>SUMIF(130:130,E45,131:131)-SUMIF(130:130,C45,131:131)+100</f>
        <v>100</v>
      </c>
      <c r="G45" s="1344"/>
      <c r="H45" s="1349">
        <f>SUMIF(130:130,G45,131:131)-SUMIF(130:130,C45,131:131)+100</f>
        <v>100</v>
      </c>
      <c r="I45" s="1344"/>
      <c r="J45" s="1349">
        <f>SUMIF(130:130,I45,131:131)-SUMIF(130:130,C45,131:131)+100</f>
        <v>100</v>
      </c>
      <c r="K45" s="1485"/>
      <c r="L45" s="1472"/>
      <c r="M45" s="1482"/>
      <c r="N45" s="1482"/>
      <c r="O45" s="1483"/>
      <c r="P45" s="3462"/>
      <c r="Q45" s="625">
        <f t="shared" si="14"/>
        <v>111</v>
      </c>
      <c r="R45" s="1513" t="s">
        <v>1664</v>
      </c>
      <c r="S45" s="1514">
        <f t="shared" si="10"/>
        <v>100</v>
      </c>
      <c r="T45" s="1513" t="s">
        <v>1664</v>
      </c>
      <c r="U45" s="1514">
        <f t="shared" si="11"/>
        <v>100</v>
      </c>
      <c r="V45" s="1513" t="s">
        <v>1664</v>
      </c>
      <c r="W45" s="1514">
        <f t="shared" si="12"/>
        <v>100</v>
      </c>
      <c r="X45" s="1515"/>
      <c r="Y45" s="3462"/>
      <c r="Z45" s="1519">
        <f t="shared" si="13"/>
        <v>111</v>
      </c>
      <c r="AA45" s="1495">
        <f t="shared" si="3"/>
        <v>1</v>
      </c>
      <c r="AB45" s="1495">
        <f t="shared" si="4"/>
        <v>1</v>
      </c>
      <c r="AC45" s="1495">
        <f t="shared" si="5"/>
        <v>1</v>
      </c>
    </row>
    <row r="46" spans="1:29" ht="15">
      <c r="A46" s="1392" t="s">
        <v>2251</v>
      </c>
      <c r="B46" s="1393" t="s">
        <v>2269</v>
      </c>
      <c r="C46" s="1394" t="s">
        <v>124</v>
      </c>
      <c r="D46" s="1395"/>
      <c r="E46" s="1396"/>
      <c r="F46" s="1397"/>
      <c r="G46" s="1398"/>
      <c r="H46" s="1399"/>
      <c r="I46" s="1396"/>
      <c r="J46" s="1399"/>
      <c r="K46" s="1486"/>
      <c r="L46" s="1487"/>
      <c r="M46" s="1409"/>
      <c r="N46" s="1409"/>
      <c r="O46" s="1409"/>
      <c r="P46" s="3448" t="str">
        <f>A46</f>
        <v>成交单价</v>
      </c>
      <c r="Q46" s="3448"/>
      <c r="R46" s="3446">
        <f>E46</f>
        <v>0</v>
      </c>
      <c r="S46" s="3446"/>
      <c r="T46" s="3446">
        <f>G46</f>
        <v>0</v>
      </c>
      <c r="U46" s="3446"/>
      <c r="V46" s="3446">
        <f>I46</f>
        <v>0</v>
      </c>
      <c r="W46" s="3446"/>
      <c r="X46" s="1448"/>
      <c r="Y46" s="1520"/>
      <c r="Z46" s="1448"/>
      <c r="AA46" s="1448"/>
      <c r="AB46" s="1448"/>
      <c r="AC46" s="1448"/>
    </row>
    <row r="47" spans="1:29" ht="15">
      <c r="A47" s="1400" t="s">
        <v>1712</v>
      </c>
      <c r="B47" s="1401"/>
      <c r="C47" s="1402" t="e">
        <f>R48</f>
        <v>#DIV/0!</v>
      </c>
      <c r="D47" s="1403" t="s">
        <v>1713</v>
      </c>
      <c r="E47" s="1402" t="e">
        <f>R47</f>
        <v>#DIV/0!</v>
      </c>
      <c r="F47" s="1404"/>
      <c r="G47" s="1405" t="e">
        <f>T47</f>
        <v>#DIV/0!</v>
      </c>
      <c r="H47" s="1404"/>
      <c r="I47" s="1402" t="e">
        <f>V47</f>
        <v>#DIV/0!</v>
      </c>
      <c r="J47" s="1404"/>
      <c r="K47" s="1488">
        <f>F47+H47+J47</f>
        <v>0</v>
      </c>
      <c r="L47" s="1487"/>
      <c r="M47" s="1409"/>
      <c r="N47" s="1409"/>
      <c r="O47" s="1409"/>
      <c r="P47" s="3448" t="str">
        <f>A47</f>
        <v>比较价值（元/平方米）</v>
      </c>
      <c r="Q47" s="3448"/>
      <c r="R47" s="3520" t="e">
        <f>ROUND(PRODUCT(R46,AA7:AA45),0)</f>
        <v>#DIV/0!</v>
      </c>
      <c r="S47" s="3520"/>
      <c r="T47" s="3520" t="e">
        <f>ROUND(PRODUCT(T46,AB7:AB45),0)</f>
        <v>#DIV/0!</v>
      </c>
      <c r="U47" s="3520"/>
      <c r="V47" s="3520" t="e">
        <f>ROUND(PRODUCT(V46,AC7:AC45),0)</f>
        <v>#DIV/0!</v>
      </c>
      <c r="W47" s="3520"/>
      <c r="X47" s="1448"/>
      <c r="Y47" s="1448"/>
      <c r="Z47" s="1448"/>
      <c r="AA47" s="1448"/>
      <c r="AB47" s="1448"/>
      <c r="AC47" s="1448"/>
    </row>
    <row r="48" spans="1:29" ht="15">
      <c r="A48" s="1406" t="s">
        <v>2270</v>
      </c>
      <c r="B48" s="1407"/>
      <c r="C48" s="1408" t="e">
        <f>R48</f>
        <v>#DIV/0!</v>
      </c>
      <c r="D48" s="1408"/>
      <c r="E48" s="1408"/>
      <c r="F48" s="1408"/>
      <c r="G48" s="1408"/>
      <c r="H48" s="1408"/>
      <c r="I48" s="1408"/>
      <c r="J48" s="1408"/>
      <c r="K48" s="1489"/>
      <c r="L48" s="1487"/>
      <c r="M48" s="1409"/>
      <c r="N48" s="1409"/>
      <c r="O48" s="1409"/>
      <c r="P48" s="3514" t="str">
        <f>A48</f>
        <v>估价对象XX用房的比较价值（楼面单价，元/平方米）</v>
      </c>
      <c r="Q48" s="3515"/>
      <c r="R48" s="3521" t="e">
        <f>ROUND(IF(D47="简单平均",AVERAGE(R47:W47),R47*F47+T47*H47+V47*J47),0)</f>
        <v>#DIV/0!</v>
      </c>
      <c r="S48" s="3521"/>
      <c r="T48" s="3521"/>
      <c r="U48" s="3521"/>
      <c r="V48" s="3521"/>
      <c r="W48" s="3521"/>
      <c r="X48" s="1448"/>
      <c r="Y48" s="1448"/>
      <c r="Z48" s="1448"/>
      <c r="AA48" s="1448"/>
      <c r="AB48" s="1448"/>
      <c r="AC48" s="1448"/>
    </row>
    <row r="49" spans="1:29">
      <c r="A49" s="1409"/>
      <c r="B49" s="1409"/>
      <c r="C49" s="1409"/>
      <c r="D49" s="1409"/>
      <c r="E49" s="1409"/>
      <c r="F49" s="1409"/>
      <c r="G49" s="1410"/>
      <c r="H49" s="1409"/>
      <c r="I49" s="1409"/>
      <c r="J49" s="1409"/>
      <c r="K49" s="1491"/>
      <c r="L49" s="1492"/>
      <c r="M49" s="1409"/>
      <c r="N49" s="1409"/>
      <c r="O49" s="1409"/>
      <c r="P49" s="1409"/>
      <c r="Q49" s="1409"/>
      <c r="R49" s="1409"/>
      <c r="S49" s="1409"/>
      <c r="T49" s="1409"/>
      <c r="U49" s="1409"/>
      <c r="V49" s="1409"/>
      <c r="W49" s="1409"/>
      <c r="X49" s="1409"/>
      <c r="Y49" s="1409"/>
      <c r="Z49" s="1409"/>
      <c r="AA49" s="1409"/>
      <c r="AB49" s="1409"/>
      <c r="AC49" s="1409"/>
    </row>
    <row r="50" spans="1:29">
      <c r="A50" s="1409"/>
      <c r="B50" s="1409"/>
      <c r="C50" s="1409"/>
      <c r="D50" s="1409"/>
      <c r="E50" s="1409"/>
      <c r="F50" s="1409"/>
      <c r="G50" s="1409"/>
      <c r="H50" s="1409"/>
      <c r="I50" s="1409"/>
      <c r="J50" s="1409"/>
      <c r="K50" s="1491"/>
      <c r="L50" s="1492"/>
      <c r="M50" s="1409"/>
      <c r="N50" s="1409"/>
      <c r="O50" s="1409"/>
      <c r="P50" s="1409"/>
      <c r="Q50" s="1409"/>
      <c r="R50" s="1409"/>
      <c r="S50" s="1409"/>
      <c r="T50" s="1409"/>
      <c r="U50" s="1409"/>
      <c r="V50" s="1409"/>
      <c r="W50" s="1409"/>
      <c r="X50" s="1409"/>
      <c r="Y50" s="1409"/>
      <c r="Z50" s="1409"/>
      <c r="AA50" s="1409"/>
      <c r="AB50" s="1409"/>
      <c r="AC50" s="1409"/>
    </row>
    <row r="51" spans="1:29" ht="13.5" customHeight="1">
      <c r="A51" s="1409"/>
      <c r="B51" s="1409"/>
      <c r="C51" s="1411" t="s">
        <v>1715</v>
      </c>
      <c r="D51" s="667"/>
      <c r="E51" s="1412" t="e">
        <f>IF(E46&lt;E47,E47/E46-1,E46/E47-1)</f>
        <v>#DIV/0!</v>
      </c>
      <c r="F51" s="1413" t="e">
        <f>IF(OR(E51&gt;=0.3,E51&lt;=-0.3),"超过30%","")</f>
        <v>#DIV/0!</v>
      </c>
      <c r="G51" s="1412" t="e">
        <f>IF(G46&lt;G47,G47/G46-1,G46/G47-1)</f>
        <v>#DIV/0!</v>
      </c>
      <c r="H51" s="1413" t="e">
        <f>IF(OR(G51&gt;=0.3,G51&lt;=-0.3),"超过30%","")</f>
        <v>#DIV/0!</v>
      </c>
      <c r="I51" s="1412" t="e">
        <f>IF(I46&lt;I47,I47/I46-1,I46/I47-1)</f>
        <v>#DIV/0!</v>
      </c>
      <c r="J51" s="1413" t="e">
        <f>IF(OR(I51&gt;=0.3,I51&lt;=-0.3),"超过30%","")</f>
        <v>#DIV/0!</v>
      </c>
      <c r="K51" s="1491"/>
      <c r="L51" s="1492"/>
      <c r="M51" s="1409"/>
      <c r="N51" s="1409"/>
      <c r="O51" s="1409"/>
      <c r="P51" s="1409"/>
      <c r="Q51" s="1409"/>
      <c r="R51" s="1409"/>
      <c r="S51" s="1409"/>
      <c r="T51" s="1409"/>
      <c r="U51" s="1409"/>
      <c r="V51" s="1409"/>
      <c r="W51" s="1409"/>
      <c r="X51" s="1409"/>
      <c r="Y51" s="1409"/>
      <c r="Z51" s="1409"/>
      <c r="AA51" s="1409"/>
      <c r="AB51" s="1409"/>
      <c r="AC51" s="1409"/>
    </row>
    <row r="52" spans="1:29" ht="13.5" customHeight="1">
      <c r="A52" s="1409"/>
      <c r="B52" s="1409"/>
      <c r="C52" s="1411" t="s">
        <v>1716</v>
      </c>
      <c r="D52" s="666"/>
      <c r="E52" s="1412" t="e">
        <f>IF(E47&lt;G47,G47/E47-1,E47/G47-1)</f>
        <v>#DIV/0!</v>
      </c>
      <c r="F52" s="1413" t="e">
        <f>IF(OR(E52&gt;=0.2,E52&lt;=-0.2),"超过20%","")</f>
        <v>#DIV/0!</v>
      </c>
      <c r="G52" s="1412" t="e">
        <f>IF(G47&lt;I47,I47/G47-1,G47/I47-1)</f>
        <v>#DIV/0!</v>
      </c>
      <c r="H52" s="1413" t="e">
        <f>IF(OR(G52&gt;=0.2,G52&lt;=-0.2),"超过20%","")</f>
        <v>#DIV/0!</v>
      </c>
      <c r="I52" s="1412" t="e">
        <f>IF(I47&lt;E47,E47/I47-1,I47/E47-1)</f>
        <v>#DIV/0!</v>
      </c>
      <c r="J52" s="1413" t="e">
        <f>IF(OR(I52&gt;=0.2,I52&lt;=-0.2),"超过20%","")</f>
        <v>#DIV/0!</v>
      </c>
      <c r="K52" s="1491"/>
      <c r="L52" s="1492"/>
      <c r="M52" s="1409"/>
      <c r="N52" s="1409"/>
      <c r="O52" s="1409"/>
      <c r="P52" s="1409"/>
      <c r="Q52" s="1409"/>
      <c r="R52" s="1409"/>
      <c r="S52" s="1409"/>
      <c r="T52" s="1409"/>
      <c r="U52" s="1409"/>
      <c r="V52" s="1409"/>
      <c r="W52" s="1409"/>
      <c r="X52" s="1409"/>
      <c r="Y52" s="1409"/>
      <c r="Z52" s="1409"/>
      <c r="AA52" s="1409"/>
      <c r="AB52" s="1409"/>
      <c r="AC52" s="1409"/>
    </row>
    <row r="53" spans="1:29" s="1296" customFormat="1" ht="13.5" customHeight="1">
      <c r="A53" s="1414"/>
      <c r="B53" s="1414"/>
      <c r="C53" s="1411" t="s">
        <v>1717</v>
      </c>
      <c r="D53" s="666"/>
      <c r="E53" s="1412" t="e">
        <f>IF(E46&lt;G46,G46/E46-1,E46/G46-1)</f>
        <v>#DIV/0!</v>
      </c>
      <c r="F53" s="1413" t="e">
        <f>IF(OR(E53&gt;=0.3,E53&lt;=-0.3),"超过30%","")</f>
        <v>#DIV/0!</v>
      </c>
      <c r="G53" s="1412" t="e">
        <f>IF(G46&lt;I46,I46/G46-1,G46/I46-1)</f>
        <v>#DIV/0!</v>
      </c>
      <c r="H53" s="1413" t="e">
        <f>IF(OR(G53&gt;=0.3,G53&lt;=-0.3),"超过30%","")</f>
        <v>#DIV/0!</v>
      </c>
      <c r="I53" s="1412" t="e">
        <f>IF(I46&lt;E46,E46/I46-1,I46/E46-1)</f>
        <v>#DIV/0!</v>
      </c>
      <c r="J53" s="1413" t="e">
        <f>IF(OR(I53&gt;=0.3,I53&lt;=-0.3),"超过30%","")</f>
        <v>#DIV/0!</v>
      </c>
      <c r="K53" s="1493"/>
      <c r="L53" s="1494"/>
      <c r="M53" s="1414"/>
      <c r="N53" s="1414"/>
      <c r="O53" s="1414"/>
      <c r="P53" s="1414"/>
      <c r="Q53" s="1414"/>
      <c r="R53" s="1414"/>
      <c r="S53" s="1414"/>
      <c r="T53" s="1414"/>
      <c r="U53" s="1414"/>
      <c r="V53" s="1414"/>
      <c r="W53" s="1414"/>
      <c r="X53" s="1414"/>
      <c r="Y53" s="1414"/>
      <c r="Z53" s="1414"/>
      <c r="AA53" s="1414"/>
      <c r="AB53" s="1414"/>
      <c r="AC53" s="1414"/>
    </row>
    <row r="54" spans="1:29" s="1296" customFormat="1">
      <c r="A54" s="1414"/>
      <c r="B54" s="1415"/>
      <c r="C54" s="1416"/>
      <c r="D54" s="1417"/>
      <c r="E54" s="1417"/>
      <c r="F54" s="1417"/>
      <c r="G54" s="1417"/>
      <c r="H54" s="1417"/>
      <c r="I54" s="1417"/>
      <c r="J54" s="1417"/>
      <c r="K54" s="1493"/>
      <c r="L54" s="1494"/>
      <c r="M54" s="1414"/>
      <c r="N54" s="1414"/>
      <c r="O54" s="1414"/>
      <c r="P54" s="1414"/>
      <c r="Q54" s="1414"/>
      <c r="R54" s="1414"/>
      <c r="S54" s="1414"/>
      <c r="T54" s="1414"/>
      <c r="U54" s="1414"/>
      <c r="V54" s="1414"/>
      <c r="W54" s="1414"/>
      <c r="X54" s="1414"/>
      <c r="Y54" s="1414"/>
      <c r="Z54" s="1414"/>
      <c r="AA54" s="1414"/>
      <c r="AB54" s="1414"/>
      <c r="AC54" s="1414"/>
    </row>
    <row r="55" spans="1:29" ht="27" customHeight="1">
      <c r="A55" s="1418" t="s">
        <v>2271</v>
      </c>
      <c r="B55" s="1419" t="s">
        <v>2272</v>
      </c>
      <c r="C55" s="1420" t="s">
        <v>2273</v>
      </c>
      <c r="D55" s="1421" t="s">
        <v>2274</v>
      </c>
      <c r="E55" s="1422" t="s">
        <v>2275</v>
      </c>
      <c r="F55" s="1633" t="s">
        <v>2276</v>
      </c>
      <c r="G55" s="3469" t="s">
        <v>2277</v>
      </c>
      <c r="H55" s="3519"/>
      <c r="I55" s="1637" t="s">
        <v>2278</v>
      </c>
      <c r="J55" s="1638">
        <f>项目基本情况!F35</f>
        <v>0</v>
      </c>
      <c r="K55" s="1496" t="s">
        <v>2279</v>
      </c>
      <c r="L55" s="1492"/>
      <c r="M55" s="1409"/>
      <c r="N55" s="1409"/>
      <c r="O55" s="1409"/>
      <c r="P55" s="1409"/>
      <c r="Q55" s="1409"/>
      <c r="R55" s="1409"/>
      <c r="S55" s="1409"/>
      <c r="T55" s="1409"/>
      <c r="U55" s="1409"/>
      <c r="V55" s="1409"/>
      <c r="W55" s="1409"/>
      <c r="X55" s="1409"/>
      <c r="Y55" s="1409"/>
      <c r="Z55" s="1409"/>
      <c r="AA55" s="1409"/>
      <c r="AB55" s="1409"/>
      <c r="AC55" s="1409"/>
    </row>
    <row r="56" spans="1:29" s="1297" customFormat="1">
      <c r="A56" s="1424" t="s">
        <v>2280</v>
      </c>
      <c r="B56" s="1425" t="e">
        <f>C48</f>
        <v>#DIV/0!</v>
      </c>
      <c r="C56" s="1146">
        <v>1</v>
      </c>
      <c r="D56" s="1426">
        <v>1</v>
      </c>
      <c r="E56" s="1146">
        <f>'数据-汇总表'!E8+'数据-汇总表'!E9</f>
        <v>54071.78</v>
      </c>
      <c r="F56" s="1634" t="e">
        <f t="shared" ref="F56:F64" si="15">ROUND(B56*E56/10000,0)</f>
        <v>#DIV/0!</v>
      </c>
      <c r="G56" s="3447"/>
      <c r="H56" s="3448"/>
      <c r="I56" s="1639">
        <v>1</v>
      </c>
      <c r="J56" s="1640">
        <v>1</v>
      </c>
      <c r="K56" s="1414"/>
      <c r="L56" s="1497"/>
      <c r="M56" s="1497"/>
      <c r="N56" s="1497"/>
      <c r="O56" s="1497"/>
      <c r="P56" s="1497"/>
      <c r="Q56" s="1497"/>
      <c r="R56" s="1497"/>
      <c r="S56" s="1497"/>
      <c r="T56" s="1497"/>
      <c r="U56" s="1497"/>
      <c r="V56" s="1497"/>
      <c r="W56" s="1497"/>
      <c r="X56" s="1497"/>
      <c r="Y56" s="1497"/>
      <c r="Z56" s="1497"/>
      <c r="AA56" s="1497"/>
      <c r="AB56" s="1497"/>
      <c r="AC56" s="1497"/>
    </row>
    <row r="57" spans="1:29" s="1297" customFormat="1">
      <c r="A57" s="1428" t="s">
        <v>2281</v>
      </c>
      <c r="B57" s="360" t="e">
        <f>ROUND($C$48*C57*D57,0)</f>
        <v>#DIV/0!</v>
      </c>
      <c r="C57" s="515">
        <f t="shared" ref="C57:C64" si="16">IF($C$55="北京市系数",I57,J57)</f>
        <v>0</v>
      </c>
      <c r="D57" s="1429">
        <v>0.25</v>
      </c>
      <c r="E57" s="1430"/>
      <c r="F57" s="1634" t="e">
        <f t="shared" si="15"/>
        <v>#DIV/0!</v>
      </c>
      <c r="G57" s="1431" t="s">
        <v>2282</v>
      </c>
      <c r="H57" s="1432">
        <f>项目基本情况!B37</f>
        <v>0</v>
      </c>
      <c r="I57" s="1639">
        <f>SUMIF(修正!A59:A70,H57,修正!B59:B70)</f>
        <v>0</v>
      </c>
      <c r="J57" s="1641"/>
      <c r="K57" s="1409"/>
      <c r="L57" s="1497"/>
      <c r="M57" s="1497"/>
      <c r="N57" s="1497"/>
      <c r="O57" s="1497"/>
      <c r="P57" s="1497"/>
      <c r="Q57" s="1497"/>
      <c r="R57" s="1497"/>
      <c r="S57" s="1497"/>
      <c r="T57" s="1497"/>
      <c r="U57" s="1497"/>
      <c r="V57" s="1497"/>
      <c r="W57" s="1497"/>
      <c r="X57" s="1497"/>
      <c r="Y57" s="1497"/>
      <c r="Z57" s="1497"/>
      <c r="AA57" s="1497"/>
      <c r="AB57" s="1497"/>
      <c r="AC57" s="1497"/>
    </row>
    <row r="58" spans="1:29" s="1297" customFormat="1">
      <c r="A58" s="1428" t="s">
        <v>2283</v>
      </c>
      <c r="B58" s="360" t="e">
        <f t="shared" ref="B58:B64" si="17">ROUND($C$48*C58*D58,0)</f>
        <v>#DIV/0!</v>
      </c>
      <c r="C58" s="515">
        <f t="shared" si="16"/>
        <v>0</v>
      </c>
      <c r="D58" s="1429">
        <v>0.25</v>
      </c>
      <c r="E58" s="1430"/>
      <c r="F58" s="1634" t="e">
        <f t="shared" si="15"/>
        <v>#DIV/0!</v>
      </c>
      <c r="G58" s="1433"/>
      <c r="H58" s="1432">
        <f>项目基本情况!B37</f>
        <v>0</v>
      </c>
      <c r="I58" s="1639">
        <f>SUMIF(修正!A59:A70,H58,修正!C59:C70)</f>
        <v>0</v>
      </c>
      <c r="J58" s="1641"/>
      <c r="K58" s="1414"/>
      <c r="L58" s="1497"/>
      <c r="M58" s="1497"/>
      <c r="N58" s="1497"/>
      <c r="O58" s="1497"/>
      <c r="P58" s="1497"/>
      <c r="Q58" s="1497"/>
      <c r="R58" s="1497"/>
      <c r="S58" s="1497"/>
      <c r="T58" s="1497"/>
      <c r="U58" s="1497"/>
      <c r="V58" s="1497"/>
      <c r="W58" s="1497"/>
      <c r="X58" s="1497"/>
      <c r="Y58" s="1497"/>
      <c r="Z58" s="1497"/>
      <c r="AA58" s="1497"/>
      <c r="AB58" s="1497"/>
      <c r="AC58" s="1497"/>
    </row>
    <row r="59" spans="1:29" s="1297" customFormat="1">
      <c r="A59" s="1428" t="s">
        <v>2284</v>
      </c>
      <c r="B59" s="360" t="e">
        <f t="shared" si="17"/>
        <v>#DIV/0!</v>
      </c>
      <c r="C59" s="515">
        <f t="shared" si="16"/>
        <v>0</v>
      </c>
      <c r="D59" s="1429">
        <v>0.25</v>
      </c>
      <c r="E59" s="1430"/>
      <c r="F59" s="1634" t="e">
        <f t="shared" si="15"/>
        <v>#DIV/0!</v>
      </c>
      <c r="G59" s="1433"/>
      <c r="H59" s="1432">
        <f>项目基本情况!B37</f>
        <v>0</v>
      </c>
      <c r="I59" s="1639">
        <f>SUMIF(修正!A59:A70,H59,修正!D59:D70)</f>
        <v>0</v>
      </c>
      <c r="J59" s="1641"/>
      <c r="K59" s="1409"/>
      <c r="L59" s="1497"/>
      <c r="M59" s="1497"/>
      <c r="N59" s="1497"/>
      <c r="O59" s="1497"/>
      <c r="P59" s="1497"/>
      <c r="Q59" s="1497"/>
      <c r="R59" s="1497"/>
      <c r="S59" s="1497"/>
      <c r="T59" s="1497"/>
      <c r="U59" s="1497"/>
      <c r="V59" s="1497"/>
      <c r="W59" s="1497"/>
      <c r="X59" s="1497"/>
      <c r="Y59" s="1497"/>
      <c r="Z59" s="1497"/>
      <c r="AA59" s="1497"/>
      <c r="AB59" s="1497"/>
      <c r="AC59" s="1497"/>
    </row>
    <row r="60" spans="1:29" s="1297" customFormat="1">
      <c r="A60" s="1428" t="s">
        <v>2285</v>
      </c>
      <c r="B60" s="360" t="e">
        <f t="shared" si="17"/>
        <v>#DIV/0!</v>
      </c>
      <c r="C60" s="515">
        <f t="shared" si="16"/>
        <v>0.3</v>
      </c>
      <c r="D60" s="1429">
        <v>0.25</v>
      </c>
      <c r="E60" s="359">
        <f>'数据-汇总表'!E11</f>
        <v>0</v>
      </c>
      <c r="F60" s="1634" t="e">
        <f t="shared" si="15"/>
        <v>#DIV/0!</v>
      </c>
      <c r="G60" s="1435" t="s">
        <v>2286</v>
      </c>
      <c r="H60" s="1432" t="str">
        <f>项目基本情况!C37</f>
        <v>一级</v>
      </c>
      <c r="I60" s="1639">
        <f>SUMIF(修正!A59:A70,H60,修正!E59:E70)</f>
        <v>0.3</v>
      </c>
      <c r="J60" s="1641"/>
      <c r="K60" s="1409"/>
      <c r="L60" s="1497"/>
      <c r="M60" s="1497"/>
      <c r="N60" s="1497"/>
      <c r="O60" s="1497"/>
      <c r="P60" s="1497"/>
      <c r="Q60" s="1497"/>
      <c r="R60" s="1497"/>
      <c r="S60" s="1497"/>
      <c r="T60" s="1497"/>
      <c r="U60" s="1497"/>
      <c r="V60" s="1497"/>
      <c r="W60" s="1497"/>
      <c r="X60" s="1497"/>
      <c r="Y60" s="1497"/>
      <c r="Z60" s="1497"/>
      <c r="AA60" s="1497"/>
      <c r="AB60" s="1497"/>
      <c r="AC60" s="1497"/>
    </row>
    <row r="61" spans="1:29" s="1297" customFormat="1">
      <c r="A61" s="1428" t="s">
        <v>2287</v>
      </c>
      <c r="B61" s="360" t="e">
        <f t="shared" si="17"/>
        <v>#DIV/0!</v>
      </c>
      <c r="C61" s="515">
        <f t="shared" si="16"/>
        <v>0.3</v>
      </c>
      <c r="D61" s="1429">
        <v>0.25</v>
      </c>
      <c r="E61" s="359">
        <f>'数据-汇总表'!E12</f>
        <v>0</v>
      </c>
      <c r="F61" s="1634" t="e">
        <f t="shared" si="15"/>
        <v>#DIV/0!</v>
      </c>
      <c r="G61" s="1436" t="s">
        <v>2288</v>
      </c>
      <c r="H61" s="1432" t="str">
        <f>IF(G61="商业",项目基本情况!B37,IF(G61="办公",项目基本情况!C37,IF(G61="住宅",项目基本情况!D37,项目基本情况!E37)))</f>
        <v>一级</v>
      </c>
      <c r="I61" s="1639">
        <f>SUMIF(修正!A59:A70,H61,修正!F59:F70)</f>
        <v>0.3</v>
      </c>
      <c r="J61" s="1641"/>
      <c r="K61" s="1414"/>
      <c r="L61" s="1497"/>
      <c r="M61" s="1497"/>
      <c r="N61" s="1497"/>
      <c r="O61" s="1497"/>
      <c r="P61" s="1497"/>
      <c r="Q61" s="1497"/>
      <c r="R61" s="1497"/>
      <c r="S61" s="1497"/>
      <c r="T61" s="1497"/>
      <c r="U61" s="1497"/>
      <c r="V61" s="1497"/>
      <c r="W61" s="1497"/>
      <c r="X61" s="1497"/>
      <c r="Y61" s="1497"/>
      <c r="Z61" s="1497"/>
      <c r="AA61" s="1497"/>
      <c r="AB61" s="1497"/>
      <c r="AC61" s="1497"/>
    </row>
    <row r="62" spans="1:29" s="1297" customFormat="1">
      <c r="A62" s="1428" t="s">
        <v>2289</v>
      </c>
      <c r="B62" s="360" t="e">
        <f t="shared" si="17"/>
        <v>#DIV/0!</v>
      </c>
      <c r="C62" s="515">
        <f t="shared" si="16"/>
        <v>0</v>
      </c>
      <c r="D62" s="1429">
        <v>0.25</v>
      </c>
      <c r="E62" s="359">
        <f>'数据-汇总表'!E13</f>
        <v>10776.5</v>
      </c>
      <c r="F62" s="1634" t="e">
        <f t="shared" si="15"/>
        <v>#DIV/0!</v>
      </c>
      <c r="G62" s="1436" t="s">
        <v>2290</v>
      </c>
      <c r="H62" s="1432">
        <f>IF(G62="商业",项目基本情况!B37,IF(G62="办公",项目基本情况!C37,IF(G62="住宅",项目基本情况!D37,项目基本情况!E37)))</f>
        <v>0</v>
      </c>
      <c r="I62" s="1639">
        <f>SUMIF(修正!A59:A70,H62,修正!G59:G70)</f>
        <v>0</v>
      </c>
      <c r="J62" s="1641"/>
      <c r="K62" s="1409"/>
      <c r="L62" s="1497"/>
      <c r="M62" s="1497"/>
      <c r="N62" s="1497"/>
      <c r="O62" s="1497"/>
      <c r="P62" s="1497"/>
      <c r="Q62" s="1497"/>
      <c r="R62" s="1497"/>
      <c r="S62" s="1497"/>
      <c r="T62" s="1497"/>
      <c r="U62" s="1497"/>
      <c r="V62" s="1497"/>
      <c r="W62" s="1497"/>
      <c r="X62" s="1497"/>
      <c r="Y62" s="1497"/>
      <c r="Z62" s="1497"/>
      <c r="AA62" s="1497"/>
      <c r="AB62" s="1497"/>
      <c r="AC62" s="1497"/>
    </row>
    <row r="63" spans="1:29" s="1297" customFormat="1">
      <c r="A63" s="1428" t="s">
        <v>2291</v>
      </c>
      <c r="B63" s="360" t="e">
        <f t="shared" si="17"/>
        <v>#DIV/0!</v>
      </c>
      <c r="C63" s="515">
        <f t="shared" si="16"/>
        <v>0</v>
      </c>
      <c r="D63" s="1429">
        <v>0.25</v>
      </c>
      <c r="E63" s="359">
        <f>'数据-汇总表'!E14</f>
        <v>0</v>
      </c>
      <c r="F63" s="1634" t="e">
        <f t="shared" si="15"/>
        <v>#DIV/0!</v>
      </c>
      <c r="G63" s="1435" t="s">
        <v>2282</v>
      </c>
      <c r="H63" s="1432">
        <f>项目基本情况!B37</f>
        <v>0</v>
      </c>
      <c r="I63" s="1639">
        <f>SUMIF(修正!A59:A70,H63,修正!G59:G70)</f>
        <v>0</v>
      </c>
      <c r="J63" s="1641"/>
      <c r="K63" s="1414"/>
      <c r="L63" s="1497"/>
      <c r="M63" s="1497"/>
      <c r="N63" s="1497"/>
      <c r="O63" s="1497"/>
      <c r="P63" s="1497"/>
      <c r="Q63" s="1497"/>
      <c r="R63" s="1497"/>
      <c r="S63" s="1497"/>
      <c r="T63" s="1497"/>
      <c r="U63" s="1497"/>
      <c r="V63" s="1497"/>
      <c r="W63" s="1497"/>
      <c r="X63" s="1497"/>
      <c r="Y63" s="1497"/>
      <c r="Z63" s="1497"/>
      <c r="AA63" s="1497"/>
      <c r="AB63" s="1497"/>
      <c r="AC63" s="1497"/>
    </row>
    <row r="64" spans="1:29" s="1297" customFormat="1">
      <c r="A64" s="1428" t="s">
        <v>2292</v>
      </c>
      <c r="B64" s="360" t="e">
        <f t="shared" si="17"/>
        <v>#DIV/0!</v>
      </c>
      <c r="C64" s="515">
        <f t="shared" si="16"/>
        <v>0.2</v>
      </c>
      <c r="D64" s="1429">
        <v>0.25</v>
      </c>
      <c r="E64" s="359">
        <f>'数据-汇总表'!E15</f>
        <v>0</v>
      </c>
      <c r="F64" s="1634" t="e">
        <f t="shared" si="15"/>
        <v>#DIV/0!</v>
      </c>
      <c r="G64" s="1437" t="s">
        <v>2286</v>
      </c>
      <c r="H64" s="1438" t="str">
        <f>项目基本情况!C37</f>
        <v>一级</v>
      </c>
      <c r="I64" s="1642">
        <f>SUMIF(修正!A59:A70,H64,修正!G59:G70)</f>
        <v>0.2</v>
      </c>
      <c r="J64" s="1643"/>
      <c r="K64" s="1409"/>
      <c r="L64" s="1497"/>
      <c r="M64" s="1497"/>
      <c r="N64" s="1497"/>
      <c r="O64" s="1497"/>
      <c r="P64" s="1497"/>
      <c r="Q64" s="1497"/>
      <c r="R64" s="1497"/>
      <c r="S64" s="1497"/>
      <c r="T64" s="1497"/>
      <c r="U64" s="1497"/>
      <c r="V64" s="1497"/>
      <c r="W64" s="1497"/>
      <c r="X64" s="1497"/>
      <c r="Y64" s="1497"/>
      <c r="Z64" s="1497"/>
      <c r="AA64" s="1497"/>
      <c r="AB64" s="1497"/>
      <c r="AC64" s="1497"/>
    </row>
    <row r="65" spans="1:29" s="1297" customFormat="1" ht="12.75">
      <c r="A65" s="1439" t="s">
        <v>2293</v>
      </c>
      <c r="B65" s="1440" t="s">
        <v>2294</v>
      </c>
      <c r="C65" s="1440" t="s">
        <v>2294</v>
      </c>
      <c r="D65" s="1440" t="s">
        <v>2294</v>
      </c>
      <c r="E65" s="1440">
        <f>IF(B46="楼面地价",SUM(E56:E64),'数据-汇总表'!D3)</f>
        <v>64848.28</v>
      </c>
      <c r="F65" s="1441" t="e">
        <f>IF(B46="楼面地价",SUM(F56:F64),ROUND(C48*E65/10000,0))</f>
        <v>#DIV/0!</v>
      </c>
      <c r="G65" s="1644"/>
      <c r="H65" s="1644"/>
      <c r="I65" s="1644"/>
      <c r="J65" s="1644"/>
      <c r="K65" s="1646"/>
      <c r="L65" s="1497"/>
      <c r="M65" s="1497"/>
      <c r="N65" s="1497"/>
      <c r="O65" s="1497"/>
      <c r="P65" s="1497"/>
      <c r="Q65" s="1497"/>
      <c r="R65" s="1497"/>
      <c r="S65" s="1497"/>
      <c r="T65" s="1497"/>
      <c r="U65" s="1497"/>
      <c r="V65" s="1497"/>
      <c r="W65" s="1497"/>
      <c r="X65" s="1497"/>
      <c r="Y65" s="1497"/>
      <c r="Z65" s="1497"/>
      <c r="AA65" s="1497"/>
      <c r="AB65" s="1497"/>
      <c r="AC65" s="1497"/>
    </row>
    <row r="66" spans="1:29">
      <c r="A66" s="1448"/>
      <c r="B66" s="1446"/>
      <c r="C66" s="1416"/>
      <c r="D66" s="1448"/>
      <c r="E66" s="1448"/>
      <c r="F66" s="1448"/>
      <c r="G66" s="1448"/>
      <c r="H66" s="1448"/>
      <c r="I66" s="1448"/>
      <c r="J66" s="1443"/>
      <c r="K66" s="1499"/>
      <c r="L66" s="1500"/>
      <c r="M66" s="1443"/>
      <c r="N66" s="1443"/>
      <c r="O66" s="1443"/>
      <c r="P66" s="1409"/>
      <c r="Q66" s="1409"/>
      <c r="R66" s="1409"/>
      <c r="S66" s="1409"/>
      <c r="T66" s="1409"/>
      <c r="U66" s="1409"/>
      <c r="V66" s="1409"/>
      <c r="W66" s="1409"/>
      <c r="X66" s="1409"/>
      <c r="Y66" s="1409"/>
      <c r="Z66" s="1409"/>
      <c r="AA66" s="1409"/>
      <c r="AB66" s="1409"/>
      <c r="AC66" s="1409"/>
    </row>
    <row r="67" spans="1:29">
      <c r="A67" s="1448"/>
      <c r="B67" s="1446"/>
      <c r="C67" s="1446" t="str">
        <f>YEAR(C7)&amp;"-"&amp;MONTH(C7)&amp;"-1"</f>
        <v>2025-8-1</v>
      </c>
      <c r="D67" s="1446">
        <f>EDATE(C67,-3)</f>
        <v>45778</v>
      </c>
      <c r="E67" s="1446">
        <f>EDATE(D67,-3)</f>
        <v>45689</v>
      </c>
      <c r="F67" s="1446">
        <f t="shared" ref="F67:O67" si="18">EDATE(E67,-3)</f>
        <v>45597</v>
      </c>
      <c r="G67" s="1446">
        <f t="shared" si="18"/>
        <v>45505</v>
      </c>
      <c r="H67" s="1446">
        <f t="shared" si="18"/>
        <v>45413</v>
      </c>
      <c r="I67" s="1446">
        <f t="shared" si="18"/>
        <v>45323</v>
      </c>
      <c r="J67" s="1446">
        <f t="shared" si="18"/>
        <v>45231</v>
      </c>
      <c r="K67" s="1446">
        <f t="shared" si="18"/>
        <v>45139</v>
      </c>
      <c r="L67" s="1446">
        <f t="shared" si="18"/>
        <v>45047</v>
      </c>
      <c r="M67" s="1446">
        <f t="shared" si="18"/>
        <v>44958</v>
      </c>
      <c r="N67" s="1446">
        <f t="shared" si="18"/>
        <v>44866</v>
      </c>
      <c r="O67" s="1446">
        <f t="shared" si="18"/>
        <v>44774</v>
      </c>
      <c r="P67" s="1409"/>
      <c r="Q67" s="1409"/>
      <c r="R67" s="1409"/>
      <c r="S67" s="1409"/>
      <c r="T67" s="1409"/>
      <c r="U67" s="1409"/>
      <c r="V67" s="1409"/>
      <c r="W67" s="1409"/>
      <c r="X67" s="1409"/>
      <c r="Y67" s="1409"/>
      <c r="Z67" s="1409"/>
      <c r="AA67" s="1409"/>
      <c r="AB67" s="1409"/>
      <c r="AC67" s="1409"/>
    </row>
    <row r="68" spans="1:29" ht="21">
      <c r="A68" s="1447" t="s">
        <v>1718</v>
      </c>
      <c r="B68" s="1448"/>
      <c r="C68" s="1449"/>
      <c r="D68" s="1449"/>
      <c r="E68" s="1449"/>
      <c r="F68" s="1450"/>
      <c r="G68" s="1450"/>
      <c r="H68" s="1449"/>
      <c r="I68" s="1449"/>
      <c r="J68" s="1503"/>
      <c r="K68" s="1647"/>
      <c r="L68" s="1648"/>
      <c r="M68" s="1503"/>
      <c r="N68" s="1504"/>
      <c r="O68" s="1504"/>
      <c r="P68" s="1504"/>
      <c r="Q68" s="1516"/>
      <c r="R68" s="1409"/>
      <c r="S68" s="1409"/>
      <c r="T68" s="1409"/>
      <c r="U68" s="1409"/>
      <c r="V68" s="1409"/>
      <c r="W68" s="1409"/>
      <c r="X68" s="1409"/>
      <c r="Y68" s="1409"/>
      <c r="Z68" s="1409"/>
      <c r="AA68" s="1409"/>
      <c r="AB68" s="1409"/>
      <c r="AC68" s="1409"/>
    </row>
    <row r="69" spans="1:29" s="1298" customFormat="1" ht="15">
      <c r="A69" s="1521" t="s">
        <v>2295</v>
      </c>
      <c r="B69" s="1522"/>
      <c r="C69" s="1523" t="str">
        <f>YEAR(C67)&amp;"-"&amp;ROUNDUP(MONTH(C67)/3,0)</f>
        <v>2025-3</v>
      </c>
      <c r="D69" s="1523" t="str">
        <f>YEAR(D67)&amp;"-"&amp;ROUNDUP(MONTH(D67)/3,0)</f>
        <v>2025-2</v>
      </c>
      <c r="E69" s="1523" t="str">
        <f t="shared" ref="E69:O69" si="19">YEAR(E67)&amp;"-"&amp;ROUNDUP(MONTH(E67)/3,0)</f>
        <v>2025-1</v>
      </c>
      <c r="F69" s="1523" t="str">
        <f t="shared" si="19"/>
        <v>2024-4</v>
      </c>
      <c r="G69" s="1523" t="str">
        <f t="shared" si="19"/>
        <v>2024-3</v>
      </c>
      <c r="H69" s="1523" t="str">
        <f t="shared" si="19"/>
        <v>2024-2</v>
      </c>
      <c r="I69" s="1523" t="str">
        <f t="shared" si="19"/>
        <v>2024-1</v>
      </c>
      <c r="J69" s="1523" t="str">
        <f t="shared" si="19"/>
        <v>2023-4</v>
      </c>
      <c r="K69" s="1523" t="str">
        <f t="shared" si="19"/>
        <v>2023-3</v>
      </c>
      <c r="L69" s="1523" t="str">
        <f t="shared" si="19"/>
        <v>2023-2</v>
      </c>
      <c r="M69" s="1523" t="str">
        <f t="shared" si="19"/>
        <v>2023-1</v>
      </c>
      <c r="N69" s="1523" t="str">
        <f t="shared" si="19"/>
        <v>2022-4</v>
      </c>
      <c r="O69" s="1523" t="str">
        <f t="shared" si="19"/>
        <v>2022-3</v>
      </c>
      <c r="P69" s="1568"/>
      <c r="Q69" s="1568"/>
      <c r="R69" s="1568"/>
      <c r="S69" s="1568"/>
      <c r="T69" s="1568"/>
      <c r="U69" s="1568"/>
      <c r="V69" s="1568"/>
      <c r="W69" s="1568"/>
      <c r="X69" s="1568"/>
      <c r="Y69" s="1568"/>
      <c r="Z69" s="1568"/>
      <c r="AA69" s="1568"/>
      <c r="AB69" s="1568"/>
      <c r="AC69" s="1568"/>
    </row>
    <row r="70" spans="1:29" s="1293" customFormat="1" ht="30" customHeight="1">
      <c r="A70" s="1645" t="s">
        <v>2296</v>
      </c>
      <c r="B70" s="1525" t="str">
        <f>"北京市平均增长率"&amp;TEXT(SUMIF(基准地价修正!N25:N29,A70,基准地价修正!P25:P29),"0.00%")</f>
        <v>北京市平均增长率0.00%</v>
      </c>
      <c r="C70" s="794">
        <v>100</v>
      </c>
      <c r="D70" s="1526"/>
      <c r="E70" s="1526"/>
      <c r="F70" s="1526"/>
      <c r="G70" s="1526"/>
      <c r="H70" s="1526"/>
      <c r="I70" s="1526"/>
      <c r="J70" s="1526"/>
      <c r="K70" s="1526"/>
      <c r="L70" s="1526"/>
      <c r="M70" s="1569"/>
      <c r="N70" s="1526"/>
      <c r="O70" s="1649"/>
      <c r="P70" s="1516"/>
      <c r="Q70" s="1464"/>
      <c r="R70" s="1464"/>
      <c r="S70" s="1464"/>
      <c r="T70" s="1464"/>
      <c r="U70" s="1464"/>
      <c r="V70" s="1464"/>
      <c r="W70" s="1464"/>
      <c r="X70" s="1464"/>
      <c r="Y70" s="1464"/>
      <c r="Z70" s="1464"/>
      <c r="AA70" s="1464"/>
      <c r="AB70" s="1464"/>
      <c r="AC70" s="1464"/>
    </row>
    <row r="71" spans="1:29" s="1293" customFormat="1" ht="15">
      <c r="A71" s="1527" t="s">
        <v>1719</v>
      </c>
      <c r="B71" s="1528"/>
      <c r="C71" s="1529"/>
      <c r="D71" s="1530"/>
      <c r="E71" s="1530"/>
      <c r="F71" s="1530"/>
      <c r="G71" s="1530"/>
      <c r="H71" s="1530"/>
      <c r="I71" s="1530"/>
      <c r="J71" s="1530"/>
      <c r="K71" s="1530"/>
      <c r="L71" s="1530"/>
      <c r="M71" s="1570"/>
      <c r="N71" s="1530"/>
      <c r="O71" s="1650"/>
      <c r="P71" s="1516"/>
      <c r="Q71" s="1516"/>
      <c r="R71" s="1464"/>
      <c r="S71" s="1464"/>
      <c r="T71" s="1464"/>
      <c r="U71" s="1464"/>
      <c r="V71" s="1464"/>
      <c r="W71" s="1464"/>
      <c r="X71" s="1464"/>
      <c r="Y71" s="1464"/>
      <c r="Z71" s="1464"/>
      <c r="AA71" s="1464"/>
      <c r="AB71" s="1464"/>
      <c r="AC71" s="1464"/>
    </row>
    <row r="72" spans="1:29" s="1293" customFormat="1" ht="15">
      <c r="A72" s="1531" t="s">
        <v>1665</v>
      </c>
      <c r="B72" s="1532"/>
      <c r="C72" s="1533" t="s">
        <v>1720</v>
      </c>
      <c r="D72" s="1534"/>
      <c r="E72" s="1534"/>
      <c r="F72" s="1534"/>
      <c r="G72" s="1534"/>
      <c r="H72" s="1534"/>
      <c r="I72" s="1534"/>
      <c r="J72" s="1534"/>
      <c r="K72" s="1534"/>
      <c r="L72" s="1572"/>
      <c r="M72" s="1573"/>
      <c r="N72" s="1574"/>
      <c r="O72" s="1574"/>
      <c r="P72" s="1177"/>
      <c r="Q72" s="1516"/>
      <c r="R72" s="1464"/>
      <c r="S72" s="1464"/>
      <c r="T72" s="1464"/>
      <c r="U72" s="1464"/>
      <c r="V72" s="1464"/>
      <c r="W72" s="1464"/>
      <c r="X72" s="1464"/>
      <c r="Y72" s="1464"/>
      <c r="Z72" s="1464"/>
      <c r="AA72" s="1464"/>
      <c r="AB72" s="1464"/>
      <c r="AC72" s="1464"/>
    </row>
    <row r="73" spans="1:29" s="1293" customFormat="1" ht="15">
      <c r="A73" s="1531"/>
      <c r="B73" s="1532"/>
      <c r="C73" s="1535">
        <v>100</v>
      </c>
      <c r="D73" s="1536"/>
      <c r="E73" s="1536"/>
      <c r="F73" s="1536"/>
      <c r="G73" s="1536"/>
      <c r="H73" s="1536"/>
      <c r="I73" s="1536"/>
      <c r="J73" s="1536"/>
      <c r="K73" s="1536"/>
      <c r="L73" s="1536"/>
      <c r="M73" s="1575"/>
      <c r="N73" s="1574"/>
      <c r="O73" s="1574"/>
      <c r="P73" s="1516"/>
      <c r="Q73" s="1516"/>
      <c r="R73" s="1464"/>
      <c r="S73" s="1464"/>
      <c r="T73" s="1464"/>
      <c r="U73" s="1464"/>
      <c r="V73" s="1464"/>
      <c r="W73" s="1464"/>
      <c r="X73" s="1464"/>
      <c r="Y73" s="1464"/>
      <c r="Z73" s="1464"/>
      <c r="AA73" s="1464"/>
      <c r="AB73" s="1464"/>
      <c r="AC73" s="1464"/>
    </row>
    <row r="74" spans="1:29">
      <c r="A74" s="1350" t="s">
        <v>1721</v>
      </c>
      <c r="B74" s="1537" t="s">
        <v>1669</v>
      </c>
      <c r="C74" s="1484"/>
      <c r="D74" s="1484"/>
      <c r="E74" s="1484"/>
      <c r="F74" s="1484"/>
      <c r="G74" s="1484"/>
      <c r="H74" s="1484"/>
      <c r="I74" s="1484"/>
      <c r="J74" s="1484"/>
      <c r="K74" s="1576"/>
      <c r="L74" s="1577"/>
      <c r="M74" s="1578"/>
      <c r="N74" s="1579"/>
      <c r="O74" s="1579"/>
      <c r="P74" s="1574"/>
      <c r="Q74" s="1516"/>
      <c r="R74" s="1409"/>
      <c r="S74" s="1409"/>
      <c r="T74" s="1409"/>
      <c r="U74" s="1409"/>
      <c r="V74" s="1409"/>
      <c r="W74" s="1409"/>
      <c r="X74" s="1409"/>
      <c r="Y74" s="1409"/>
      <c r="Z74" s="1409"/>
      <c r="AA74" s="1409"/>
      <c r="AB74" s="1409"/>
      <c r="AC74" s="1409"/>
    </row>
    <row r="75" spans="1:29" ht="15">
      <c r="A75" s="1337"/>
      <c r="B75" s="1538"/>
      <c r="C75" s="1539"/>
      <c r="D75" s="1539"/>
      <c r="E75" s="1539"/>
      <c r="F75" s="1539"/>
      <c r="G75" s="1539"/>
      <c r="H75" s="1539"/>
      <c r="I75" s="1539"/>
      <c r="J75" s="1539"/>
      <c r="K75" s="1539"/>
      <c r="L75" s="1539"/>
      <c r="M75" s="1580"/>
      <c r="N75" s="1581"/>
      <c r="O75" s="1581"/>
      <c r="P75" s="1574"/>
      <c r="Q75" s="1516"/>
      <c r="R75" s="1409"/>
      <c r="S75" s="1409"/>
      <c r="T75" s="1409"/>
      <c r="U75" s="1409"/>
      <c r="V75" s="1409"/>
      <c r="W75" s="1409"/>
      <c r="X75" s="1409"/>
      <c r="Y75" s="1409"/>
      <c r="Z75" s="1409"/>
      <c r="AA75" s="1409"/>
      <c r="AB75" s="1409"/>
      <c r="AC75" s="1409"/>
    </row>
    <row r="76" spans="1:29" ht="27">
      <c r="A76" s="1337"/>
      <c r="B76" s="1540" t="s">
        <v>1672</v>
      </c>
      <c r="C76" s="1541"/>
      <c r="D76" s="1541"/>
      <c r="E76" s="1541"/>
      <c r="F76" s="1541"/>
      <c r="G76" s="1541"/>
      <c r="H76" s="1541"/>
      <c r="I76" s="1541"/>
      <c r="J76" s="1541"/>
      <c r="K76" s="1582"/>
      <c r="L76" s="1583"/>
      <c r="M76" s="1584"/>
      <c r="N76" s="1579"/>
      <c r="O76" s="1579"/>
      <c r="P76" s="1574"/>
      <c r="Q76" s="1516"/>
      <c r="R76" s="1409"/>
      <c r="S76" s="1409"/>
      <c r="T76" s="1409"/>
      <c r="U76" s="1409"/>
      <c r="V76" s="1409"/>
      <c r="W76" s="1409"/>
      <c r="X76" s="1409"/>
      <c r="Y76" s="1409"/>
      <c r="Z76" s="1409"/>
      <c r="AA76" s="1409"/>
      <c r="AB76" s="1409"/>
      <c r="AC76" s="1409"/>
    </row>
    <row r="77" spans="1:29" ht="15">
      <c r="A77" s="1337"/>
      <c r="B77" s="1542"/>
      <c r="C77" s="1543"/>
      <c r="D77" s="1543"/>
      <c r="E77" s="1543"/>
      <c r="F77" s="1543"/>
      <c r="G77" s="1543"/>
      <c r="H77" s="1543"/>
      <c r="I77" s="1543"/>
      <c r="J77" s="1543"/>
      <c r="K77" s="1543"/>
      <c r="L77" s="1543"/>
      <c r="M77" s="1585"/>
      <c r="N77" s="1581"/>
      <c r="O77" s="1581"/>
      <c r="P77" s="1574"/>
      <c r="Q77" s="1516"/>
      <c r="R77" s="1409"/>
      <c r="S77" s="1409"/>
      <c r="T77" s="1409"/>
      <c r="U77" s="1409"/>
      <c r="V77" s="1409"/>
      <c r="W77" s="1409"/>
      <c r="X77" s="1409"/>
      <c r="Y77" s="1409"/>
      <c r="Z77" s="1409"/>
      <c r="AA77" s="1409"/>
      <c r="AB77" s="1409"/>
      <c r="AC77" s="1409"/>
    </row>
    <row r="78" spans="1:29" ht="15">
      <c r="A78" s="1337"/>
      <c r="B78" s="1544" t="s">
        <v>1675</v>
      </c>
      <c r="C78" s="1545" t="str">
        <f>C79&amp;"（含）"&amp;"-"&amp;D79</f>
        <v>（含）-</v>
      </c>
      <c r="D78" s="1545" t="str">
        <f t="shared" ref="D78:L78" si="20">D79&amp;"（含）"&amp;"-"&amp;E79</f>
        <v>（含）-</v>
      </c>
      <c r="E78" s="1545" t="str">
        <f t="shared" si="20"/>
        <v>（含）-</v>
      </c>
      <c r="F78" s="1545" t="str">
        <f t="shared" si="20"/>
        <v>（含）-</v>
      </c>
      <c r="G78" s="1545" t="str">
        <f t="shared" si="20"/>
        <v>（含）-</v>
      </c>
      <c r="H78" s="1545" t="str">
        <f t="shared" si="20"/>
        <v>（含）-</v>
      </c>
      <c r="I78" s="1545" t="str">
        <f t="shared" si="20"/>
        <v>（含）-</v>
      </c>
      <c r="J78" s="1545" t="str">
        <f t="shared" si="20"/>
        <v>（含）-</v>
      </c>
      <c r="K78" s="1545" t="str">
        <f t="shared" si="20"/>
        <v>（含）-</v>
      </c>
      <c r="L78" s="1545" t="str">
        <f t="shared" si="20"/>
        <v>（含）-</v>
      </c>
      <c r="M78" s="1357" t="str">
        <f>M79&amp;"（含）"&amp;"-"&amp;P79</f>
        <v>（含）-</v>
      </c>
      <c r="N78" s="1581"/>
      <c r="O78" s="1581"/>
      <c r="P78" s="1574"/>
      <c r="Q78" s="1516"/>
      <c r="R78" s="1409"/>
      <c r="S78" s="1409"/>
      <c r="T78" s="1409"/>
      <c r="U78" s="1409"/>
      <c r="V78" s="1409"/>
      <c r="W78" s="1409"/>
      <c r="X78" s="1409"/>
      <c r="Y78" s="1409"/>
      <c r="Z78" s="1409"/>
      <c r="AA78" s="1409"/>
      <c r="AB78" s="1409"/>
      <c r="AC78" s="1409"/>
    </row>
    <row r="79" spans="1:29" ht="15">
      <c r="A79" s="1337"/>
      <c r="B79" s="1546"/>
      <c r="C79" s="1343"/>
      <c r="D79" s="1343"/>
      <c r="E79" s="1343"/>
      <c r="F79" s="1343"/>
      <c r="G79" s="1343"/>
      <c r="H79" s="1343"/>
      <c r="I79" s="1343"/>
      <c r="J79" s="1343"/>
      <c r="K79" s="1586"/>
      <c r="L79" s="1587"/>
      <c r="M79" s="1588"/>
      <c r="N79" s="1579"/>
      <c r="O79" s="1579"/>
      <c r="P79" s="1574"/>
      <c r="Q79" s="1516"/>
      <c r="R79" s="1409"/>
      <c r="S79" s="1409"/>
      <c r="T79" s="1409"/>
      <c r="U79" s="1409"/>
      <c r="V79" s="1409"/>
      <c r="W79" s="1409"/>
      <c r="X79" s="1409"/>
      <c r="Y79" s="1409"/>
      <c r="Z79" s="1409"/>
      <c r="AA79" s="1409"/>
      <c r="AB79" s="1409"/>
      <c r="AC79" s="1409"/>
    </row>
    <row r="80" spans="1:29" ht="15">
      <c r="A80" s="1337"/>
      <c r="B80" s="1538"/>
      <c r="C80" s="1543">
        <v>100</v>
      </c>
      <c r="D80" s="1543">
        <f t="shared" ref="D80:M80" si="21">IF($B$46="单位面积地价",C80+$K11,C80-$K11)</f>
        <v>100</v>
      </c>
      <c r="E80" s="1543">
        <f t="shared" si="21"/>
        <v>100</v>
      </c>
      <c r="F80" s="1543">
        <f t="shared" si="21"/>
        <v>100</v>
      </c>
      <c r="G80" s="1543">
        <f t="shared" si="21"/>
        <v>100</v>
      </c>
      <c r="H80" s="1543">
        <f t="shared" si="21"/>
        <v>100</v>
      </c>
      <c r="I80" s="1543">
        <f t="shared" si="21"/>
        <v>100</v>
      </c>
      <c r="J80" s="1543">
        <f t="shared" si="21"/>
        <v>100</v>
      </c>
      <c r="K80" s="1543">
        <f t="shared" si="21"/>
        <v>100</v>
      </c>
      <c r="L80" s="1543">
        <f t="shared" si="21"/>
        <v>100</v>
      </c>
      <c r="M80" s="1543">
        <f t="shared" si="21"/>
        <v>100</v>
      </c>
      <c r="N80" s="1581"/>
      <c r="O80" s="1581"/>
      <c r="P80" s="1574"/>
      <c r="Q80" s="1516"/>
      <c r="R80" s="1409"/>
      <c r="S80" s="1409"/>
      <c r="T80" s="1409"/>
      <c r="U80" s="1409"/>
      <c r="V80" s="1409"/>
      <c r="W80" s="1409"/>
      <c r="X80" s="1409"/>
      <c r="Y80" s="1409"/>
      <c r="Z80" s="1409"/>
      <c r="AA80" s="1409"/>
      <c r="AB80" s="1409"/>
      <c r="AC80" s="1409"/>
    </row>
    <row r="81" spans="1:29" s="1295" customFormat="1" ht="15">
      <c r="A81" s="1547"/>
      <c r="B81" s="1540" t="str">
        <f>B12</f>
        <v>配建</v>
      </c>
      <c r="C81" s="1548"/>
      <c r="D81" s="1548"/>
      <c r="E81" s="1548"/>
      <c r="F81" s="1548"/>
      <c r="G81" s="1548"/>
      <c r="H81" s="1549"/>
      <c r="I81" s="1549"/>
      <c r="J81" s="1549"/>
      <c r="K81" s="1549"/>
      <c r="L81" s="1589"/>
      <c r="M81" s="1590"/>
      <c r="N81" s="1591"/>
      <c r="O81" s="1591"/>
      <c r="P81" s="1591"/>
      <c r="Q81" s="1619"/>
      <c r="R81" s="1482"/>
      <c r="S81" s="1482"/>
      <c r="T81" s="1482"/>
      <c r="U81" s="1482"/>
      <c r="V81" s="1482"/>
      <c r="W81" s="1482"/>
      <c r="X81" s="1482"/>
      <c r="Y81" s="1482"/>
      <c r="Z81" s="1482"/>
      <c r="AA81" s="1482"/>
      <c r="AB81" s="1482"/>
      <c r="AC81" s="1482"/>
    </row>
    <row r="82" spans="1:29" s="1295" customFormat="1" ht="15">
      <c r="A82" s="1547"/>
      <c r="B82" s="1542"/>
      <c r="C82" s="1550"/>
      <c r="D82" s="1539"/>
      <c r="E82" s="1539"/>
      <c r="F82" s="1539"/>
      <c r="G82" s="1539"/>
      <c r="H82" s="1539"/>
      <c r="I82" s="1539"/>
      <c r="J82" s="1539"/>
      <c r="K82" s="1539"/>
      <c r="L82" s="1539"/>
      <c r="M82" s="1580"/>
      <c r="N82" s="1581"/>
      <c r="O82" s="1581"/>
      <c r="P82" s="1591"/>
      <c r="Q82" s="1619"/>
      <c r="R82" s="1482"/>
      <c r="S82" s="1482"/>
      <c r="T82" s="1482"/>
      <c r="U82" s="1482"/>
      <c r="V82" s="1482"/>
      <c r="W82" s="1482"/>
      <c r="X82" s="1482"/>
      <c r="Y82" s="1482"/>
      <c r="Z82" s="1482"/>
      <c r="AA82" s="1482"/>
      <c r="AB82" s="1482"/>
      <c r="AC82" s="1482"/>
    </row>
    <row r="83" spans="1:29" s="1295" customFormat="1" ht="15">
      <c r="A83" s="1547"/>
      <c r="B83" s="1540">
        <f>B13</f>
        <v>111</v>
      </c>
      <c r="C83" s="1548"/>
      <c r="D83" s="1548"/>
      <c r="E83" s="1548"/>
      <c r="F83" s="1548"/>
      <c r="G83" s="1548"/>
      <c r="H83" s="1549"/>
      <c r="I83" s="1549"/>
      <c r="J83" s="1549"/>
      <c r="K83" s="1549"/>
      <c r="L83" s="1589"/>
      <c r="M83" s="1590"/>
      <c r="N83" s="1591"/>
      <c r="O83" s="1591"/>
      <c r="P83" s="1482"/>
      <c r="Q83" s="1620"/>
      <c r="R83" s="1482"/>
      <c r="S83" s="1482"/>
      <c r="T83" s="1482"/>
      <c r="U83" s="1482"/>
      <c r="V83" s="1482"/>
      <c r="W83" s="1482"/>
      <c r="X83" s="1482"/>
      <c r="Y83" s="1482"/>
      <c r="Z83" s="1482"/>
      <c r="AA83" s="1482"/>
      <c r="AB83" s="1482"/>
      <c r="AC83" s="1482"/>
    </row>
    <row r="84" spans="1:29" s="1295" customFormat="1" ht="15">
      <c r="A84" s="1547"/>
      <c r="B84" s="1542"/>
      <c r="C84" s="1550"/>
      <c r="D84" s="1550"/>
      <c r="E84" s="1550"/>
      <c r="F84" s="1550"/>
      <c r="G84" s="1550"/>
      <c r="H84" s="1551"/>
      <c r="I84" s="1551"/>
      <c r="J84" s="1551"/>
      <c r="K84" s="1551"/>
      <c r="L84" s="1551"/>
      <c r="M84" s="1592"/>
      <c r="N84" s="1591"/>
      <c r="O84" s="1591"/>
      <c r="P84" s="1591"/>
      <c r="Q84" s="1619"/>
      <c r="R84" s="1482"/>
      <c r="S84" s="1482"/>
      <c r="T84" s="1482"/>
      <c r="U84" s="1482"/>
      <c r="V84" s="1482"/>
      <c r="W84" s="1482"/>
      <c r="X84" s="1482"/>
      <c r="Y84" s="1482"/>
      <c r="Z84" s="1482"/>
      <c r="AA84" s="1482"/>
      <c r="AB84" s="1482"/>
      <c r="AC84" s="1482"/>
    </row>
    <row r="85" spans="1:29" s="1295" customFormat="1" ht="15">
      <c r="A85" s="1547"/>
      <c r="B85" s="1544">
        <f>B14</f>
        <v>111</v>
      </c>
      <c r="C85" s="1534"/>
      <c r="D85" s="1534"/>
      <c r="E85" s="1534"/>
      <c r="F85" s="1534"/>
      <c r="G85" s="1534"/>
      <c r="H85" s="1552"/>
      <c r="I85" s="1552"/>
      <c r="J85" s="1552"/>
      <c r="K85" s="1552"/>
      <c r="L85" s="1593"/>
      <c r="M85" s="1594"/>
      <c r="N85" s="1591"/>
      <c r="O85" s="1591"/>
      <c r="P85" s="1595"/>
      <c r="Q85" s="1619"/>
      <c r="R85" s="1482"/>
      <c r="S85" s="1482"/>
      <c r="T85" s="1482"/>
      <c r="U85" s="1482"/>
      <c r="V85" s="1482"/>
      <c r="W85" s="1482"/>
      <c r="X85" s="1482"/>
      <c r="Y85" s="1482"/>
      <c r="Z85" s="1482"/>
      <c r="AA85" s="1482"/>
      <c r="AB85" s="1482"/>
      <c r="AC85" s="1482"/>
    </row>
    <row r="86" spans="1:29" s="1295" customFormat="1" ht="15">
      <c r="A86" s="1553"/>
      <c r="B86" s="1554"/>
      <c r="C86" s="1555"/>
      <c r="D86" s="1555"/>
      <c r="E86" s="1555"/>
      <c r="F86" s="1555"/>
      <c r="G86" s="1555"/>
      <c r="H86" s="1556"/>
      <c r="I86" s="1556"/>
      <c r="J86" s="1556"/>
      <c r="K86" s="1556"/>
      <c r="L86" s="1556"/>
      <c r="M86" s="1596"/>
      <c r="N86" s="1591"/>
      <c r="O86" s="1591"/>
      <c r="P86" s="1591"/>
      <c r="Q86" s="1619"/>
      <c r="R86" s="1482"/>
      <c r="S86" s="1482"/>
      <c r="T86" s="1482"/>
      <c r="U86" s="1482"/>
      <c r="V86" s="1482"/>
      <c r="W86" s="1482"/>
      <c r="X86" s="1482"/>
      <c r="Y86" s="1482"/>
      <c r="Z86" s="1482"/>
      <c r="AA86" s="1482"/>
      <c r="AB86" s="1482"/>
      <c r="AC86" s="1482"/>
    </row>
    <row r="87" spans="1:29">
      <c r="A87" s="1350" t="s">
        <v>1676</v>
      </c>
      <c r="B87" s="1537" t="s">
        <v>2203</v>
      </c>
      <c r="C87" s="1557" t="s">
        <v>1722</v>
      </c>
      <c r="D87" s="1557" t="s">
        <v>1723</v>
      </c>
      <c r="E87" s="1557" t="s">
        <v>1724</v>
      </c>
      <c r="F87" s="1557" t="s">
        <v>1725</v>
      </c>
      <c r="G87" s="1557" t="s">
        <v>1726</v>
      </c>
      <c r="H87" s="621"/>
      <c r="I87" s="621"/>
      <c r="J87" s="621"/>
      <c r="K87" s="1597"/>
      <c r="L87" s="1598"/>
      <c r="M87" s="1599"/>
      <c r="N87" s="1579"/>
      <c r="O87" s="1579"/>
      <c r="P87" s="1600"/>
      <c r="Q87" s="1516"/>
      <c r="R87" s="1409"/>
      <c r="S87" s="1409"/>
      <c r="T87" s="1409"/>
      <c r="U87" s="1409"/>
      <c r="V87" s="1409"/>
      <c r="W87" s="1409"/>
      <c r="X87" s="1409"/>
      <c r="Y87" s="1409"/>
      <c r="Z87" s="1409"/>
      <c r="AA87" s="1409"/>
      <c r="AB87" s="1409"/>
      <c r="AC87" s="1409"/>
    </row>
    <row r="88" spans="1:29" ht="15">
      <c r="A88" s="1337"/>
      <c r="B88" s="1542"/>
      <c r="C88" s="1543">
        <v>100</v>
      </c>
      <c r="D88" s="1543">
        <f>C88-$K15</f>
        <v>100</v>
      </c>
      <c r="E88" s="1543">
        <f>D88-$K15</f>
        <v>100</v>
      </c>
      <c r="F88" s="1543">
        <f>E88-$K15</f>
        <v>100</v>
      </c>
      <c r="G88" s="1543">
        <f>F88-$K15</f>
        <v>100</v>
      </c>
      <c r="H88" s="1543"/>
      <c r="I88" s="1543"/>
      <c r="J88" s="1543"/>
      <c r="K88" s="1543"/>
      <c r="L88" s="1543"/>
      <c r="M88" s="1585"/>
      <c r="N88" s="1581"/>
      <c r="O88" s="1581"/>
      <c r="P88" s="1574"/>
      <c r="Q88" s="1516"/>
      <c r="R88" s="1409"/>
      <c r="S88" s="1409"/>
      <c r="T88" s="1409"/>
      <c r="U88" s="1409"/>
      <c r="V88" s="1409"/>
      <c r="W88" s="1409"/>
      <c r="X88" s="1409"/>
      <c r="Y88" s="1409"/>
      <c r="Z88" s="1409"/>
      <c r="AA88" s="1409"/>
      <c r="AB88" s="1409"/>
      <c r="AC88" s="1409"/>
    </row>
    <row r="89" spans="1:29" ht="15">
      <c r="A89" s="1337"/>
      <c r="B89" s="1540" t="s">
        <v>2230</v>
      </c>
      <c r="C89" s="1558" t="s">
        <v>1722</v>
      </c>
      <c r="D89" s="1558" t="s">
        <v>1723</v>
      </c>
      <c r="E89" s="1558" t="s">
        <v>1724</v>
      </c>
      <c r="F89" s="1558" t="s">
        <v>1725</v>
      </c>
      <c r="G89" s="1558" t="s">
        <v>1726</v>
      </c>
      <c r="H89" s="1541"/>
      <c r="I89" s="1541"/>
      <c r="J89" s="1541"/>
      <c r="K89" s="1582"/>
      <c r="L89" s="1583"/>
      <c r="M89" s="1584"/>
      <c r="N89" s="1579"/>
      <c r="O89" s="1579"/>
      <c r="P89" s="1574"/>
      <c r="Q89" s="1516"/>
      <c r="R89" s="1409"/>
      <c r="S89" s="1409"/>
      <c r="T89" s="1409"/>
      <c r="U89" s="1409"/>
      <c r="V89" s="1409"/>
      <c r="W89" s="1409"/>
      <c r="X89" s="1409"/>
      <c r="Y89" s="1409"/>
      <c r="Z89" s="1409"/>
      <c r="AA89" s="1409"/>
      <c r="AB89" s="1409"/>
      <c r="AC89" s="1409"/>
    </row>
    <row r="90" spans="1:29" ht="15">
      <c r="A90" s="1337"/>
      <c r="B90" s="1542"/>
      <c r="C90" s="1543">
        <v>100</v>
      </c>
      <c r="D90" s="1543">
        <f>C90-$K17</f>
        <v>100</v>
      </c>
      <c r="E90" s="1543">
        <f>D90-$K17</f>
        <v>100</v>
      </c>
      <c r="F90" s="1543">
        <f>E90-$K17</f>
        <v>100</v>
      </c>
      <c r="G90" s="1543">
        <f>F90-$K17</f>
        <v>100</v>
      </c>
      <c r="H90" s="1543"/>
      <c r="I90" s="1543"/>
      <c r="J90" s="1543"/>
      <c r="K90" s="1543"/>
      <c r="L90" s="1543"/>
      <c r="M90" s="1585"/>
      <c r="N90" s="1581"/>
      <c r="O90" s="1581"/>
      <c r="P90" s="1574"/>
      <c r="Q90" s="1516"/>
      <c r="R90" s="1409"/>
      <c r="S90" s="1409"/>
      <c r="T90" s="1409"/>
      <c r="U90" s="1409"/>
      <c r="V90" s="1409"/>
      <c r="W90" s="1409"/>
      <c r="X90" s="1409"/>
      <c r="Y90" s="1409"/>
      <c r="Z90" s="1409"/>
      <c r="AA90" s="1409"/>
      <c r="AB90" s="1409"/>
      <c r="AC90" s="1409"/>
    </row>
    <row r="91" spans="1:29" ht="15">
      <c r="A91" s="1337"/>
      <c r="B91" s="1540" t="s">
        <v>1677</v>
      </c>
      <c r="C91" s="1558" t="s">
        <v>1722</v>
      </c>
      <c r="D91" s="1558" t="s">
        <v>1723</v>
      </c>
      <c r="E91" s="1558" t="s">
        <v>1724</v>
      </c>
      <c r="F91" s="1558" t="s">
        <v>1725</v>
      </c>
      <c r="G91" s="1558" t="s">
        <v>1726</v>
      </c>
      <c r="H91" s="1541"/>
      <c r="I91" s="1541"/>
      <c r="J91" s="1541"/>
      <c r="K91" s="1582"/>
      <c r="L91" s="1583"/>
      <c r="M91" s="1584"/>
      <c r="N91" s="1579"/>
      <c r="O91" s="1579"/>
      <c r="P91" s="1574"/>
      <c r="Q91" s="1516"/>
      <c r="R91" s="1409"/>
      <c r="S91" s="1409"/>
      <c r="T91" s="1409"/>
      <c r="U91" s="1409"/>
      <c r="V91" s="1409"/>
      <c r="W91" s="1409"/>
      <c r="X91" s="1409"/>
      <c r="Y91" s="1409"/>
      <c r="Z91" s="1409"/>
      <c r="AA91" s="1409"/>
      <c r="AB91" s="1409"/>
      <c r="AC91" s="1409"/>
    </row>
    <row r="92" spans="1:29" ht="15">
      <c r="A92" s="1337"/>
      <c r="B92" s="1542"/>
      <c r="C92" s="1543">
        <v>100</v>
      </c>
      <c r="D92" s="1543">
        <f>C92-$K19</f>
        <v>100</v>
      </c>
      <c r="E92" s="1543">
        <f>D92-$K19</f>
        <v>100</v>
      </c>
      <c r="F92" s="1543">
        <f>E92-$K19</f>
        <v>100</v>
      </c>
      <c r="G92" s="1543">
        <f>F92-$K19</f>
        <v>100</v>
      </c>
      <c r="H92" s="1543"/>
      <c r="I92" s="1543"/>
      <c r="J92" s="1543"/>
      <c r="K92" s="1543"/>
      <c r="L92" s="1543"/>
      <c r="M92" s="1585"/>
      <c r="N92" s="1581"/>
      <c r="O92" s="1581"/>
      <c r="P92" s="1574"/>
      <c r="Q92" s="1516"/>
      <c r="R92" s="1409"/>
      <c r="S92" s="1409"/>
      <c r="T92" s="1409"/>
      <c r="U92" s="1409"/>
      <c r="V92" s="1409"/>
      <c r="W92" s="1409"/>
      <c r="X92" s="1409"/>
      <c r="Y92" s="1409"/>
      <c r="Z92" s="1409"/>
      <c r="AA92" s="1409"/>
      <c r="AB92" s="1409"/>
      <c r="AC92" s="1409"/>
    </row>
    <row r="93" spans="1:29" ht="15">
      <c r="A93" s="1337"/>
      <c r="B93" s="1540" t="s">
        <v>1682</v>
      </c>
      <c r="C93" s="1558" t="s">
        <v>1722</v>
      </c>
      <c r="D93" s="1558" t="s">
        <v>1723</v>
      </c>
      <c r="E93" s="1558" t="s">
        <v>1724</v>
      </c>
      <c r="F93" s="1558" t="s">
        <v>1725</v>
      </c>
      <c r="G93" s="1558" t="s">
        <v>1726</v>
      </c>
      <c r="H93" s="1541"/>
      <c r="I93" s="1541"/>
      <c r="J93" s="1541"/>
      <c r="K93" s="1582"/>
      <c r="L93" s="1583"/>
      <c r="M93" s="1584"/>
      <c r="N93" s="1579"/>
      <c r="O93" s="1579"/>
      <c r="P93" s="1574"/>
      <c r="Q93" s="1516"/>
      <c r="R93" s="1409"/>
      <c r="S93" s="1409"/>
      <c r="T93" s="1409"/>
      <c r="U93" s="1409"/>
      <c r="V93" s="1409"/>
      <c r="W93" s="1409"/>
      <c r="X93" s="1409"/>
      <c r="Y93" s="1409"/>
      <c r="Z93" s="1409"/>
      <c r="AA93" s="1409"/>
      <c r="AB93" s="1409"/>
      <c r="AC93" s="1409"/>
    </row>
    <row r="94" spans="1:29" ht="15">
      <c r="A94" s="1337"/>
      <c r="B94" s="1542"/>
      <c r="C94" s="1543">
        <v>100</v>
      </c>
      <c r="D94" s="1543">
        <f>C94-$K21</f>
        <v>100</v>
      </c>
      <c r="E94" s="1543">
        <f>D94-$K21</f>
        <v>100</v>
      </c>
      <c r="F94" s="1543">
        <f>E94-$K21</f>
        <v>100</v>
      </c>
      <c r="G94" s="1543">
        <f>F94-$K21</f>
        <v>100</v>
      </c>
      <c r="H94" s="1543"/>
      <c r="I94" s="1543"/>
      <c r="J94" s="1543"/>
      <c r="K94" s="1543"/>
      <c r="L94" s="1543"/>
      <c r="M94" s="1585"/>
      <c r="N94" s="1581"/>
      <c r="O94" s="1581"/>
      <c r="P94" s="1574"/>
      <c r="Q94" s="1516"/>
      <c r="R94" s="1409"/>
      <c r="S94" s="1409"/>
      <c r="T94" s="1409"/>
      <c r="U94" s="1409"/>
      <c r="V94" s="1409"/>
      <c r="W94" s="1409"/>
      <c r="X94" s="1409"/>
      <c r="Y94" s="1409"/>
      <c r="Z94" s="1409"/>
      <c r="AA94" s="1409"/>
      <c r="AB94" s="1409"/>
      <c r="AC94" s="1409"/>
    </row>
    <row r="95" spans="1:29" s="1293" customFormat="1" ht="15">
      <c r="A95" s="1340"/>
      <c r="B95" s="1540" t="s">
        <v>2261</v>
      </c>
      <c r="C95" s="1558" t="s">
        <v>1722</v>
      </c>
      <c r="D95" s="1558" t="s">
        <v>1723</v>
      </c>
      <c r="E95" s="1558" t="s">
        <v>1724</v>
      </c>
      <c r="F95" s="1558" t="s">
        <v>1725</v>
      </c>
      <c r="G95" s="1558" t="s">
        <v>1726</v>
      </c>
      <c r="H95" s="1558"/>
      <c r="I95" s="1558"/>
      <c r="J95" s="1558"/>
      <c r="K95" s="1558"/>
      <c r="L95" s="1601"/>
      <c r="M95" s="1602"/>
      <c r="N95" s="1574"/>
      <c r="O95" s="1574"/>
      <c r="P95" s="1574"/>
      <c r="Q95" s="1516"/>
      <c r="R95" s="1464"/>
      <c r="S95" s="1464"/>
      <c r="T95" s="1464"/>
      <c r="U95" s="1464"/>
      <c r="V95" s="1464"/>
      <c r="W95" s="1464"/>
      <c r="X95" s="1464"/>
      <c r="Y95" s="1464"/>
      <c r="Z95" s="1464"/>
      <c r="AA95" s="1464"/>
      <c r="AB95" s="1464"/>
      <c r="AC95" s="1464"/>
    </row>
    <row r="96" spans="1:29" s="1293" customFormat="1" ht="15">
      <c r="A96" s="1340"/>
      <c r="B96" s="1542"/>
      <c r="C96" s="1559">
        <v>100</v>
      </c>
      <c r="D96" s="1543">
        <f>C96-$K23</f>
        <v>100</v>
      </c>
      <c r="E96" s="1543">
        <f>D96-$K23</f>
        <v>100</v>
      </c>
      <c r="F96" s="1543">
        <f>E96-$K23</f>
        <v>100</v>
      </c>
      <c r="G96" s="1543">
        <f>F96-$K23</f>
        <v>100</v>
      </c>
      <c r="H96" s="1543"/>
      <c r="I96" s="1543"/>
      <c r="J96" s="1543"/>
      <c r="K96" s="1543"/>
      <c r="L96" s="1543"/>
      <c r="M96" s="1585"/>
      <c r="N96" s="1581"/>
      <c r="O96" s="1581"/>
      <c r="P96" s="1574"/>
      <c r="Q96" s="1516"/>
      <c r="R96" s="1464"/>
      <c r="S96" s="1464"/>
      <c r="T96" s="1464"/>
      <c r="U96" s="1464"/>
      <c r="V96" s="1464"/>
      <c r="W96" s="1464"/>
      <c r="X96" s="1464"/>
      <c r="Y96" s="1464"/>
      <c r="Z96" s="1464"/>
      <c r="AA96" s="1464"/>
      <c r="AB96" s="1464"/>
      <c r="AC96" s="1464"/>
    </row>
    <row r="97" spans="1:29" s="1293" customFormat="1" ht="27">
      <c r="A97" s="1340"/>
      <c r="B97" s="1540" t="s">
        <v>2262</v>
      </c>
      <c r="C97" s="1557" t="s">
        <v>1722</v>
      </c>
      <c r="D97" s="1557" t="s">
        <v>1723</v>
      </c>
      <c r="E97" s="1557" t="s">
        <v>1724</v>
      </c>
      <c r="F97" s="1557" t="s">
        <v>1725</v>
      </c>
      <c r="G97" s="1557" t="s">
        <v>1726</v>
      </c>
      <c r="H97" s="1558"/>
      <c r="I97" s="1558"/>
      <c r="J97" s="1558"/>
      <c r="K97" s="1558"/>
      <c r="L97" s="1558"/>
      <c r="M97" s="1602"/>
      <c r="N97" s="1574"/>
      <c r="O97" s="1574"/>
      <c r="P97" s="1574"/>
      <c r="Q97" s="1516"/>
      <c r="R97" s="1464"/>
      <c r="S97" s="1464"/>
      <c r="T97" s="1464"/>
      <c r="U97" s="1464"/>
      <c r="V97" s="1464"/>
      <c r="W97" s="1464"/>
      <c r="X97" s="1464"/>
      <c r="Y97" s="1464"/>
      <c r="Z97" s="1464"/>
      <c r="AA97" s="1464"/>
      <c r="AB97" s="1464"/>
      <c r="AC97" s="1464"/>
    </row>
    <row r="98" spans="1:29" s="1293" customFormat="1" ht="15">
      <c r="A98" s="1340"/>
      <c r="B98" s="1542"/>
      <c r="C98" s="1543">
        <v>100</v>
      </c>
      <c r="D98" s="1543">
        <f>C98-$K25</f>
        <v>100</v>
      </c>
      <c r="E98" s="1543">
        <f>D98-$K25</f>
        <v>100</v>
      </c>
      <c r="F98" s="1543">
        <f>E98-$K25</f>
        <v>100</v>
      </c>
      <c r="G98" s="1543">
        <f>F98-$K25</f>
        <v>100</v>
      </c>
      <c r="H98" s="1543"/>
      <c r="I98" s="1543"/>
      <c r="J98" s="1543"/>
      <c r="K98" s="1543"/>
      <c r="L98" s="1543"/>
      <c r="M98" s="1585"/>
      <c r="N98" s="1581"/>
      <c r="O98" s="1581"/>
      <c r="P98" s="1574"/>
      <c r="Q98" s="1516"/>
      <c r="R98" s="1464"/>
      <c r="S98" s="1464"/>
      <c r="T98" s="1464"/>
      <c r="U98" s="1464"/>
      <c r="V98" s="1464"/>
      <c r="W98" s="1464"/>
      <c r="X98" s="1464"/>
      <c r="Y98" s="1464"/>
      <c r="Z98" s="1464"/>
      <c r="AA98" s="1464"/>
      <c r="AB98" s="1464"/>
      <c r="AC98" s="1464"/>
    </row>
    <row r="99" spans="1:29" s="1295" customFormat="1" ht="15">
      <c r="A99" s="1547"/>
      <c r="B99" s="1540" t="s">
        <v>1683</v>
      </c>
      <c r="C99" s="1557" t="s">
        <v>1722</v>
      </c>
      <c r="D99" s="1557" t="s">
        <v>1723</v>
      </c>
      <c r="E99" s="1557" t="s">
        <v>1724</v>
      </c>
      <c r="F99" s="1557" t="s">
        <v>1725</v>
      </c>
      <c r="G99" s="1557" t="s">
        <v>1726</v>
      </c>
      <c r="H99" s="1560"/>
      <c r="I99" s="1560"/>
      <c r="J99" s="1560"/>
      <c r="K99" s="1560"/>
      <c r="L99" s="1603"/>
      <c r="M99" s="1604"/>
      <c r="N99" s="1591"/>
      <c r="O99" s="1591"/>
      <c r="P99" s="1591"/>
      <c r="Q99" s="1619"/>
      <c r="R99" s="1482"/>
      <c r="S99" s="1482"/>
      <c r="T99" s="1482"/>
      <c r="U99" s="1482"/>
      <c r="V99" s="1482"/>
      <c r="W99" s="1482"/>
      <c r="X99" s="1482"/>
      <c r="Y99" s="1482"/>
      <c r="Z99" s="1482"/>
      <c r="AA99" s="1482"/>
      <c r="AB99" s="1482"/>
      <c r="AC99" s="1482"/>
    </row>
    <row r="100" spans="1:29" s="1295" customFormat="1" ht="15">
      <c r="A100" s="1547"/>
      <c r="B100" s="1542"/>
      <c r="C100" s="1543">
        <v>100</v>
      </c>
      <c r="D100" s="1543">
        <f>C100-$K27</f>
        <v>100</v>
      </c>
      <c r="E100" s="1543">
        <f>D100-$K27</f>
        <v>100</v>
      </c>
      <c r="F100" s="1543">
        <f>E100-$K27</f>
        <v>100</v>
      </c>
      <c r="G100" s="1543">
        <f>F100-$K27</f>
        <v>100</v>
      </c>
      <c r="H100" s="1561"/>
      <c r="I100" s="1561"/>
      <c r="J100" s="1561"/>
      <c r="K100" s="1561"/>
      <c r="L100" s="1561"/>
      <c r="M100" s="1605"/>
      <c r="N100" s="1591"/>
      <c r="O100" s="1591"/>
      <c r="P100" s="1591"/>
      <c r="Q100" s="1619"/>
      <c r="R100" s="1482"/>
      <c r="S100" s="1482"/>
      <c r="T100" s="1482"/>
      <c r="U100" s="1482"/>
      <c r="V100" s="1482"/>
      <c r="W100" s="1482"/>
      <c r="X100" s="1482"/>
      <c r="Y100" s="1482"/>
      <c r="Z100" s="1482"/>
      <c r="AA100" s="1482"/>
      <c r="AB100" s="1482"/>
      <c r="AC100" s="1482"/>
    </row>
    <row r="101" spans="1:29" s="1295" customFormat="1" ht="15">
      <c r="A101" s="1547"/>
      <c r="B101" s="1544" t="s">
        <v>1684</v>
      </c>
      <c r="C101" s="1476" t="s">
        <v>1727</v>
      </c>
      <c r="D101" s="1476" t="s">
        <v>1728</v>
      </c>
      <c r="E101" s="1476" t="s">
        <v>1729</v>
      </c>
      <c r="F101" s="1476" t="s">
        <v>1730</v>
      </c>
      <c r="G101" s="1476" t="s">
        <v>1731</v>
      </c>
      <c r="H101" s="1560"/>
      <c r="I101" s="1560"/>
      <c r="J101" s="1560"/>
      <c r="K101" s="1560"/>
      <c r="L101" s="1560"/>
      <c r="M101" s="1606"/>
      <c r="N101" s="1591"/>
      <c r="O101" s="1591"/>
      <c r="P101" s="1591"/>
      <c r="Q101" s="1619"/>
      <c r="R101" s="1482"/>
      <c r="S101" s="1482"/>
      <c r="T101" s="1482"/>
      <c r="U101" s="1482"/>
      <c r="V101" s="1482"/>
      <c r="W101" s="1482"/>
      <c r="X101" s="1482"/>
      <c r="Y101" s="1482"/>
      <c r="Z101" s="1482"/>
      <c r="AA101" s="1482"/>
      <c r="AB101" s="1482"/>
      <c r="AC101" s="1482"/>
    </row>
    <row r="102" spans="1:29" s="1295" customFormat="1" ht="15">
      <c r="A102" s="1547"/>
      <c r="B102" s="1544"/>
      <c r="C102" s="1543">
        <v>100</v>
      </c>
      <c r="D102" s="1543">
        <f>C102-$K29</f>
        <v>100</v>
      </c>
      <c r="E102" s="1543">
        <f>D102-$K29</f>
        <v>100</v>
      </c>
      <c r="F102" s="1543">
        <f>E102-$K29</f>
        <v>100</v>
      </c>
      <c r="G102" s="1543">
        <f>F102-$K29</f>
        <v>100</v>
      </c>
      <c r="H102" s="1546"/>
      <c r="I102" s="1546"/>
      <c r="J102" s="1546"/>
      <c r="K102" s="1546"/>
      <c r="L102" s="1546"/>
      <c r="M102" s="1606"/>
      <c r="N102" s="1591"/>
      <c r="O102" s="1591"/>
      <c r="P102" s="1591"/>
      <c r="Q102" s="1619"/>
      <c r="R102" s="1482"/>
      <c r="S102" s="1482"/>
      <c r="T102" s="1482"/>
      <c r="U102" s="1482"/>
      <c r="V102" s="1482"/>
      <c r="W102" s="1482"/>
      <c r="X102" s="1482"/>
      <c r="Y102" s="1482"/>
      <c r="Z102" s="1482"/>
      <c r="AA102" s="1482"/>
      <c r="AB102" s="1482"/>
      <c r="AC102" s="1482"/>
    </row>
    <row r="103" spans="1:29" ht="15">
      <c r="A103" s="1337"/>
      <c r="B103" s="1540" t="str">
        <f>B31</f>
        <v>临街状况</v>
      </c>
      <c r="C103" s="1541" t="s">
        <v>2297</v>
      </c>
      <c r="D103" s="1541" t="s">
        <v>2298</v>
      </c>
      <c r="E103" s="1541" t="s">
        <v>2299</v>
      </c>
      <c r="F103" s="1541" t="s">
        <v>2300</v>
      </c>
      <c r="G103" s="1541"/>
      <c r="H103" s="1541"/>
      <c r="I103" s="1541"/>
      <c r="J103" s="1541"/>
      <c r="K103" s="1582"/>
      <c r="L103" s="1583"/>
      <c r="M103" s="1584"/>
      <c r="N103" s="1579"/>
      <c r="O103" s="1579"/>
      <c r="P103" s="1574"/>
      <c r="Q103" s="1516"/>
      <c r="R103" s="1409"/>
      <c r="S103" s="1409"/>
      <c r="T103" s="1409"/>
      <c r="U103" s="1409"/>
      <c r="V103" s="1409"/>
      <c r="W103" s="1409"/>
      <c r="X103" s="1409"/>
      <c r="Y103" s="1409"/>
      <c r="Z103" s="1409"/>
      <c r="AA103" s="1409"/>
      <c r="AB103" s="1409"/>
      <c r="AC103" s="1409"/>
    </row>
    <row r="104" spans="1:29" ht="15">
      <c r="A104" s="1337"/>
      <c r="B104" s="1542"/>
      <c r="C104" s="1543">
        <v>100</v>
      </c>
      <c r="D104" s="1543">
        <f t="shared" ref="D104:M104" si="22">C104-$K31</f>
        <v>100</v>
      </c>
      <c r="E104" s="1543">
        <f t="shared" si="22"/>
        <v>100</v>
      </c>
      <c r="F104" s="1543">
        <f t="shared" si="22"/>
        <v>100</v>
      </c>
      <c r="G104" s="1543">
        <f t="shared" si="22"/>
        <v>100</v>
      </c>
      <c r="H104" s="1543">
        <f t="shared" si="22"/>
        <v>100</v>
      </c>
      <c r="I104" s="1543">
        <f t="shared" si="22"/>
        <v>100</v>
      </c>
      <c r="J104" s="1543">
        <f t="shared" si="22"/>
        <v>100</v>
      </c>
      <c r="K104" s="1543">
        <f t="shared" si="22"/>
        <v>100</v>
      </c>
      <c r="L104" s="1543">
        <f t="shared" si="22"/>
        <v>100</v>
      </c>
      <c r="M104" s="1543">
        <f t="shared" si="22"/>
        <v>100</v>
      </c>
      <c r="N104" s="1581"/>
      <c r="O104" s="1581"/>
      <c r="P104" s="1574"/>
      <c r="Q104" s="1516"/>
      <c r="R104" s="1409"/>
      <c r="S104" s="1409"/>
      <c r="T104" s="1409"/>
      <c r="U104" s="1409"/>
      <c r="V104" s="1409"/>
      <c r="W104" s="1409"/>
      <c r="X104" s="1409"/>
      <c r="Y104" s="1409"/>
      <c r="Z104" s="1409"/>
      <c r="AA104" s="1409"/>
      <c r="AB104" s="1409"/>
      <c r="AC104" s="1409"/>
    </row>
    <row r="105" spans="1:29" ht="27">
      <c r="A105" s="1337"/>
      <c r="B105" s="1540" t="s">
        <v>1686</v>
      </c>
      <c r="C105" s="1548"/>
      <c r="D105" s="1548"/>
      <c r="E105" s="1548"/>
      <c r="F105" s="1548"/>
      <c r="G105" s="1548"/>
      <c r="H105" s="1562"/>
      <c r="I105" s="1562"/>
      <c r="J105" s="1562"/>
      <c r="K105" s="1607"/>
      <c r="L105" s="1608"/>
      <c r="M105" s="1609"/>
      <c r="N105" s="1579"/>
      <c r="O105" s="1579"/>
      <c r="P105" s="1574"/>
      <c r="Q105" s="1516"/>
      <c r="R105" s="1409"/>
      <c r="S105" s="1409"/>
      <c r="T105" s="1409"/>
      <c r="U105" s="1409"/>
      <c r="V105" s="1409"/>
      <c r="W105" s="1409"/>
      <c r="X105" s="1409"/>
      <c r="Y105" s="1409"/>
      <c r="Z105" s="1409"/>
      <c r="AA105" s="1409"/>
      <c r="AB105" s="1409"/>
      <c r="AC105" s="1409"/>
    </row>
    <row r="106" spans="1:29" ht="15">
      <c r="A106" s="1337"/>
      <c r="B106" s="1542"/>
      <c r="C106" s="1543">
        <v>100</v>
      </c>
      <c r="D106" s="1543">
        <f t="shared" ref="D106:M106" si="23">C106-$K32</f>
        <v>100</v>
      </c>
      <c r="E106" s="1543">
        <f t="shared" si="23"/>
        <v>100</v>
      </c>
      <c r="F106" s="1543">
        <f t="shared" si="23"/>
        <v>100</v>
      </c>
      <c r="G106" s="1543">
        <f t="shared" si="23"/>
        <v>100</v>
      </c>
      <c r="H106" s="1543">
        <f t="shared" si="23"/>
        <v>100</v>
      </c>
      <c r="I106" s="1543">
        <f t="shared" si="23"/>
        <v>100</v>
      </c>
      <c r="J106" s="1543">
        <f t="shared" si="23"/>
        <v>100</v>
      </c>
      <c r="K106" s="1543">
        <f t="shared" si="23"/>
        <v>100</v>
      </c>
      <c r="L106" s="1543">
        <f t="shared" si="23"/>
        <v>100</v>
      </c>
      <c r="M106" s="1543">
        <f t="shared" si="23"/>
        <v>100</v>
      </c>
      <c r="N106" s="1581"/>
      <c r="O106" s="1581"/>
      <c r="P106" s="1574"/>
      <c r="Q106" s="1516"/>
      <c r="R106" s="1409"/>
      <c r="S106" s="1409"/>
      <c r="T106" s="1409"/>
      <c r="U106" s="1409"/>
      <c r="V106" s="1409"/>
      <c r="W106" s="1409"/>
      <c r="X106" s="1409"/>
      <c r="Y106" s="1409"/>
      <c r="Z106" s="1409"/>
      <c r="AA106" s="1409"/>
      <c r="AB106" s="1409"/>
      <c r="AC106" s="1409"/>
    </row>
    <row r="107" spans="1:29" ht="15">
      <c r="A107" s="1337"/>
      <c r="B107" s="1540" t="s">
        <v>2263</v>
      </c>
      <c r="C107" s="1562"/>
      <c r="D107" s="1562"/>
      <c r="E107" s="1562"/>
      <c r="F107" s="1562"/>
      <c r="G107" s="1562"/>
      <c r="H107" s="1562"/>
      <c r="I107" s="1562"/>
      <c r="J107" s="1562"/>
      <c r="K107" s="1607"/>
      <c r="L107" s="1608"/>
      <c r="M107" s="1609"/>
      <c r="N107" s="1579"/>
      <c r="O107" s="1579"/>
      <c r="P107" s="1574"/>
      <c r="Q107" s="1516"/>
      <c r="R107" s="1409"/>
      <c r="S107" s="1409"/>
      <c r="T107" s="1409"/>
      <c r="U107" s="1409"/>
      <c r="V107" s="1409"/>
      <c r="W107" s="1409"/>
      <c r="X107" s="1409"/>
      <c r="Y107" s="1409"/>
      <c r="Z107" s="1409"/>
      <c r="AA107" s="1409"/>
      <c r="AB107" s="1409"/>
      <c r="AC107" s="1409"/>
    </row>
    <row r="108" spans="1:29" ht="15">
      <c r="A108" s="1337"/>
      <c r="B108" s="1542"/>
      <c r="C108" s="1543">
        <v>100</v>
      </c>
      <c r="D108" s="1543">
        <f t="shared" ref="D108:M108" si="24">C108-$K34</f>
        <v>100</v>
      </c>
      <c r="E108" s="1543">
        <f t="shared" si="24"/>
        <v>100</v>
      </c>
      <c r="F108" s="1543">
        <f t="shared" si="24"/>
        <v>100</v>
      </c>
      <c r="G108" s="1543">
        <f t="shared" si="24"/>
        <v>100</v>
      </c>
      <c r="H108" s="1543">
        <f t="shared" si="24"/>
        <v>100</v>
      </c>
      <c r="I108" s="1543">
        <f t="shared" si="24"/>
        <v>100</v>
      </c>
      <c r="J108" s="1543">
        <f t="shared" si="24"/>
        <v>100</v>
      </c>
      <c r="K108" s="1543">
        <f t="shared" si="24"/>
        <v>100</v>
      </c>
      <c r="L108" s="1543">
        <f t="shared" si="24"/>
        <v>100</v>
      </c>
      <c r="M108" s="1543">
        <f t="shared" si="24"/>
        <v>100</v>
      </c>
      <c r="N108" s="1581"/>
      <c r="O108" s="1581"/>
      <c r="P108" s="1574"/>
      <c r="Q108" s="1516"/>
      <c r="R108" s="1409"/>
      <c r="S108" s="1409"/>
      <c r="T108" s="1409"/>
      <c r="U108" s="1409"/>
      <c r="V108" s="1409"/>
      <c r="W108" s="1409"/>
      <c r="X108" s="1409"/>
      <c r="Y108" s="1409"/>
      <c r="Z108" s="1409"/>
      <c r="AA108" s="1409"/>
      <c r="AB108" s="1409"/>
      <c r="AC108" s="1409"/>
    </row>
    <row r="109" spans="1:29" ht="15">
      <c r="A109" s="1337"/>
      <c r="B109" s="1544">
        <f>B35</f>
        <v>111</v>
      </c>
      <c r="C109" s="1548"/>
      <c r="D109" s="1548"/>
      <c r="E109" s="1548"/>
      <c r="F109" s="1548"/>
      <c r="G109" s="1563"/>
      <c r="H109" s="1563"/>
      <c r="I109" s="1563"/>
      <c r="J109" s="1563"/>
      <c r="K109" s="1610"/>
      <c r="L109" s="1611"/>
      <c r="M109" s="1612"/>
      <c r="N109" s="1579"/>
      <c r="O109" s="1579"/>
      <c r="P109" s="1574"/>
      <c r="Q109" s="1516"/>
      <c r="R109" s="1409"/>
      <c r="S109" s="1409"/>
      <c r="T109" s="1409"/>
      <c r="U109" s="1409"/>
      <c r="V109" s="1409"/>
      <c r="W109" s="1409"/>
      <c r="X109" s="1409"/>
      <c r="Y109" s="1409"/>
      <c r="Z109" s="1409"/>
      <c r="AA109" s="1409"/>
      <c r="AB109" s="1409"/>
      <c r="AC109" s="1409"/>
    </row>
    <row r="110" spans="1:29" ht="15">
      <c r="A110" s="1337"/>
      <c r="B110" s="1554"/>
      <c r="C110" s="1550"/>
      <c r="D110" s="1550"/>
      <c r="E110" s="1550"/>
      <c r="F110" s="1550"/>
      <c r="G110" s="1564"/>
      <c r="H110" s="1564"/>
      <c r="I110" s="1564"/>
      <c r="J110" s="1564"/>
      <c r="K110" s="1564"/>
      <c r="L110" s="1564"/>
      <c r="M110" s="1613"/>
      <c r="N110" s="1581"/>
      <c r="O110" s="1581"/>
      <c r="P110" s="1574"/>
      <c r="Q110" s="1516"/>
      <c r="R110" s="1409"/>
      <c r="S110" s="1409"/>
      <c r="T110" s="1409"/>
      <c r="U110" s="1409"/>
      <c r="V110" s="1409"/>
      <c r="W110" s="1409"/>
      <c r="X110" s="1409"/>
      <c r="Y110" s="1409"/>
      <c r="Z110" s="1409"/>
      <c r="AA110" s="1409"/>
      <c r="AB110" s="1409"/>
      <c r="AC110" s="1409"/>
    </row>
    <row r="111" spans="1:29">
      <c r="A111" s="1376"/>
      <c r="B111" s="1540">
        <f>B36</f>
        <v>111</v>
      </c>
      <c r="C111" s="1534"/>
      <c r="D111" s="1534"/>
      <c r="E111" s="1534"/>
      <c r="F111" s="1534"/>
      <c r="G111" s="1562"/>
      <c r="H111" s="1562"/>
      <c r="I111" s="1562"/>
      <c r="J111" s="1562"/>
      <c r="K111" s="1607"/>
      <c r="L111" s="1608"/>
      <c r="M111" s="1609"/>
      <c r="N111" s="1579"/>
      <c r="O111" s="1579"/>
      <c r="P111" s="1574"/>
      <c r="Q111" s="1516"/>
      <c r="R111" s="1409"/>
      <c r="S111" s="1409"/>
      <c r="T111" s="1409"/>
      <c r="U111" s="1409"/>
      <c r="V111" s="1409"/>
      <c r="W111" s="1409"/>
      <c r="X111" s="1409"/>
      <c r="Y111" s="1409"/>
      <c r="Z111" s="1409"/>
      <c r="AA111" s="1409"/>
      <c r="AB111" s="1409"/>
      <c r="AC111" s="1409"/>
    </row>
    <row r="112" spans="1:29" ht="15">
      <c r="A112" s="1337"/>
      <c r="B112" s="1542"/>
      <c r="C112" s="1555"/>
      <c r="D112" s="1555"/>
      <c r="E112" s="1555"/>
      <c r="F112" s="1555"/>
      <c r="G112" s="1539"/>
      <c r="H112" s="1539"/>
      <c r="I112" s="1539"/>
      <c r="J112" s="1539"/>
      <c r="K112" s="1539"/>
      <c r="L112" s="1539"/>
      <c r="M112" s="1580"/>
      <c r="N112" s="1581"/>
      <c r="O112" s="1581"/>
      <c r="P112" s="1574"/>
      <c r="Q112" s="1516"/>
      <c r="R112" s="1409"/>
      <c r="S112" s="1409"/>
      <c r="T112" s="1409"/>
      <c r="U112" s="1409"/>
      <c r="V112" s="1409"/>
      <c r="W112" s="1409"/>
      <c r="X112" s="1409"/>
      <c r="Y112" s="1409"/>
      <c r="Z112" s="1409"/>
      <c r="AA112" s="1409"/>
      <c r="AB112" s="1409"/>
      <c r="AC112" s="1409"/>
    </row>
    <row r="113" spans="1:29" s="1295" customFormat="1">
      <c r="A113" s="1390"/>
      <c r="B113" s="1565">
        <f>B37</f>
        <v>111</v>
      </c>
      <c r="C113" s="1526"/>
      <c r="D113" s="1526"/>
      <c r="E113" s="1526"/>
      <c r="F113" s="1526"/>
      <c r="G113" s="1526"/>
      <c r="H113" s="1526"/>
      <c r="I113" s="1526"/>
      <c r="J113" s="1614"/>
      <c r="K113" s="1614"/>
      <c r="L113" s="1615"/>
      <c r="M113" s="1616"/>
      <c r="N113" s="1591"/>
      <c r="O113" s="1591"/>
      <c r="P113" s="1591"/>
      <c r="Q113" s="1619"/>
      <c r="R113" s="1482"/>
      <c r="S113" s="1482"/>
      <c r="T113" s="1482"/>
      <c r="U113" s="1482"/>
      <c r="V113" s="1482"/>
      <c r="W113" s="1482"/>
      <c r="X113" s="1482"/>
      <c r="Y113" s="1482"/>
      <c r="Z113" s="1482"/>
      <c r="AA113" s="1482"/>
      <c r="AB113" s="1482"/>
      <c r="AC113" s="1482"/>
    </row>
    <row r="114" spans="1:29" s="1295" customFormat="1" ht="15">
      <c r="A114" s="1547"/>
      <c r="B114" s="1544"/>
      <c r="C114" s="1536"/>
      <c r="D114" s="1566"/>
      <c r="E114" s="1566"/>
      <c r="F114" s="1566"/>
      <c r="G114" s="1566"/>
      <c r="H114" s="1566"/>
      <c r="I114" s="1566"/>
      <c r="J114" s="1566"/>
      <c r="K114" s="1566"/>
      <c r="L114" s="1566"/>
      <c r="M114" s="1320"/>
      <c r="N114" s="1581"/>
      <c r="O114" s="1581"/>
      <c r="P114" s="1591"/>
      <c r="Q114" s="1619"/>
      <c r="R114" s="1482"/>
      <c r="S114" s="1482"/>
      <c r="T114" s="1482"/>
      <c r="U114" s="1482"/>
      <c r="V114" s="1482"/>
      <c r="W114" s="1482"/>
      <c r="X114" s="1482"/>
      <c r="Y114" s="1482"/>
      <c r="Z114" s="1482"/>
      <c r="AA114" s="1482"/>
      <c r="AB114" s="1482"/>
      <c r="AC114" s="1482"/>
    </row>
    <row r="115" spans="1:29">
      <c r="A115" s="1350" t="s">
        <v>1691</v>
      </c>
      <c r="B115" s="1537" t="s">
        <v>2264</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579"/>
      <c r="O115" s="1579"/>
      <c r="P115" s="1574"/>
      <c r="Q115" s="1516"/>
      <c r="R115" s="1409"/>
      <c r="S115" s="1409"/>
      <c r="T115" s="1409"/>
      <c r="U115" s="1409"/>
      <c r="V115" s="1409"/>
      <c r="W115" s="1409"/>
      <c r="X115" s="1409"/>
      <c r="Y115" s="1409"/>
      <c r="Z115" s="1409"/>
      <c r="AA115" s="1409"/>
      <c r="AB115" s="1409"/>
      <c r="AC115" s="1409"/>
    </row>
    <row r="116" spans="1:29" ht="15">
      <c r="A116" s="1337"/>
      <c r="B116" s="1544"/>
      <c r="C116" s="1526"/>
      <c r="D116" s="1526"/>
      <c r="E116" s="1526"/>
      <c r="F116" s="1526"/>
      <c r="G116" s="1526"/>
      <c r="H116" s="1526"/>
      <c r="I116" s="1526"/>
      <c r="J116" s="1614"/>
      <c r="K116" s="1614"/>
      <c r="L116" s="1615"/>
      <c r="M116" s="1616"/>
      <c r="N116" s="1579"/>
      <c r="O116" s="1579"/>
      <c r="P116" s="1574"/>
      <c r="Q116" s="1516"/>
      <c r="R116" s="1409"/>
      <c r="S116" s="1409"/>
      <c r="T116" s="1409"/>
      <c r="U116" s="1409"/>
      <c r="V116" s="1409"/>
      <c r="W116" s="1409"/>
      <c r="X116" s="1409"/>
      <c r="Y116" s="1409"/>
      <c r="Z116" s="1409"/>
      <c r="AA116" s="1409"/>
      <c r="AB116" s="1409"/>
      <c r="AC116" s="1409"/>
    </row>
    <row r="117" spans="1:29" ht="15">
      <c r="A117" s="1337"/>
      <c r="B117" s="1542"/>
      <c r="C117" s="1555"/>
      <c r="D117" s="1564"/>
      <c r="E117" s="1564"/>
      <c r="F117" s="1564"/>
      <c r="G117" s="1564"/>
      <c r="H117" s="1564"/>
      <c r="I117" s="1564"/>
      <c r="J117" s="1564"/>
      <c r="K117" s="1564"/>
      <c r="L117" s="1564"/>
      <c r="M117" s="1613"/>
      <c r="N117" s="1581"/>
      <c r="O117" s="1581"/>
      <c r="P117" s="1574"/>
      <c r="Q117" s="1516"/>
      <c r="R117" s="1409"/>
      <c r="S117" s="1409"/>
      <c r="T117" s="1409"/>
      <c r="U117" s="1409"/>
      <c r="V117" s="1409"/>
      <c r="W117" s="1409"/>
      <c r="X117" s="1409"/>
      <c r="Y117" s="1409"/>
      <c r="Z117" s="1409"/>
      <c r="AA117" s="1409"/>
      <c r="AB117" s="1409"/>
      <c r="AC117" s="1409"/>
    </row>
    <row r="118" spans="1:29">
      <c r="A118" s="1385"/>
      <c r="B118" s="1540" t="s">
        <v>2265</v>
      </c>
      <c r="C118" s="1562"/>
      <c r="D118" s="1562"/>
      <c r="E118" s="1562"/>
      <c r="F118" s="1562"/>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row>
    <row r="119" spans="1:29" ht="15">
      <c r="A119" s="1337"/>
      <c r="B119" s="1542"/>
      <c r="C119" s="1543">
        <v>100</v>
      </c>
      <c r="D119" s="1543">
        <f t="shared" ref="D119:M119" si="26">C119-$K39</f>
        <v>100</v>
      </c>
      <c r="E119" s="1543">
        <f t="shared" si="26"/>
        <v>100</v>
      </c>
      <c r="F119" s="1543">
        <f t="shared" si="26"/>
        <v>100</v>
      </c>
      <c r="G119" s="1543">
        <f t="shared" si="26"/>
        <v>100</v>
      </c>
      <c r="H119" s="1543">
        <f t="shared" si="26"/>
        <v>100</v>
      </c>
      <c r="I119" s="1543">
        <f t="shared" si="26"/>
        <v>100</v>
      </c>
      <c r="J119" s="1543">
        <f t="shared" si="26"/>
        <v>100</v>
      </c>
      <c r="K119" s="1543">
        <f t="shared" si="26"/>
        <v>100</v>
      </c>
      <c r="L119" s="1543">
        <f t="shared" si="26"/>
        <v>100</v>
      </c>
      <c r="M119" s="1585">
        <f t="shared" si="26"/>
        <v>100</v>
      </c>
      <c r="N119" s="1581"/>
      <c r="O119" s="1581"/>
      <c r="P119" s="1574"/>
      <c r="Q119" s="1516"/>
      <c r="R119" s="1409"/>
      <c r="S119" s="1409"/>
      <c r="T119" s="1409"/>
      <c r="U119" s="1409"/>
      <c r="V119" s="1409"/>
      <c r="W119" s="1409"/>
      <c r="X119" s="1409"/>
      <c r="Y119" s="1409"/>
      <c r="Z119" s="1409"/>
      <c r="AA119" s="1409"/>
      <c r="AB119" s="1409"/>
      <c r="AC119" s="1409"/>
    </row>
    <row r="120" spans="1:29">
      <c r="A120" s="1385"/>
      <c r="B120" s="1540" t="s">
        <v>2266</v>
      </c>
      <c r="C120" s="1548"/>
      <c r="D120" s="1548"/>
      <c r="E120" s="1548"/>
      <c r="F120" s="1562"/>
      <c r="G120" s="1562"/>
      <c r="H120" s="1562"/>
      <c r="I120" s="1562"/>
      <c r="J120" s="1562"/>
      <c r="K120" s="1607"/>
      <c r="L120" s="1608"/>
      <c r="M120" s="1609"/>
      <c r="N120" s="1579"/>
      <c r="O120" s="1579"/>
      <c r="P120" s="1574"/>
      <c r="Q120" s="1516"/>
      <c r="R120" s="1409"/>
      <c r="S120" s="1409"/>
      <c r="T120" s="1409"/>
      <c r="U120" s="1409"/>
      <c r="V120" s="1409"/>
      <c r="W120" s="1409"/>
      <c r="X120" s="1409"/>
      <c r="Y120" s="1409"/>
      <c r="Z120" s="1409"/>
      <c r="AA120" s="1409"/>
      <c r="AB120" s="1409"/>
      <c r="AC120" s="1409"/>
    </row>
    <row r="121" spans="1:29" ht="15">
      <c r="A121" s="1337"/>
      <c r="B121" s="1542"/>
      <c r="C121" s="1543">
        <v>100</v>
      </c>
      <c r="D121" s="1543">
        <f t="shared" ref="D121:M121" si="27">C121-$K40</f>
        <v>100</v>
      </c>
      <c r="E121" s="1543">
        <f t="shared" si="27"/>
        <v>100</v>
      </c>
      <c r="F121" s="1543">
        <f t="shared" si="27"/>
        <v>100</v>
      </c>
      <c r="G121" s="1543">
        <f t="shared" si="27"/>
        <v>100</v>
      </c>
      <c r="H121" s="1543">
        <f t="shared" si="27"/>
        <v>100</v>
      </c>
      <c r="I121" s="1543">
        <f t="shared" si="27"/>
        <v>100</v>
      </c>
      <c r="J121" s="1543">
        <f t="shared" si="27"/>
        <v>100</v>
      </c>
      <c r="K121" s="1543">
        <f t="shared" si="27"/>
        <v>100</v>
      </c>
      <c r="L121" s="1543">
        <f t="shared" si="27"/>
        <v>100</v>
      </c>
      <c r="M121" s="1585">
        <f t="shared" si="27"/>
        <v>100</v>
      </c>
      <c r="N121" s="1581"/>
      <c r="O121" s="1581"/>
      <c r="P121" s="1574"/>
      <c r="Q121" s="1516"/>
      <c r="R121" s="1409"/>
      <c r="S121" s="1409"/>
      <c r="T121" s="1409"/>
      <c r="U121" s="1409"/>
      <c r="V121" s="1409"/>
      <c r="W121" s="1409"/>
      <c r="X121" s="1409"/>
      <c r="Y121" s="1409"/>
      <c r="Z121" s="1409"/>
      <c r="AA121" s="1409"/>
      <c r="AB121" s="1409"/>
      <c r="AC121" s="1409"/>
    </row>
    <row r="122" spans="1:29" s="1295" customFormat="1">
      <c r="A122" s="1390"/>
      <c r="B122" s="1540" t="s">
        <v>2267</v>
      </c>
      <c r="C122" s="1548"/>
      <c r="D122" s="1548"/>
      <c r="E122" s="1548"/>
      <c r="F122" s="1548"/>
      <c r="G122" s="1548"/>
      <c r="H122" s="1562"/>
      <c r="I122" s="1562"/>
      <c r="J122" s="1562"/>
      <c r="K122" s="1607"/>
      <c r="L122" s="1608"/>
      <c r="M122" s="1609"/>
      <c r="N122" s="1591"/>
      <c r="O122" s="1591"/>
      <c r="P122" s="1591"/>
      <c r="Q122" s="1619"/>
      <c r="R122" s="1482"/>
      <c r="S122" s="1482"/>
      <c r="T122" s="1482"/>
      <c r="U122" s="1482"/>
      <c r="V122" s="1482"/>
      <c r="W122" s="1482"/>
      <c r="X122" s="1482"/>
      <c r="Y122" s="1482"/>
      <c r="Z122" s="1482"/>
      <c r="AA122" s="1482"/>
      <c r="AB122" s="1482"/>
      <c r="AC122" s="1482"/>
    </row>
    <row r="123" spans="1:29" s="1295" customFormat="1" ht="15">
      <c r="A123" s="1547"/>
      <c r="B123" s="1542"/>
      <c r="C123" s="1543">
        <v>100</v>
      </c>
      <c r="D123" s="1543">
        <f t="shared" ref="D123:M123" si="28">C123-$K41</f>
        <v>100</v>
      </c>
      <c r="E123" s="1543">
        <f t="shared" si="28"/>
        <v>100</v>
      </c>
      <c r="F123" s="1543">
        <f t="shared" si="28"/>
        <v>100</v>
      </c>
      <c r="G123" s="1543">
        <f t="shared" si="28"/>
        <v>100</v>
      </c>
      <c r="H123" s="1543">
        <f t="shared" si="28"/>
        <v>100</v>
      </c>
      <c r="I123" s="1543">
        <f t="shared" si="28"/>
        <v>100</v>
      </c>
      <c r="J123" s="1543">
        <f t="shared" si="28"/>
        <v>100</v>
      </c>
      <c r="K123" s="1543">
        <f t="shared" si="28"/>
        <v>100</v>
      </c>
      <c r="L123" s="1543">
        <f t="shared" si="28"/>
        <v>100</v>
      </c>
      <c r="M123" s="1585">
        <f t="shared" si="28"/>
        <v>100</v>
      </c>
      <c r="N123" s="1591"/>
      <c r="O123" s="1591"/>
      <c r="P123" s="1591"/>
      <c r="Q123" s="1619"/>
      <c r="R123" s="1482"/>
      <c r="S123" s="1482"/>
      <c r="T123" s="1482"/>
      <c r="U123" s="1482"/>
      <c r="V123" s="1482"/>
      <c r="W123" s="1482"/>
      <c r="X123" s="1482"/>
      <c r="Y123" s="1482"/>
      <c r="Z123" s="1482"/>
      <c r="AA123" s="1482"/>
      <c r="AB123" s="1482"/>
      <c r="AC123" s="1482"/>
    </row>
    <row r="124" spans="1:29">
      <c r="A124" s="1385"/>
      <c r="B124" s="1540" t="s">
        <v>2268</v>
      </c>
      <c r="C124" s="1548"/>
      <c r="D124" s="1548"/>
      <c r="E124" s="1562"/>
      <c r="F124" s="1562"/>
      <c r="G124" s="1562"/>
      <c r="H124" s="1562"/>
      <c r="I124" s="1562"/>
      <c r="J124" s="1562"/>
      <c r="K124" s="1607"/>
      <c r="L124" s="1608"/>
      <c r="M124" s="1609"/>
      <c r="N124" s="1579"/>
      <c r="O124" s="1579"/>
      <c r="P124" s="1574"/>
      <c r="Q124" s="1516"/>
      <c r="R124" s="1409"/>
      <c r="S124" s="1409"/>
      <c r="T124" s="1409"/>
      <c r="U124" s="1409"/>
      <c r="V124" s="1409"/>
      <c r="W124" s="1409"/>
      <c r="X124" s="1409"/>
      <c r="Y124" s="1409"/>
      <c r="Z124" s="1409"/>
      <c r="AA124" s="1409"/>
      <c r="AB124" s="1409"/>
      <c r="AC124" s="1409"/>
    </row>
    <row r="125" spans="1:29" ht="15">
      <c r="A125" s="1337"/>
      <c r="B125" s="1542"/>
      <c r="C125" s="1543">
        <v>100</v>
      </c>
      <c r="D125" s="1543">
        <f t="shared" ref="D125:M125" si="29">C125-$K42</f>
        <v>100</v>
      </c>
      <c r="E125" s="1543">
        <f t="shared" si="29"/>
        <v>100</v>
      </c>
      <c r="F125" s="1543">
        <f t="shared" si="29"/>
        <v>100</v>
      </c>
      <c r="G125" s="1543">
        <f t="shared" si="29"/>
        <v>100</v>
      </c>
      <c r="H125" s="1543">
        <f t="shared" si="29"/>
        <v>100</v>
      </c>
      <c r="I125" s="1543">
        <f t="shared" si="29"/>
        <v>100</v>
      </c>
      <c r="J125" s="1543">
        <f t="shared" si="29"/>
        <v>100</v>
      </c>
      <c r="K125" s="1543">
        <f t="shared" si="29"/>
        <v>100</v>
      </c>
      <c r="L125" s="1543">
        <f t="shared" si="29"/>
        <v>100</v>
      </c>
      <c r="M125" s="1585">
        <f t="shared" si="29"/>
        <v>100</v>
      </c>
      <c r="N125" s="1581"/>
      <c r="O125" s="1581"/>
      <c r="P125" s="1574"/>
      <c r="Q125" s="1516"/>
      <c r="R125" s="1409"/>
      <c r="S125" s="1409"/>
      <c r="T125" s="1409"/>
      <c r="U125" s="1409"/>
      <c r="V125" s="1409"/>
      <c r="W125" s="1409"/>
      <c r="X125" s="1409"/>
      <c r="Y125" s="1409"/>
      <c r="Z125" s="1409"/>
      <c r="AA125" s="1409"/>
      <c r="AB125" s="1409"/>
      <c r="AC125" s="1409"/>
    </row>
    <row r="126" spans="1:29">
      <c r="A126" s="1385"/>
      <c r="B126" s="1540">
        <f>B43</f>
        <v>111</v>
      </c>
      <c r="C126" s="1548"/>
      <c r="D126" s="1548"/>
      <c r="E126" s="1548"/>
      <c r="F126" s="1548"/>
      <c r="G126" s="1548"/>
      <c r="H126" s="1562"/>
      <c r="I126" s="1562"/>
      <c r="J126" s="1562"/>
      <c r="K126" s="1607"/>
      <c r="L126" s="1608"/>
      <c r="M126" s="1609"/>
      <c r="N126" s="1579"/>
      <c r="O126" s="1579"/>
      <c r="P126" s="1574"/>
      <c r="Q126" s="1516"/>
      <c r="R126" s="1409"/>
      <c r="S126" s="1409"/>
      <c r="T126" s="1409"/>
      <c r="U126" s="1409"/>
      <c r="V126" s="1409"/>
      <c r="W126" s="1409"/>
      <c r="X126" s="1409"/>
      <c r="Y126" s="1409"/>
      <c r="Z126" s="1409"/>
      <c r="AA126" s="1409"/>
      <c r="AB126" s="1409"/>
      <c r="AC126" s="1409"/>
    </row>
    <row r="127" spans="1:29" ht="15">
      <c r="A127" s="1337"/>
      <c r="B127" s="1542"/>
      <c r="C127" s="1550"/>
      <c r="D127" s="1550"/>
      <c r="E127" s="1550"/>
      <c r="F127" s="1550"/>
      <c r="G127" s="1539"/>
      <c r="H127" s="1539"/>
      <c r="I127" s="1539"/>
      <c r="J127" s="1539"/>
      <c r="K127" s="1539"/>
      <c r="L127" s="1539"/>
      <c r="M127" s="1580"/>
      <c r="N127" s="1581"/>
      <c r="O127" s="1581"/>
      <c r="P127" s="1574"/>
      <c r="Q127" s="1516"/>
      <c r="R127" s="1409"/>
      <c r="S127" s="1409"/>
      <c r="T127" s="1409"/>
      <c r="U127" s="1409"/>
      <c r="V127" s="1409"/>
      <c r="W127" s="1409"/>
      <c r="X127" s="1409"/>
      <c r="Y127" s="1409"/>
      <c r="Z127" s="1409"/>
      <c r="AA127" s="1409"/>
      <c r="AB127" s="1409"/>
      <c r="AC127" s="1409"/>
    </row>
    <row r="128" spans="1:29">
      <c r="A128" s="1385"/>
      <c r="B128" s="1540">
        <f>B44</f>
        <v>111</v>
      </c>
      <c r="C128" s="1534"/>
      <c r="D128" s="1534"/>
      <c r="E128" s="1534"/>
      <c r="F128" s="1534"/>
      <c r="G128" s="1562"/>
      <c r="H128" s="1562"/>
      <c r="I128" s="1562"/>
      <c r="J128" s="1562"/>
      <c r="K128" s="1607"/>
      <c r="L128" s="1608"/>
      <c r="M128" s="1609"/>
      <c r="N128" s="1579"/>
      <c r="O128" s="1579"/>
      <c r="P128" s="1574"/>
      <c r="Q128" s="1516"/>
      <c r="R128" s="1409"/>
      <c r="S128" s="1409"/>
      <c r="T128" s="1409"/>
      <c r="U128" s="1409"/>
      <c r="V128" s="1409"/>
      <c r="W128" s="1409"/>
      <c r="X128" s="1409"/>
      <c r="Y128" s="1409"/>
      <c r="Z128" s="1409"/>
      <c r="AA128" s="1409"/>
      <c r="AB128" s="1409"/>
      <c r="AC128" s="1409"/>
    </row>
    <row r="129" spans="1:29" ht="15">
      <c r="A129" s="1337"/>
      <c r="B129" s="1542"/>
      <c r="C129" s="1555"/>
      <c r="D129" s="1555"/>
      <c r="E129" s="1555"/>
      <c r="F129" s="1555"/>
      <c r="G129" s="1539"/>
      <c r="H129" s="1539"/>
      <c r="I129" s="1539"/>
      <c r="J129" s="1539"/>
      <c r="K129" s="1539"/>
      <c r="L129" s="1539"/>
      <c r="M129" s="1580"/>
      <c r="N129" s="1581"/>
      <c r="O129" s="1581"/>
      <c r="P129" s="1574"/>
      <c r="Q129" s="1516"/>
      <c r="R129" s="1409"/>
      <c r="S129" s="1409"/>
      <c r="T129" s="1409"/>
      <c r="U129" s="1409"/>
      <c r="V129" s="1409"/>
      <c r="W129" s="1409"/>
      <c r="X129" s="1409"/>
      <c r="Y129" s="1409"/>
      <c r="Z129" s="1409"/>
      <c r="AA129" s="1409"/>
      <c r="AB129" s="1409"/>
      <c r="AC129" s="1409"/>
    </row>
    <row r="130" spans="1:29" s="1295" customFormat="1">
      <c r="A130" s="1390"/>
      <c r="B130" s="1540">
        <f>B45</f>
        <v>111</v>
      </c>
      <c r="C130" s="1534"/>
      <c r="D130" s="1534"/>
      <c r="E130" s="1534"/>
      <c r="F130" s="1534"/>
      <c r="G130" s="1549"/>
      <c r="H130" s="1549"/>
      <c r="I130" s="1549"/>
      <c r="J130" s="1549"/>
      <c r="K130" s="1549"/>
      <c r="L130" s="1589"/>
      <c r="M130" s="1590"/>
      <c r="N130" s="1591"/>
      <c r="O130" s="1591"/>
      <c r="P130" s="1591"/>
      <c r="Q130" s="1619"/>
      <c r="R130" s="1482"/>
      <c r="S130" s="1482"/>
      <c r="T130" s="1482"/>
      <c r="U130" s="1482"/>
      <c r="V130" s="1482"/>
      <c r="W130" s="1482"/>
      <c r="X130" s="1482"/>
      <c r="Y130" s="1482"/>
      <c r="Z130" s="1482"/>
      <c r="AA130" s="1482"/>
      <c r="AB130" s="1482"/>
      <c r="AC130" s="1482"/>
    </row>
    <row r="131" spans="1:29" s="1295" customFormat="1" ht="15">
      <c r="A131" s="1553"/>
      <c r="B131" s="1567"/>
      <c r="C131" s="1555"/>
      <c r="D131" s="1555"/>
      <c r="E131" s="1555"/>
      <c r="F131" s="1555"/>
      <c r="G131" s="1564"/>
      <c r="H131" s="1564"/>
      <c r="I131" s="1564"/>
      <c r="J131" s="1564"/>
      <c r="K131" s="1564"/>
      <c r="L131" s="1564"/>
      <c r="M131" s="1613"/>
      <c r="N131" s="1591"/>
      <c r="O131" s="1591"/>
      <c r="P131" s="1591"/>
      <c r="Q131" s="1619"/>
      <c r="R131" s="1482"/>
      <c r="S131" s="1482"/>
      <c r="T131" s="1482"/>
      <c r="U131" s="1482"/>
      <c r="V131" s="1482"/>
      <c r="W131" s="1482"/>
      <c r="X131" s="1482"/>
      <c r="Y131" s="1482"/>
      <c r="Z131" s="1482"/>
      <c r="AA131" s="1482"/>
      <c r="AB131" s="1482"/>
      <c r="AC131" s="148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299" customWidth="1"/>
    <col min="2" max="2" width="15.75" style="1299" customWidth="1"/>
    <col min="3" max="3" width="14.375" style="1299" customWidth="1"/>
    <col min="4" max="4" width="12.25" style="1299" customWidth="1"/>
    <col min="5" max="5" width="14.375" style="1299" customWidth="1"/>
    <col min="6" max="6" width="12.25" style="1299" customWidth="1"/>
    <col min="7" max="7" width="14.5" style="1299" customWidth="1"/>
    <col min="8" max="8" width="12.25" style="1299" customWidth="1"/>
    <col min="9" max="9" width="14.5" style="1299" customWidth="1"/>
    <col min="10" max="10" width="12.25" style="1299" customWidth="1"/>
    <col min="11" max="11" width="12.25" style="1300" customWidth="1"/>
    <col min="12" max="12" width="12.25" style="1301" customWidth="1"/>
    <col min="13" max="15" width="12.25" style="1299" customWidth="1"/>
    <col min="16" max="16" width="4.75" style="1299" customWidth="1"/>
    <col min="17" max="17" width="19.5" style="1299" customWidth="1"/>
    <col min="18" max="22" width="6.125" style="1299" customWidth="1"/>
    <col min="23" max="23" width="5.75" style="1299" customWidth="1"/>
    <col min="24" max="24" width="4.25" style="1299" customWidth="1"/>
    <col min="25" max="25" width="3.5" style="1299" customWidth="1"/>
    <col min="26" max="26" width="19.75" style="1299" customWidth="1"/>
    <col min="27" max="28" width="9.375" style="1299" customWidth="1"/>
    <col min="29" max="16384" width="9" style="1299"/>
  </cols>
  <sheetData>
    <row r="1" spans="1:29" s="1292" customFormat="1" ht="28.5" customHeight="1">
      <c r="A1" s="1302" t="s">
        <v>2258</v>
      </c>
      <c r="B1" s="1303"/>
      <c r="C1" s="1304" t="s">
        <v>2238</v>
      </c>
      <c r="D1" s="1305"/>
      <c r="E1" s="1305"/>
      <c r="F1" s="1306" t="s">
        <v>1647</v>
      </c>
      <c r="G1" s="1305"/>
      <c r="H1" s="1305"/>
      <c r="I1" s="1305"/>
      <c r="J1" s="1305"/>
      <c r="K1" s="1451"/>
      <c r="L1" s="1452"/>
      <c r="M1" s="1453"/>
      <c r="N1" s="1453"/>
      <c r="O1" s="1453"/>
      <c r="P1" s="1304"/>
      <c r="Q1" s="1304"/>
      <c r="R1" s="1304"/>
      <c r="S1" s="1304"/>
      <c r="T1" s="1304"/>
      <c r="U1" s="1304"/>
      <c r="V1" s="1304"/>
      <c r="W1" s="1304"/>
      <c r="X1" s="1304"/>
      <c r="Y1" s="1304"/>
      <c r="Z1" s="1304"/>
      <c r="AA1" s="1304"/>
      <c r="AB1" s="1304"/>
      <c r="AC1" s="895"/>
    </row>
    <row r="2" spans="1:29" s="1292" customFormat="1" ht="28.5" customHeight="1">
      <c r="A2" s="343" t="s">
        <v>1648</v>
      </c>
      <c r="B2" s="1307" t="e">
        <f>F61</f>
        <v>#DIV/0!</v>
      </c>
      <c r="C2" s="1308"/>
      <c r="D2" s="1308"/>
      <c r="E2" s="1308"/>
      <c r="F2" s="1309"/>
      <c r="G2" s="1308"/>
      <c r="H2" s="1308"/>
      <c r="I2" s="1308"/>
      <c r="J2" s="1308"/>
      <c r="K2" s="1454"/>
      <c r="L2" s="1455"/>
      <c r="M2" s="1456"/>
      <c r="N2" s="1456"/>
      <c r="O2" s="1456"/>
      <c r="P2" s="1304"/>
      <c r="Q2" s="1304"/>
      <c r="R2" s="1304"/>
      <c r="S2" s="1304"/>
      <c r="T2" s="1304"/>
      <c r="U2" s="1304"/>
      <c r="V2" s="1304"/>
      <c r="W2" s="1304"/>
      <c r="X2" s="1304"/>
      <c r="Y2" s="1304"/>
      <c r="Z2" s="1304"/>
      <c r="AA2" s="1304"/>
      <c r="AB2" s="1304"/>
      <c r="AC2" s="895"/>
    </row>
    <row r="3" spans="1:29" s="1292" customFormat="1" ht="28.5" customHeight="1">
      <c r="A3" s="346" t="s">
        <v>1650</v>
      </c>
      <c r="B3" s="1310" t="e">
        <f>ROUND(IF(D3="",B2*10000/'数据-汇总表'!E3,B2*10000/D3),0)</f>
        <v>#DIV/0!</v>
      </c>
      <c r="C3" s="346" t="s">
        <v>1651</v>
      </c>
      <c r="D3" s="1311"/>
      <c r="E3" s="1308"/>
      <c r="F3" s="1309"/>
      <c r="G3" s="1308"/>
      <c r="H3" s="1308"/>
      <c r="I3" s="1308"/>
      <c r="J3" s="1308"/>
      <c r="K3" s="1454"/>
      <c r="L3" s="1455"/>
      <c r="M3" s="1456"/>
      <c r="N3" s="1456"/>
      <c r="O3" s="1456"/>
      <c r="P3" s="1304"/>
      <c r="Q3" s="1304"/>
      <c r="R3" s="1304"/>
      <c r="S3" s="1304"/>
      <c r="T3" s="1304"/>
      <c r="U3" s="1304"/>
      <c r="V3" s="1304"/>
      <c r="W3" s="1304"/>
      <c r="X3" s="1304"/>
      <c r="Y3" s="1304"/>
      <c r="Z3" s="1304"/>
      <c r="AA3" s="1304"/>
      <c r="AB3" s="1517"/>
      <c r="AC3" s="895"/>
    </row>
    <row r="4" spans="1:29" ht="15">
      <c r="A4" s="1312" t="s">
        <v>1652</v>
      </c>
      <c r="B4" s="1313"/>
      <c r="C4" s="3469" t="s">
        <v>1653</v>
      </c>
      <c r="D4" s="3470"/>
      <c r="E4" s="3471" t="s">
        <v>1654</v>
      </c>
      <c r="F4" s="3472"/>
      <c r="G4" s="3469" t="s">
        <v>1655</v>
      </c>
      <c r="H4" s="3470"/>
      <c r="I4" s="3469" t="s">
        <v>1656</v>
      </c>
      <c r="J4" s="3470"/>
      <c r="K4" s="1457" t="s">
        <v>1657</v>
      </c>
      <c r="L4" s="1458"/>
      <c r="M4" s="1409"/>
      <c r="N4" s="1409"/>
      <c r="O4" s="1409"/>
      <c r="P4" s="3508" t="s">
        <v>1658</v>
      </c>
      <c r="Q4" s="3509"/>
      <c r="R4" s="3512" t="s">
        <v>1654</v>
      </c>
      <c r="S4" s="3513"/>
      <c r="T4" s="3512" t="s">
        <v>1655</v>
      </c>
      <c r="U4" s="3513"/>
      <c r="V4" s="3446" t="s">
        <v>1656</v>
      </c>
      <c r="W4" s="3446"/>
      <c r="X4" s="1506"/>
      <c r="Y4" s="3512" t="s">
        <v>1658</v>
      </c>
      <c r="Z4" s="3513"/>
      <c r="AA4" s="3507" t="s">
        <v>1654</v>
      </c>
      <c r="AB4" s="3428" t="s">
        <v>1655</v>
      </c>
      <c r="AC4" s="3507" t="s">
        <v>1656</v>
      </c>
    </row>
    <row r="5" spans="1:29" ht="15">
      <c r="A5" s="1316"/>
      <c r="B5" s="1317"/>
      <c r="C5" s="3473" t="s">
        <v>1659</v>
      </c>
      <c r="D5" s="3474"/>
      <c r="E5" s="3475" t="s">
        <v>2200</v>
      </c>
      <c r="F5" s="3476"/>
      <c r="G5" s="3473" t="s">
        <v>2201</v>
      </c>
      <c r="H5" s="3474"/>
      <c r="I5" s="3473" t="s">
        <v>2202</v>
      </c>
      <c r="J5" s="3474"/>
      <c r="K5" s="1457"/>
      <c r="L5" s="1458"/>
      <c r="M5" s="1409"/>
      <c r="N5" s="1409"/>
      <c r="O5" s="1409"/>
      <c r="P5" s="3510"/>
      <c r="Q5" s="3436"/>
      <c r="R5" s="3441"/>
      <c r="S5" s="3442"/>
      <c r="T5" s="3441"/>
      <c r="U5" s="3442"/>
      <c r="V5" s="3446"/>
      <c r="W5" s="3446"/>
      <c r="X5" s="1506"/>
      <c r="Y5" s="3441"/>
      <c r="Z5" s="3442"/>
      <c r="AA5" s="3428"/>
      <c r="AB5" s="3428"/>
      <c r="AC5" s="3428"/>
    </row>
    <row r="6" spans="1:29" ht="15">
      <c r="A6" s="1318"/>
      <c r="B6" s="1319"/>
      <c r="C6" s="3522" t="s">
        <v>2301</v>
      </c>
      <c r="D6" s="3523"/>
      <c r="E6" s="3524" t="s">
        <v>2301</v>
      </c>
      <c r="F6" s="3525"/>
      <c r="G6" s="3522" t="s">
        <v>2301</v>
      </c>
      <c r="H6" s="3523"/>
      <c r="I6" s="3522" t="s">
        <v>2301</v>
      </c>
      <c r="J6" s="3523"/>
      <c r="K6" s="1457" t="s">
        <v>1661</v>
      </c>
      <c r="L6" s="1458"/>
      <c r="M6" s="1409"/>
      <c r="N6" s="1409"/>
      <c r="O6" s="1409"/>
      <c r="P6" s="3511"/>
      <c r="Q6" s="3438"/>
      <c r="R6" s="3441"/>
      <c r="S6" s="3442"/>
      <c r="T6" s="3443"/>
      <c r="U6" s="3444"/>
      <c r="V6" s="3446"/>
      <c r="W6" s="3446"/>
      <c r="X6" s="1506"/>
      <c r="Y6" s="3443"/>
      <c r="Z6" s="3444"/>
      <c r="AA6" s="3429"/>
      <c r="AB6" s="3429"/>
      <c r="AC6" s="3429"/>
    </row>
    <row r="7" spans="1:29" s="1293" customFormat="1" ht="15">
      <c r="A7" s="1321" t="s">
        <v>1662</v>
      </c>
      <c r="B7" s="1322"/>
      <c r="C7" s="1323">
        <f>'数据-取费表'!B2</f>
        <v>45882</v>
      </c>
      <c r="D7" s="1324">
        <v>100</v>
      </c>
      <c r="E7" s="1325"/>
      <c r="F7" s="1326">
        <f>SUMIF(65:65,YEAR(E7)&amp;"-"&amp;INT((MONTH(E7)+2)/3),66:66)</f>
        <v>0</v>
      </c>
      <c r="G7" s="1327"/>
      <c r="H7" s="1324">
        <f>SUMIF(65:65,YEAR(G7)&amp;"-"&amp;INT((MONTH(G7)+2)/3),66:66)</f>
        <v>0</v>
      </c>
      <c r="I7" s="1327"/>
      <c r="J7" s="1324">
        <f>SUMIF(65:65,YEAR(I7)&amp;"-"&amp;INT((MONTH(I7)+2)/3),66:66)</f>
        <v>0</v>
      </c>
      <c r="K7" s="1462"/>
      <c r="L7" s="1463"/>
      <c r="M7" s="1464"/>
      <c r="N7" s="1464"/>
      <c r="O7" s="1464"/>
      <c r="P7" s="3452" t="s">
        <v>1663</v>
      </c>
      <c r="Q7" s="3468"/>
      <c r="R7" s="1507" t="s">
        <v>1664</v>
      </c>
      <c r="S7" s="1508">
        <f t="shared" ref="S7:S15" si="0">F7</f>
        <v>0</v>
      </c>
      <c r="T7" s="1507" t="s">
        <v>1664</v>
      </c>
      <c r="U7" s="1508">
        <f t="shared" ref="U7:U15" si="1">H7</f>
        <v>0</v>
      </c>
      <c r="V7" s="1507" t="s">
        <v>1664</v>
      </c>
      <c r="W7" s="1508">
        <f t="shared" ref="W7:W15" si="2">J7</f>
        <v>0</v>
      </c>
      <c r="X7" s="1509"/>
      <c r="Y7" s="3452" t="s">
        <v>1663</v>
      </c>
      <c r="Z7" s="3453"/>
      <c r="AA7" s="1518" t="e">
        <f>D7/F7</f>
        <v>#DIV/0!</v>
      </c>
      <c r="AB7" s="1518" t="e">
        <f>D7/H7</f>
        <v>#DIV/0!</v>
      </c>
      <c r="AC7" s="1518" t="e">
        <f>D7/J7</f>
        <v>#DIV/0!</v>
      </c>
    </row>
    <row r="8" spans="1:29" s="1293" customFormat="1" ht="15">
      <c r="A8" s="1321" t="s">
        <v>1665</v>
      </c>
      <c r="B8" s="1322"/>
      <c r="C8" s="1328" t="s">
        <v>1720</v>
      </c>
      <c r="D8" s="1324">
        <v>100</v>
      </c>
      <c r="E8" s="1328"/>
      <c r="F8" s="1326">
        <f>SUMIF(68:68,E8,69:69)-SUMIF(68:68,C8,69:69)+100</f>
        <v>0</v>
      </c>
      <c r="G8" s="1328"/>
      <c r="H8" s="1324">
        <f>SUMIF(68:68,G8,69:69)-SUMIF(68:68,C8,69:69)+100</f>
        <v>0</v>
      </c>
      <c r="I8" s="1328"/>
      <c r="J8" s="1324">
        <f>SUMIF(68:68,I8,69:69)-SUMIF(68:68,C8,69:69)+100</f>
        <v>0</v>
      </c>
      <c r="K8" s="1462"/>
      <c r="L8" s="1463"/>
      <c r="M8" s="1464"/>
      <c r="N8" s="1464"/>
      <c r="O8" s="1464"/>
      <c r="P8" s="3452" t="s">
        <v>1667</v>
      </c>
      <c r="Q8" s="3453"/>
      <c r="R8" s="1507" t="s">
        <v>1664</v>
      </c>
      <c r="S8" s="1508">
        <f t="shared" si="0"/>
        <v>0</v>
      </c>
      <c r="T8" s="1507" t="s">
        <v>1664</v>
      </c>
      <c r="U8" s="1508">
        <f t="shared" si="1"/>
        <v>0</v>
      </c>
      <c r="V8" s="1507" t="s">
        <v>1664</v>
      </c>
      <c r="W8" s="1508">
        <f t="shared" si="2"/>
        <v>0</v>
      </c>
      <c r="X8" s="1509"/>
      <c r="Y8" s="3452" t="s">
        <v>1667</v>
      </c>
      <c r="Z8" s="3453"/>
      <c r="AA8" s="1518" t="e">
        <f t="shared" ref="AA8:AA40" si="3">D8/F8</f>
        <v>#DIV/0!</v>
      </c>
      <c r="AB8" s="1518" t="e">
        <f t="shared" ref="AB8:AB40" si="4">D8/H8</f>
        <v>#DIV/0!</v>
      </c>
      <c r="AC8" s="1518" t="e">
        <f t="shared" ref="AC8:AC40" si="5">D8/J8</f>
        <v>#DIV/0!</v>
      </c>
    </row>
    <row r="9" spans="1:29" s="1293" customFormat="1">
      <c r="A9" s="1329" t="s">
        <v>1668</v>
      </c>
      <c r="B9" s="1330" t="s">
        <v>1669</v>
      </c>
      <c r="C9" s="1331"/>
      <c r="D9" s="1332">
        <v>100</v>
      </c>
      <c r="E9" s="1331"/>
      <c r="F9" s="1332">
        <f>SUMIF(70:70,E9,71:71)-SUMIF(70:70,C9,71:71)+100</f>
        <v>100</v>
      </c>
      <c r="G9" s="1331"/>
      <c r="H9" s="1332">
        <f>SUMIF(70:70,G9,71:71)-SUMIF(70:70,C9,71:71)+100</f>
        <v>100</v>
      </c>
      <c r="I9" s="1331"/>
      <c r="J9" s="1332">
        <f>SUMIF(70:70,I9,71:71)-SUMIF(70:70,C9,71:71)+100</f>
        <v>100</v>
      </c>
      <c r="K9" s="1462"/>
      <c r="L9" s="1463"/>
      <c r="M9" s="1464"/>
      <c r="N9" s="1464"/>
      <c r="O9" s="1466"/>
      <c r="P9" s="3448" t="s">
        <v>1670</v>
      </c>
      <c r="Q9" s="794" t="str">
        <f t="shared" ref="Q9:Q15" si="6">B9</f>
        <v>用途</v>
      </c>
      <c r="R9" s="1507" t="s">
        <v>1664</v>
      </c>
      <c r="S9" s="1508">
        <f t="shared" si="0"/>
        <v>100</v>
      </c>
      <c r="T9" s="1507" t="s">
        <v>1664</v>
      </c>
      <c r="U9" s="1508">
        <f t="shared" si="1"/>
        <v>100</v>
      </c>
      <c r="V9" s="1507" t="s">
        <v>1664</v>
      </c>
      <c r="W9" s="1508">
        <f t="shared" si="2"/>
        <v>100</v>
      </c>
      <c r="X9" s="1509"/>
      <c r="Y9" s="3342" t="s">
        <v>1671</v>
      </c>
      <c r="Z9" s="1518" t="str">
        <f t="shared" ref="Z9:Z15" si="7">Q9</f>
        <v>用途</v>
      </c>
      <c r="AA9" s="1518">
        <f t="shared" si="3"/>
        <v>1</v>
      </c>
      <c r="AB9" s="1518">
        <f t="shared" si="4"/>
        <v>1</v>
      </c>
      <c r="AC9" s="1518">
        <f t="shared" si="5"/>
        <v>1</v>
      </c>
    </row>
    <row r="10" spans="1:29" s="1294" customFormat="1" ht="27">
      <c r="A10" s="1333"/>
      <c r="B10" s="1334" t="s">
        <v>1672</v>
      </c>
      <c r="C10" s="1335"/>
      <c r="D10" s="1336">
        <v>100</v>
      </c>
      <c r="E10" s="1335"/>
      <c r="F10" s="1336">
        <f>ROUND(100/'数据-取费表'!G16,0)</f>
        <v>142</v>
      </c>
      <c r="G10" s="1335"/>
      <c r="H10" s="1336">
        <f>ROUND(100/'数据-取费表'!G16,0)</f>
        <v>142</v>
      </c>
      <c r="I10" s="1335"/>
      <c r="J10" s="1336">
        <f>ROUND(100/'数据-取费表'!G16,0)</f>
        <v>142</v>
      </c>
      <c r="K10" s="1467"/>
      <c r="L10" s="1468"/>
      <c r="M10" s="1469"/>
      <c r="N10" s="1469"/>
      <c r="O10" s="1470"/>
      <c r="P10" s="3448"/>
      <c r="Q10" s="794" t="str">
        <f t="shared" si="6"/>
        <v>土地使用年限（年）</v>
      </c>
      <c r="R10" s="1507" t="s">
        <v>1664</v>
      </c>
      <c r="S10" s="1508">
        <f t="shared" si="0"/>
        <v>142</v>
      </c>
      <c r="T10" s="1507" t="s">
        <v>1664</v>
      </c>
      <c r="U10" s="1508">
        <f t="shared" si="1"/>
        <v>142</v>
      </c>
      <c r="V10" s="1507" t="s">
        <v>1664</v>
      </c>
      <c r="W10" s="1508">
        <f t="shared" si="2"/>
        <v>142</v>
      </c>
      <c r="X10" s="1509"/>
      <c r="Y10" s="3342"/>
      <c r="Z10" s="1518" t="str">
        <f t="shared" si="7"/>
        <v>土地使用年限（年）</v>
      </c>
      <c r="AA10" s="1518">
        <f t="shared" si="3"/>
        <v>0.70422535211267601</v>
      </c>
      <c r="AB10" s="1518">
        <f t="shared" si="4"/>
        <v>0.70422535211267601</v>
      </c>
      <c r="AC10" s="1518">
        <f t="shared" si="5"/>
        <v>0.70422535211267601</v>
      </c>
    </row>
    <row r="11" spans="1:29" ht="15">
      <c r="A11" s="1337"/>
      <c r="B11" s="1334" t="s">
        <v>1675</v>
      </c>
      <c r="C11" s="1338"/>
      <c r="D11" s="1336">
        <v>100</v>
      </c>
      <c r="E11" s="1338"/>
      <c r="F11" s="1336" t="e">
        <f>LOOKUP(E11,75:75,76:76)-LOOKUP(C11,75:75,76:76)+100</f>
        <v>#N/A</v>
      </c>
      <c r="G11" s="1339"/>
      <c r="H11" s="1336" t="e">
        <f>LOOKUP(G11,75:75,76:76)-LOOKUP(C11,75:75,76:76)+100</f>
        <v>#N/A</v>
      </c>
      <c r="I11" s="1338"/>
      <c r="J11" s="1336" t="e">
        <f>LOOKUP(I11,75:75,76:76)-LOOKUP(C11,75:75,76:76)+100</f>
        <v>#N/A</v>
      </c>
      <c r="K11" s="1471"/>
      <c r="L11" s="1472"/>
      <c r="M11" s="1409"/>
      <c r="N11" s="1409"/>
      <c r="O11" s="1473"/>
      <c r="P11" s="3448"/>
      <c r="Q11" s="794" t="str">
        <f t="shared" si="6"/>
        <v>容积率</v>
      </c>
      <c r="R11" s="1507" t="s">
        <v>1664</v>
      </c>
      <c r="S11" s="1508" t="e">
        <f t="shared" si="0"/>
        <v>#N/A</v>
      </c>
      <c r="T11" s="1507" t="s">
        <v>1664</v>
      </c>
      <c r="U11" s="1508" t="e">
        <f t="shared" si="1"/>
        <v>#N/A</v>
      </c>
      <c r="V11" s="1507" t="s">
        <v>1664</v>
      </c>
      <c r="W11" s="1508" t="e">
        <f t="shared" si="2"/>
        <v>#N/A</v>
      </c>
      <c r="X11" s="1509"/>
      <c r="Y11" s="3342"/>
      <c r="Z11" s="1518" t="str">
        <f t="shared" si="7"/>
        <v>容积率</v>
      </c>
      <c r="AA11" s="1518" t="e">
        <f t="shared" si="3"/>
        <v>#N/A</v>
      </c>
      <c r="AB11" s="1518" t="e">
        <f t="shared" si="4"/>
        <v>#N/A</v>
      </c>
      <c r="AC11" s="1518" t="e">
        <f t="shared" si="5"/>
        <v>#N/A</v>
      </c>
    </row>
    <row r="12" spans="1:29" s="1293" customFormat="1" ht="15">
      <c r="A12" s="1340"/>
      <c r="B12" s="1341">
        <v>111</v>
      </c>
      <c r="C12" s="1335"/>
      <c r="D12" s="1342">
        <v>100</v>
      </c>
      <c r="E12" s="1343"/>
      <c r="F12" s="1336">
        <f>SUMIF(77:77,E12,78:78)-SUMIF(77:77,C12,78:78)+100</f>
        <v>100</v>
      </c>
      <c r="G12" s="1344"/>
      <c r="H12" s="1336">
        <f>SUMIF(77:77,G12,78:78)-SUMIF(77:77,C12,78:78)+100</f>
        <v>100</v>
      </c>
      <c r="I12" s="1343"/>
      <c r="J12" s="1336">
        <f>SUMIF(77:77,I12,78:78)-SUMIF(77:77,C12,78:78)+100</f>
        <v>100</v>
      </c>
      <c r="K12" s="1467"/>
      <c r="L12" s="1463"/>
      <c r="M12" s="1464"/>
      <c r="N12" s="1464"/>
      <c r="O12" s="1466"/>
      <c r="P12" s="3448"/>
      <c r="Q12" s="794">
        <f t="shared" si="6"/>
        <v>111</v>
      </c>
      <c r="R12" s="1507" t="s">
        <v>1664</v>
      </c>
      <c r="S12" s="1508">
        <f t="shared" si="0"/>
        <v>100</v>
      </c>
      <c r="T12" s="1507" t="s">
        <v>1664</v>
      </c>
      <c r="U12" s="1508">
        <f t="shared" si="1"/>
        <v>100</v>
      </c>
      <c r="V12" s="1507" t="s">
        <v>1664</v>
      </c>
      <c r="W12" s="1508">
        <f t="shared" si="2"/>
        <v>100</v>
      </c>
      <c r="X12" s="1509"/>
      <c r="Y12" s="3342"/>
      <c r="Z12" s="1518">
        <f t="shared" si="7"/>
        <v>111</v>
      </c>
      <c r="AA12" s="1518">
        <f t="shared" si="3"/>
        <v>1</v>
      </c>
      <c r="AB12" s="1518">
        <f t="shared" si="4"/>
        <v>1</v>
      </c>
      <c r="AC12" s="1518">
        <f t="shared" si="5"/>
        <v>1</v>
      </c>
    </row>
    <row r="13" spans="1:29" ht="15">
      <c r="A13" s="1337"/>
      <c r="B13" s="1341">
        <v>111</v>
      </c>
      <c r="C13" s="1345"/>
      <c r="D13" s="759">
        <v>100</v>
      </c>
      <c r="E13" s="1343"/>
      <c r="F13" s="1336">
        <f>SUMIF(79:79,E13,80:80)-SUMIF(79:79,C13,80:80)+100</f>
        <v>100</v>
      </c>
      <c r="G13" s="1344"/>
      <c r="H13" s="759">
        <f>SUMIF(79:79,G13,80:80)-SUMIF(79:79,C13,80:80)+100</f>
        <v>100</v>
      </c>
      <c r="I13" s="1343"/>
      <c r="J13" s="759">
        <f>SUMIF(79:79,I13,80:80)-SUMIF(79:79,C13,80:80)+100</f>
        <v>100</v>
      </c>
      <c r="K13" s="1467"/>
      <c r="L13" s="1474"/>
      <c r="M13" s="1409"/>
      <c r="N13" s="1409"/>
      <c r="O13" s="1473"/>
      <c r="P13" s="3448"/>
      <c r="Q13" s="794">
        <f t="shared" si="6"/>
        <v>111</v>
      </c>
      <c r="R13" s="1507" t="s">
        <v>1664</v>
      </c>
      <c r="S13" s="1508">
        <f t="shared" si="0"/>
        <v>100</v>
      </c>
      <c r="T13" s="1507" t="s">
        <v>1664</v>
      </c>
      <c r="U13" s="1508">
        <f t="shared" si="1"/>
        <v>100</v>
      </c>
      <c r="V13" s="1507" t="s">
        <v>1664</v>
      </c>
      <c r="W13" s="1508">
        <f t="shared" si="2"/>
        <v>100</v>
      </c>
      <c r="X13" s="1509"/>
      <c r="Y13" s="3342"/>
      <c r="Z13" s="1518">
        <f t="shared" si="7"/>
        <v>111</v>
      </c>
      <c r="AA13" s="1518">
        <f t="shared" si="3"/>
        <v>1</v>
      </c>
      <c r="AB13" s="1518">
        <f t="shared" si="4"/>
        <v>1</v>
      </c>
      <c r="AC13" s="1518">
        <f t="shared" si="5"/>
        <v>1</v>
      </c>
    </row>
    <row r="14" spans="1:29" ht="15">
      <c r="A14" s="1346"/>
      <c r="B14" s="1347">
        <v>111</v>
      </c>
      <c r="C14" s="1348"/>
      <c r="D14" s="1349">
        <v>100</v>
      </c>
      <c r="E14" s="1343"/>
      <c r="F14" s="1349">
        <f>SUMIF(81:81,E14,82:82)-SUMIF(81:81,C14,82:82)+100</f>
        <v>100</v>
      </c>
      <c r="G14" s="1344"/>
      <c r="H14" s="1349">
        <f>SUMIF(81:81,G14,82:82)-SUMIF(81:81,C14,82:82)+100</f>
        <v>100</v>
      </c>
      <c r="I14" s="1343"/>
      <c r="J14" s="1349">
        <f>SUMIF(81:81,I14,82:82)-SUMIF(81:81,C14,82:82)+100</f>
        <v>100</v>
      </c>
      <c r="K14" s="1467"/>
      <c r="L14" s="1474"/>
      <c r="M14" s="1409"/>
      <c r="N14" s="1409"/>
      <c r="O14" s="1473"/>
      <c r="P14" s="3448"/>
      <c r="Q14" s="794">
        <f t="shared" si="6"/>
        <v>111</v>
      </c>
      <c r="R14" s="1507" t="s">
        <v>1664</v>
      </c>
      <c r="S14" s="1508">
        <f t="shared" si="0"/>
        <v>100</v>
      </c>
      <c r="T14" s="1507" t="s">
        <v>1664</v>
      </c>
      <c r="U14" s="1508">
        <f t="shared" si="1"/>
        <v>100</v>
      </c>
      <c r="V14" s="1507" t="s">
        <v>1664</v>
      </c>
      <c r="W14" s="1508">
        <f t="shared" si="2"/>
        <v>100</v>
      </c>
      <c r="X14" s="1509"/>
      <c r="Y14" s="3342"/>
      <c r="Z14" s="1518">
        <f t="shared" si="7"/>
        <v>111</v>
      </c>
      <c r="AA14" s="1518">
        <f t="shared" si="3"/>
        <v>1</v>
      </c>
      <c r="AB14" s="1518">
        <f t="shared" si="4"/>
        <v>1</v>
      </c>
      <c r="AC14" s="1518">
        <f t="shared" si="5"/>
        <v>1</v>
      </c>
    </row>
    <row r="15" spans="1:29" ht="15">
      <c r="A15" s="1350" t="s">
        <v>1676</v>
      </c>
      <c r="B15" s="1351" t="s">
        <v>2239</v>
      </c>
      <c r="C15" s="1352">
        <f>估价对象房地状况!G15</f>
        <v>0</v>
      </c>
      <c r="D15" s="1353">
        <v>100</v>
      </c>
      <c r="E15" s="1354"/>
      <c r="F15" s="1353">
        <f>SUMIF(83:83,E16,84:84)-SUMIF(83:83,C16,84:84)+100</f>
        <v>100</v>
      </c>
      <c r="G15" s="1354"/>
      <c r="H15" s="1353">
        <f>SUMIF(83:83,G16,84:84)-SUMIF(83:83,C16,84:84)+100</f>
        <v>100</v>
      </c>
      <c r="I15" s="1475"/>
      <c r="J15" s="1353">
        <f>SUMIF(83:83,I16,84:84)-SUMIF(83:83,C16,84:84)+100</f>
        <v>100</v>
      </c>
      <c r="K15" s="1471"/>
      <c r="L15" s="1474"/>
      <c r="M15" s="1409"/>
      <c r="N15" s="1409"/>
      <c r="O15" s="1473"/>
      <c r="P15" s="3460" t="s">
        <v>1678</v>
      </c>
      <c r="Q15" s="625" t="str">
        <f t="shared" si="6"/>
        <v>产业集聚程度</v>
      </c>
      <c r="R15" s="1511" t="s">
        <v>1664</v>
      </c>
      <c r="S15" s="1512">
        <f t="shared" si="0"/>
        <v>100</v>
      </c>
      <c r="T15" s="1511" t="s">
        <v>1664</v>
      </c>
      <c r="U15" s="1512">
        <f t="shared" si="1"/>
        <v>100</v>
      </c>
      <c r="V15" s="1511" t="s">
        <v>1664</v>
      </c>
      <c r="W15" s="1512">
        <f t="shared" si="2"/>
        <v>100</v>
      </c>
      <c r="X15" s="1506"/>
      <c r="Y15" s="3460" t="s">
        <v>1678</v>
      </c>
      <c r="Z15" s="1495" t="str">
        <f t="shared" si="7"/>
        <v>产业集聚程度</v>
      </c>
      <c r="AA15" s="1495">
        <f t="shared" si="3"/>
        <v>1</v>
      </c>
      <c r="AB15" s="1495">
        <f t="shared" si="4"/>
        <v>1</v>
      </c>
      <c r="AC15" s="1495">
        <f t="shared" si="5"/>
        <v>1</v>
      </c>
    </row>
    <row r="16" spans="1:29" ht="15">
      <c r="A16" s="1337"/>
      <c r="B16" s="1355"/>
      <c r="C16" s="1356"/>
      <c r="D16" s="1357"/>
      <c r="E16" s="1358"/>
      <c r="F16" s="1357"/>
      <c r="G16" s="1358"/>
      <c r="H16" s="1359"/>
      <c r="I16" s="1358"/>
      <c r="J16" s="1357"/>
      <c r="K16" s="1467"/>
      <c r="L16" s="1474"/>
      <c r="M16" s="1409"/>
      <c r="N16" s="1409"/>
      <c r="O16" s="1473"/>
      <c r="P16" s="3461"/>
      <c r="Q16" s="625"/>
      <c r="R16" s="1511"/>
      <c r="S16" s="1512"/>
      <c r="T16" s="1511"/>
      <c r="U16" s="1512"/>
      <c r="V16" s="1511"/>
      <c r="W16" s="1512"/>
      <c r="X16" s="1506"/>
      <c r="Y16" s="3461"/>
      <c r="Z16" s="1495"/>
      <c r="AA16" s="1495">
        <v>1</v>
      </c>
      <c r="AB16" s="1495">
        <v>1</v>
      </c>
      <c r="AC16" s="1495">
        <v>1</v>
      </c>
    </row>
    <row r="17" spans="1:29" ht="15">
      <c r="A17" s="1337"/>
      <c r="B17" s="1360" t="s">
        <v>1682</v>
      </c>
      <c r="C17" s="1361">
        <f>估价对象房地状况!G16</f>
        <v>0</v>
      </c>
      <c r="D17" s="1359">
        <v>100</v>
      </c>
      <c r="E17" s="1362"/>
      <c r="F17" s="1363">
        <f>SUMIF(85:85,E18,86:86)-SUMIF(85:85,C18,86:86)+100</f>
        <v>100</v>
      </c>
      <c r="G17" s="1362"/>
      <c r="H17" s="1363">
        <f>SUMIF(85:85,G18,86:86)-SUMIF(85:85,C18,86:86)+100</f>
        <v>100</v>
      </c>
      <c r="I17" s="1477"/>
      <c r="J17" s="1359">
        <f>SUMIF(85:85,I18,86:86)-SUMIF(85:85,C18,86:86)+100</f>
        <v>100</v>
      </c>
      <c r="K17" s="1471"/>
      <c r="L17" s="1474"/>
      <c r="M17" s="1409"/>
      <c r="N17" s="1409"/>
      <c r="O17" s="1473"/>
      <c r="P17" s="3461"/>
      <c r="Q17" s="625" t="str">
        <f>B17</f>
        <v>交通便捷度</v>
      </c>
      <c r="R17" s="1511" t="s">
        <v>1664</v>
      </c>
      <c r="S17" s="1512">
        <f>F17</f>
        <v>100</v>
      </c>
      <c r="T17" s="1511" t="s">
        <v>1664</v>
      </c>
      <c r="U17" s="1512">
        <f>H17</f>
        <v>100</v>
      </c>
      <c r="V17" s="1511" t="s">
        <v>1664</v>
      </c>
      <c r="W17" s="1512">
        <f>J17</f>
        <v>100</v>
      </c>
      <c r="X17" s="1506"/>
      <c r="Y17" s="3461"/>
      <c r="Z17" s="1495" t="str">
        <f>Q17</f>
        <v>交通便捷度</v>
      </c>
      <c r="AA17" s="1495">
        <f t="shared" si="3"/>
        <v>1</v>
      </c>
      <c r="AB17" s="1495">
        <f t="shared" si="4"/>
        <v>1</v>
      </c>
      <c r="AC17" s="1495">
        <f t="shared" si="5"/>
        <v>1</v>
      </c>
    </row>
    <row r="18" spans="1:29" ht="15">
      <c r="A18" s="1337"/>
      <c r="B18" s="1364"/>
      <c r="C18" s="1356"/>
      <c r="D18" s="1357"/>
      <c r="E18" s="1365"/>
      <c r="F18" s="1357"/>
      <c r="G18" s="1365"/>
      <c r="H18" s="1357"/>
      <c r="I18" s="1478"/>
      <c r="J18" s="1357"/>
      <c r="K18" s="1467"/>
      <c r="L18" s="1474"/>
      <c r="M18" s="1409"/>
      <c r="N18" s="1409"/>
      <c r="O18" s="1473"/>
      <c r="P18" s="3461"/>
      <c r="Q18" s="625"/>
      <c r="R18" s="1511"/>
      <c r="S18" s="1512"/>
      <c r="T18" s="1511"/>
      <c r="U18" s="1512"/>
      <c r="V18" s="1511"/>
      <c r="W18" s="1512"/>
      <c r="X18" s="1506"/>
      <c r="Y18" s="3461"/>
      <c r="Z18" s="1495"/>
      <c r="AA18" s="1495">
        <v>1</v>
      </c>
      <c r="AB18" s="1495">
        <v>1</v>
      </c>
      <c r="AC18" s="1495">
        <v>1</v>
      </c>
    </row>
    <row r="19" spans="1:29" ht="15">
      <c r="A19" s="1337"/>
      <c r="B19" s="1360" t="s">
        <v>2261</v>
      </c>
      <c r="C19" s="1361">
        <f>估价对象房地状况!G17</f>
        <v>0</v>
      </c>
      <c r="D19" s="1359">
        <v>100</v>
      </c>
      <c r="E19" s="1362"/>
      <c r="F19" s="1363">
        <f>SUMIF(87:87,E20,88:88)-SUMIF(87:87,C20,88:88)+100</f>
        <v>100</v>
      </c>
      <c r="G19" s="1362"/>
      <c r="H19" s="1363">
        <f>SUMIF(87:87,G20,88:88)-SUMIF(87:87,C20,88:88)+100</f>
        <v>100</v>
      </c>
      <c r="I19" s="1362"/>
      <c r="J19" s="1363">
        <f>SUMIF(87:87,I20,88:88)-SUMIF(87:87,C20,88:88)+100</f>
        <v>100</v>
      </c>
      <c r="K19" s="1471"/>
      <c r="L19" s="1474"/>
      <c r="M19" s="1409"/>
      <c r="N19" s="1409"/>
      <c r="O19" s="1473"/>
      <c r="P19" s="3461"/>
      <c r="Q19" s="625" t="str">
        <f t="shared" ref="Q19:Q34" si="8">B19</f>
        <v>区域土地利用方向</v>
      </c>
      <c r="R19" s="1511" t="s">
        <v>1664</v>
      </c>
      <c r="S19" s="1512">
        <f>F19</f>
        <v>100</v>
      </c>
      <c r="T19" s="1511" t="s">
        <v>1664</v>
      </c>
      <c r="U19" s="1512">
        <f>H19</f>
        <v>100</v>
      </c>
      <c r="V19" s="1511" t="s">
        <v>1664</v>
      </c>
      <c r="W19" s="1512">
        <f>J19</f>
        <v>100</v>
      </c>
      <c r="X19" s="1506"/>
      <c r="Y19" s="3461"/>
      <c r="Z19" s="1495" t="str">
        <f>Q19</f>
        <v>区域土地利用方向</v>
      </c>
      <c r="AA19" s="1495">
        <f t="shared" si="3"/>
        <v>1</v>
      </c>
      <c r="AB19" s="1495">
        <f t="shared" si="4"/>
        <v>1</v>
      </c>
      <c r="AC19" s="1495">
        <f t="shared" si="5"/>
        <v>1</v>
      </c>
    </row>
    <row r="20" spans="1:29" ht="15">
      <c r="A20" s="1316"/>
      <c r="B20" s="1364"/>
      <c r="C20" s="1356"/>
      <c r="D20" s="1357"/>
      <c r="E20" s="1365"/>
      <c r="F20" s="1357"/>
      <c r="G20" s="1365"/>
      <c r="H20" s="1357"/>
      <c r="I20" s="1365"/>
      <c r="J20" s="1357"/>
      <c r="K20" s="1479"/>
      <c r="L20" s="1474"/>
      <c r="M20" s="1409"/>
      <c r="N20" s="1409"/>
      <c r="O20" s="1473"/>
      <c r="P20" s="3461"/>
      <c r="Q20" s="625"/>
      <c r="R20" s="1511"/>
      <c r="S20" s="1512"/>
      <c r="T20" s="1511"/>
      <c r="U20" s="1512"/>
      <c r="V20" s="1511"/>
      <c r="W20" s="1512"/>
      <c r="X20" s="1506"/>
      <c r="Y20" s="3461"/>
      <c r="Z20" s="1495"/>
      <c r="AA20" s="1495"/>
      <c r="AB20" s="1495"/>
      <c r="AC20" s="1495"/>
    </row>
    <row r="21" spans="1:29" ht="15">
      <c r="A21" s="1316"/>
      <c r="B21" s="1360" t="s">
        <v>2302</v>
      </c>
      <c r="C21" s="1361">
        <f>估价对象房地状况!G18</f>
        <v>0</v>
      </c>
      <c r="D21" s="1359">
        <v>100</v>
      </c>
      <c r="E21" s="1362"/>
      <c r="F21" s="1359">
        <f>SUMIF(89:89,E22,90:90)-SUMIF(89:89,C22,90:90)+100</f>
        <v>100</v>
      </c>
      <c r="G21" s="1362"/>
      <c r="H21" s="1359">
        <f>SUMIF(89:89,G22,90:90)-SUMIF(89:89,C22,90:90)+100</f>
        <v>100</v>
      </c>
      <c r="I21" s="1477"/>
      <c r="J21" s="1359">
        <f>SUMIF(89:89,I22,90:90)-SUMIF(89:89,C22,90:90)+100</f>
        <v>100</v>
      </c>
      <c r="K21" s="1471"/>
      <c r="L21" s="1474"/>
      <c r="M21" s="1409"/>
      <c r="N21" s="1409"/>
      <c r="O21" s="1473"/>
      <c r="P21" s="3461"/>
      <c r="Q21" s="625" t="str">
        <f t="shared" si="8"/>
        <v>环境状况</v>
      </c>
      <c r="R21" s="1511" t="s">
        <v>1664</v>
      </c>
      <c r="S21" s="1512">
        <f>F21</f>
        <v>100</v>
      </c>
      <c r="T21" s="1511" t="s">
        <v>1664</v>
      </c>
      <c r="U21" s="1512">
        <f>H21</f>
        <v>100</v>
      </c>
      <c r="V21" s="1511" t="s">
        <v>1664</v>
      </c>
      <c r="W21" s="1512">
        <f>J21</f>
        <v>100</v>
      </c>
      <c r="X21" s="1506"/>
      <c r="Y21" s="3461"/>
      <c r="Z21" s="1495" t="str">
        <f>Q21</f>
        <v>环境状况</v>
      </c>
      <c r="AA21" s="1495">
        <f t="shared" si="3"/>
        <v>1</v>
      </c>
      <c r="AB21" s="1495">
        <f t="shared" si="4"/>
        <v>1</v>
      </c>
      <c r="AC21" s="1495">
        <f t="shared" si="5"/>
        <v>1</v>
      </c>
    </row>
    <row r="22" spans="1:29" ht="15">
      <c r="A22" s="1316"/>
      <c r="B22" s="1364"/>
      <c r="C22" s="1356"/>
      <c r="D22" s="1357"/>
      <c r="E22" s="1358"/>
      <c r="F22" s="1357"/>
      <c r="G22" s="1358"/>
      <c r="H22" s="1357"/>
      <c r="I22" s="1356"/>
      <c r="J22" s="1357"/>
      <c r="K22" s="1467"/>
      <c r="L22" s="1474"/>
      <c r="M22" s="1409"/>
      <c r="N22" s="1409"/>
      <c r="O22" s="1473"/>
      <c r="P22" s="3461"/>
      <c r="Q22" s="625"/>
      <c r="R22" s="1511"/>
      <c r="S22" s="1512"/>
      <c r="T22" s="1511"/>
      <c r="U22" s="1512"/>
      <c r="V22" s="1511"/>
      <c r="W22" s="1512"/>
      <c r="X22" s="1506"/>
      <c r="Y22" s="3461"/>
      <c r="Z22" s="1495"/>
      <c r="AA22" s="1495">
        <v>1</v>
      </c>
      <c r="AB22" s="1495">
        <v>1</v>
      </c>
      <c r="AC22" s="1495">
        <v>1</v>
      </c>
    </row>
    <row r="23" spans="1:29" s="1293" customFormat="1" ht="15">
      <c r="A23" s="1366"/>
      <c r="B23" s="1367" t="s">
        <v>1683</v>
      </c>
      <c r="C23" s="1361">
        <f>估价对象房地状况!G19</f>
        <v>0</v>
      </c>
      <c r="D23" s="1359">
        <v>100</v>
      </c>
      <c r="E23" s="1362"/>
      <c r="F23" s="1359">
        <f>SUMIF(91:91,E24,92:92)-SUMIF(91:91,C24,92:92)+100</f>
        <v>100</v>
      </c>
      <c r="G23" s="1362"/>
      <c r="H23" s="1359">
        <f>SUMIF(91:91,G24,92:92)-SUMIF(91:91,C24,92:92)+100</f>
        <v>100</v>
      </c>
      <c r="I23" s="1477"/>
      <c r="J23" s="1359">
        <f>SUMIF(91:91,I24,92:92)-SUMIF(91:91,C24,92:92)+100</f>
        <v>100</v>
      </c>
      <c r="K23" s="1471"/>
      <c r="L23" s="1463"/>
      <c r="M23" s="1464"/>
      <c r="N23" s="1464"/>
      <c r="O23" s="1466"/>
      <c r="P23" s="3461"/>
      <c r="Q23" s="794" t="str">
        <f t="shared" si="8"/>
        <v>公共配套设施</v>
      </c>
      <c r="R23" s="1507" t="s">
        <v>1664</v>
      </c>
      <c r="S23" s="1508">
        <f>F23</f>
        <v>100</v>
      </c>
      <c r="T23" s="1507" t="s">
        <v>1664</v>
      </c>
      <c r="U23" s="1508">
        <f>H23</f>
        <v>100</v>
      </c>
      <c r="V23" s="1507" t="s">
        <v>1664</v>
      </c>
      <c r="W23" s="1508">
        <f>J23</f>
        <v>100</v>
      </c>
      <c r="X23" s="1509"/>
      <c r="Y23" s="3461"/>
      <c r="Z23" s="1518" t="str">
        <f>Q23</f>
        <v>公共配套设施</v>
      </c>
      <c r="AA23" s="1495">
        <f>D23/F23</f>
        <v>1</v>
      </c>
      <c r="AB23" s="1495">
        <f>D23/H23</f>
        <v>1</v>
      </c>
      <c r="AC23" s="1495">
        <f>D23/J23</f>
        <v>1</v>
      </c>
    </row>
    <row r="24" spans="1:29" s="1293" customFormat="1" ht="15">
      <c r="A24" s="1366"/>
      <c r="B24" s="1364"/>
      <c r="C24" s="1368"/>
      <c r="D24" s="1357"/>
      <c r="E24" s="1358"/>
      <c r="F24" s="1357"/>
      <c r="G24" s="1358"/>
      <c r="H24" s="1357"/>
      <c r="I24" s="1356"/>
      <c r="J24" s="1357"/>
      <c r="K24" s="1467"/>
      <c r="L24" s="1463"/>
      <c r="M24" s="1464"/>
      <c r="N24" s="1464"/>
      <c r="O24" s="1466"/>
      <c r="P24" s="3461"/>
      <c r="Q24" s="794"/>
      <c r="R24" s="1507"/>
      <c r="S24" s="1508"/>
      <c r="T24" s="1507"/>
      <c r="U24" s="1508"/>
      <c r="V24" s="1507"/>
      <c r="W24" s="1508"/>
      <c r="X24" s="1509"/>
      <c r="Y24" s="3461"/>
      <c r="Z24" s="1518"/>
      <c r="AA24" s="1518">
        <v>1</v>
      </c>
      <c r="AB24" s="1518">
        <v>1</v>
      </c>
      <c r="AC24" s="1518">
        <v>1</v>
      </c>
    </row>
    <row r="25" spans="1:29" s="1293" customFormat="1" ht="15">
      <c r="A25" s="1366"/>
      <c r="B25" s="1367" t="s">
        <v>1684</v>
      </c>
      <c r="C25" s="1361">
        <f>估价对象房地状况!G20</f>
        <v>0</v>
      </c>
      <c r="D25" s="1359">
        <v>100</v>
      </c>
      <c r="E25" s="1362"/>
      <c r="F25" s="1359">
        <f>SUMIF(93:93,E26,94:94)-SUMIF(93:93,C26,94:94)+100</f>
        <v>100</v>
      </c>
      <c r="G25" s="1362"/>
      <c r="H25" s="1359">
        <f>SUMIF(93:93,G26,94:94)-SUMIF(93:93,C26,94:94)+100</f>
        <v>100</v>
      </c>
      <c r="I25" s="1477"/>
      <c r="J25" s="1359">
        <f>SUMIF(93:93,I26,94:94)-SUMIF(93:93,C26,94:94)+100</f>
        <v>100</v>
      </c>
      <c r="K25" s="1471"/>
      <c r="L25" s="1463"/>
      <c r="M25" s="1464"/>
      <c r="N25" s="1464"/>
      <c r="O25" s="1466"/>
      <c r="P25" s="3461"/>
      <c r="Q25" s="794" t="str">
        <f t="shared" ref="Q25" si="9">B25</f>
        <v>基础设施水平</v>
      </c>
      <c r="R25" s="1507" t="s">
        <v>1664</v>
      </c>
      <c r="S25" s="1508">
        <f>F25</f>
        <v>100</v>
      </c>
      <c r="T25" s="1507" t="s">
        <v>1664</v>
      </c>
      <c r="U25" s="1508">
        <f>H25</f>
        <v>100</v>
      </c>
      <c r="V25" s="1507" t="s">
        <v>1664</v>
      </c>
      <c r="W25" s="1508">
        <f>J25</f>
        <v>100</v>
      </c>
      <c r="X25" s="1509"/>
      <c r="Y25" s="3461"/>
      <c r="Z25" s="1518" t="str">
        <f>Q25</f>
        <v>基础设施水平</v>
      </c>
      <c r="AA25" s="1495">
        <f>D25/F25</f>
        <v>1</v>
      </c>
      <c r="AB25" s="1495">
        <f>D25/H25</f>
        <v>1</v>
      </c>
      <c r="AC25" s="1495">
        <f>D25/J25</f>
        <v>1</v>
      </c>
    </row>
    <row r="26" spans="1:29" s="1293" customFormat="1" ht="15">
      <c r="A26" s="1366"/>
      <c r="B26" s="1364"/>
      <c r="C26" s="1368"/>
      <c r="D26" s="1357"/>
      <c r="E26" s="1369"/>
      <c r="F26" s="1357"/>
      <c r="G26" s="1369"/>
      <c r="H26" s="1357"/>
      <c r="I26" s="1369"/>
      <c r="J26" s="1357"/>
      <c r="K26" s="1467"/>
      <c r="L26" s="1463"/>
      <c r="M26" s="1464"/>
      <c r="N26" s="1464"/>
      <c r="O26" s="1466"/>
      <c r="P26" s="3461"/>
      <c r="Q26" s="794"/>
      <c r="R26" s="1507"/>
      <c r="S26" s="1508"/>
      <c r="T26" s="1507"/>
      <c r="U26" s="1508"/>
      <c r="V26" s="1507"/>
      <c r="W26" s="1508"/>
      <c r="X26" s="1509"/>
      <c r="Y26" s="3461"/>
      <c r="Z26" s="1518"/>
      <c r="AA26" s="1518">
        <v>1</v>
      </c>
      <c r="AB26" s="1518">
        <v>1</v>
      </c>
      <c r="AC26" s="1518">
        <v>1</v>
      </c>
    </row>
    <row r="27" spans="1:29" ht="15">
      <c r="A27" s="1337"/>
      <c r="B27" s="1364" t="s">
        <v>2231</v>
      </c>
      <c r="C27" s="1370"/>
      <c r="D27" s="759">
        <v>100</v>
      </c>
      <c r="E27" s="1371"/>
      <c r="F27" s="759">
        <f>SUMIF(95:95,E27,96:96)-SUMIF(95:95,C27,96:96)+100</f>
        <v>100</v>
      </c>
      <c r="G27" s="1371"/>
      <c r="H27" s="759">
        <f>SUMIF(95:95,G27,96:96)-SUMIF(95:95,C27,96:96)+100</f>
        <v>100</v>
      </c>
      <c r="I27" s="1371"/>
      <c r="J27" s="759">
        <f>SUMIF(95:95,I27,96:96)-SUMIF(95:95,C27,96:96)+100</f>
        <v>100</v>
      </c>
      <c r="K27" s="1471"/>
      <c r="L27" s="1474"/>
      <c r="M27" s="1409"/>
      <c r="N27" s="1409"/>
      <c r="O27" s="1473"/>
      <c r="P27" s="3461"/>
      <c r="Q27" s="625" t="str">
        <f t="shared" si="8"/>
        <v>临街状况</v>
      </c>
      <c r="R27" s="1511" t="s">
        <v>1664</v>
      </c>
      <c r="S27" s="1512">
        <f t="shared" ref="S27:S40" si="10">F27</f>
        <v>100</v>
      </c>
      <c r="T27" s="1511" t="s">
        <v>1664</v>
      </c>
      <c r="U27" s="1512">
        <f t="shared" ref="U27:U40" si="11">H27</f>
        <v>100</v>
      </c>
      <c r="V27" s="1511" t="s">
        <v>1664</v>
      </c>
      <c r="W27" s="1512">
        <f t="shared" ref="W27:W40" si="12">J27</f>
        <v>100</v>
      </c>
      <c r="X27" s="1506"/>
      <c r="Y27" s="3461"/>
      <c r="Z27" s="1495" t="str">
        <f t="shared" ref="Z27:Z40" si="13">Q27</f>
        <v>临街状况</v>
      </c>
      <c r="AA27" s="1495">
        <f t="shared" si="3"/>
        <v>1</v>
      </c>
      <c r="AB27" s="1495">
        <f t="shared" si="4"/>
        <v>1</v>
      </c>
      <c r="AC27" s="1495">
        <f t="shared" si="5"/>
        <v>1</v>
      </c>
    </row>
    <row r="28" spans="1:29" ht="27">
      <c r="A28" s="1337"/>
      <c r="B28" s="1367" t="s">
        <v>1686</v>
      </c>
      <c r="C28" s="1372">
        <f>估价对象房地状况!G22</f>
        <v>0</v>
      </c>
      <c r="D28" s="1359">
        <v>100</v>
      </c>
      <c r="E28" s="1362"/>
      <c r="F28" s="1359">
        <f>SUMIF(97:97,E29,98:98)-SUMIF(97:97,C29,98:98)+100</f>
        <v>100</v>
      </c>
      <c r="G28" s="1362"/>
      <c r="H28" s="1359">
        <f>SUMIF(97:97,G29,98:98)-SUMIF(97:97,C29,98:98)+100</f>
        <v>100</v>
      </c>
      <c r="I28" s="1477"/>
      <c r="J28" s="1359">
        <f>SUMIF(97:97,I29,98:98)-SUMIF(97:97,C29,98:98)+100</f>
        <v>100</v>
      </c>
      <c r="K28" s="1471"/>
      <c r="L28" s="1474"/>
      <c r="M28" s="1409"/>
      <c r="N28" s="1409"/>
      <c r="O28" s="1473"/>
      <c r="P28" s="3461"/>
      <c r="Q28" s="625" t="str">
        <f t="shared" si="8"/>
        <v>毗邻道路的类型与等级</v>
      </c>
      <c r="R28" s="1511" t="s">
        <v>1664</v>
      </c>
      <c r="S28" s="1512">
        <f t="shared" si="10"/>
        <v>100</v>
      </c>
      <c r="T28" s="1511" t="s">
        <v>1664</v>
      </c>
      <c r="U28" s="1512">
        <f t="shared" si="11"/>
        <v>100</v>
      </c>
      <c r="V28" s="1511" t="s">
        <v>1664</v>
      </c>
      <c r="W28" s="1512">
        <f t="shared" si="12"/>
        <v>100</v>
      </c>
      <c r="X28" s="1506"/>
      <c r="Y28" s="3461"/>
      <c r="Z28" s="1495" t="str">
        <f t="shared" si="13"/>
        <v>毗邻道路的类型与等级</v>
      </c>
      <c r="AA28" s="1495">
        <f t="shared" si="3"/>
        <v>1</v>
      </c>
      <c r="AB28" s="1495">
        <f t="shared" si="4"/>
        <v>1</v>
      </c>
      <c r="AC28" s="1495">
        <f t="shared" si="5"/>
        <v>1</v>
      </c>
    </row>
    <row r="29" spans="1:29" ht="15">
      <c r="A29" s="1337"/>
      <c r="B29" s="1364"/>
      <c r="C29" s="1356"/>
      <c r="D29" s="1357"/>
      <c r="E29" s="1358"/>
      <c r="F29" s="1357"/>
      <c r="G29" s="1358"/>
      <c r="H29" s="1357"/>
      <c r="I29" s="1358"/>
      <c r="J29" s="1357"/>
      <c r="K29" s="1480"/>
      <c r="L29" s="1474"/>
      <c r="M29" s="1409"/>
      <c r="N29" s="1409"/>
      <c r="O29" s="1473"/>
      <c r="P29" s="3461"/>
      <c r="Q29" s="625"/>
      <c r="R29" s="1511"/>
      <c r="S29" s="1512"/>
      <c r="T29" s="1511"/>
      <c r="U29" s="1512"/>
      <c r="V29" s="1511"/>
      <c r="W29" s="1512"/>
      <c r="X29" s="1506"/>
      <c r="Y29" s="3461"/>
      <c r="Z29" s="1495"/>
      <c r="AA29" s="1495">
        <v>1</v>
      </c>
      <c r="AB29" s="1495">
        <v>1</v>
      </c>
      <c r="AC29" s="1495">
        <v>1</v>
      </c>
    </row>
    <row r="30" spans="1:29" ht="15">
      <c r="A30" s="1337"/>
      <c r="B30" s="1336" t="s">
        <v>2263</v>
      </c>
      <c r="C30" s="1373">
        <f>估价对象房地状况!G23</f>
        <v>0</v>
      </c>
      <c r="D30" s="759">
        <v>100</v>
      </c>
      <c r="E30" s="1371"/>
      <c r="F30" s="759">
        <f>SUMIF(99:99,E30,100:100)-SUMIF(99:99,C30,100:100)+100</f>
        <v>100</v>
      </c>
      <c r="G30" s="1371"/>
      <c r="H30" s="759">
        <f>SUMIF(99:99,G30,100:100)-SUMIF(99:99,C30,100:100)+100</f>
        <v>100</v>
      </c>
      <c r="I30" s="1371"/>
      <c r="J30" s="759">
        <f>SUMIF(99:99,I30,100:100)-SUMIF(99:99,C30,100:100)+100</f>
        <v>100</v>
      </c>
      <c r="K30" s="1481"/>
      <c r="L30" s="1474"/>
      <c r="M30" s="1409"/>
      <c r="N30" s="1409"/>
      <c r="O30" s="1473"/>
      <c r="P30" s="3461"/>
      <c r="Q30" s="625" t="str">
        <f t="shared" si="8"/>
        <v>土地级别</v>
      </c>
      <c r="R30" s="1511" t="s">
        <v>1664</v>
      </c>
      <c r="S30" s="1512">
        <f t="shared" si="10"/>
        <v>100</v>
      </c>
      <c r="T30" s="1511" t="s">
        <v>1664</v>
      </c>
      <c r="U30" s="1512">
        <f t="shared" si="11"/>
        <v>100</v>
      </c>
      <c r="V30" s="1511" t="s">
        <v>1664</v>
      </c>
      <c r="W30" s="1512">
        <f t="shared" si="12"/>
        <v>100</v>
      </c>
      <c r="X30" s="1506"/>
      <c r="Y30" s="3461"/>
      <c r="Z30" s="1495" t="str">
        <f t="shared" si="13"/>
        <v>土地级别</v>
      </c>
      <c r="AA30" s="1495">
        <f t="shared" si="3"/>
        <v>1</v>
      </c>
      <c r="AB30" s="1495">
        <f t="shared" si="4"/>
        <v>1</v>
      </c>
      <c r="AC30" s="1495">
        <f t="shared" si="5"/>
        <v>1</v>
      </c>
    </row>
    <row r="31" spans="1:29" ht="15">
      <c r="A31" s="1316"/>
      <c r="B31" s="1374">
        <v>111</v>
      </c>
      <c r="C31" s="1344"/>
      <c r="D31" s="759">
        <v>100</v>
      </c>
      <c r="E31" s="1375"/>
      <c r="F31" s="759">
        <f>SUMIF(101:101,E31,102:102)-SUMIF(101:101,C31,102:102)+100</f>
        <v>100</v>
      </c>
      <c r="G31" s="1375"/>
      <c r="H31" s="759">
        <f>SUMIF(101:101,G31,102:102)-SUMIF(101:101,C31,102:102)+100</f>
        <v>100</v>
      </c>
      <c r="I31" s="1343"/>
      <c r="J31" s="759">
        <f>SUMIF(101:101,I31,102:102)-SUMIF(101:101,C31,102:102)+100</f>
        <v>100</v>
      </c>
      <c r="K31" s="1480"/>
      <c r="L31" s="1474"/>
      <c r="M31" s="1409"/>
      <c r="N31" s="1409"/>
      <c r="O31" s="1473"/>
      <c r="P31" s="3461"/>
      <c r="Q31" s="625">
        <f t="shared" si="8"/>
        <v>111</v>
      </c>
      <c r="R31" s="1511" t="s">
        <v>1664</v>
      </c>
      <c r="S31" s="1512">
        <f t="shared" si="10"/>
        <v>100</v>
      </c>
      <c r="T31" s="1511" t="s">
        <v>1664</v>
      </c>
      <c r="U31" s="1512">
        <f t="shared" si="11"/>
        <v>100</v>
      </c>
      <c r="V31" s="1511" t="s">
        <v>1664</v>
      </c>
      <c r="W31" s="1512">
        <f t="shared" si="12"/>
        <v>100</v>
      </c>
      <c r="X31" s="1506"/>
      <c r="Y31" s="3461"/>
      <c r="Z31" s="1495">
        <f t="shared" si="13"/>
        <v>111</v>
      </c>
      <c r="AA31" s="1495">
        <f t="shared" si="3"/>
        <v>1</v>
      </c>
      <c r="AB31" s="1495">
        <f t="shared" si="4"/>
        <v>1</v>
      </c>
      <c r="AC31" s="1495">
        <f t="shared" si="5"/>
        <v>1</v>
      </c>
    </row>
    <row r="32" spans="1:29" ht="15">
      <c r="A32" s="1376"/>
      <c r="B32" s="1377">
        <v>111</v>
      </c>
      <c r="C32" s="1344"/>
      <c r="D32" s="759">
        <v>100</v>
      </c>
      <c r="E32" s="1375"/>
      <c r="F32" s="759">
        <f>SUMIF(103:103,E33,104:104)-SUMIF(103:103,C33,104:104)+100</f>
        <v>100</v>
      </c>
      <c r="G32" s="1375"/>
      <c r="H32" s="759">
        <f>SUMIF(103:103,G32,104:104)-SUMIF(103:103,C32,104:104)+100</f>
        <v>100</v>
      </c>
      <c r="I32" s="1344"/>
      <c r="J32" s="759">
        <f>SUMIF(103:103,I32,104:104)-SUMIF(103:103,C32,104:104)+100</f>
        <v>100</v>
      </c>
      <c r="K32" s="1480"/>
      <c r="L32" s="1474"/>
      <c r="M32" s="1409"/>
      <c r="N32" s="1409"/>
      <c r="O32" s="1473"/>
      <c r="P32" s="3517" t="s">
        <v>1694</v>
      </c>
      <c r="Q32" s="625">
        <f t="shared" si="8"/>
        <v>111</v>
      </c>
      <c r="R32" s="1511" t="s">
        <v>1664</v>
      </c>
      <c r="S32" s="1512">
        <f t="shared" si="10"/>
        <v>100</v>
      </c>
      <c r="T32" s="1511" t="s">
        <v>1664</v>
      </c>
      <c r="U32" s="1512">
        <f t="shared" si="11"/>
        <v>100</v>
      </c>
      <c r="V32" s="1511" t="s">
        <v>1664</v>
      </c>
      <c r="W32" s="1512">
        <f t="shared" si="12"/>
        <v>100</v>
      </c>
      <c r="X32" s="1506"/>
      <c r="Y32" s="3462" t="s">
        <v>1694</v>
      </c>
      <c r="Z32" s="1495">
        <f t="shared" si="13"/>
        <v>111</v>
      </c>
      <c r="AA32" s="1495">
        <f t="shared" si="3"/>
        <v>1</v>
      </c>
      <c r="AB32" s="1495">
        <f t="shared" si="4"/>
        <v>1</v>
      </c>
      <c r="AC32" s="1495">
        <f t="shared" si="5"/>
        <v>1</v>
      </c>
    </row>
    <row r="33" spans="1:31" s="1295" customFormat="1" ht="15">
      <c r="A33" s="1378"/>
      <c r="B33" s="1379">
        <v>111</v>
      </c>
      <c r="C33" s="1380"/>
      <c r="D33" s="1381">
        <v>100</v>
      </c>
      <c r="E33" s="1382"/>
      <c r="F33" s="1349">
        <f>SUMIF(105:105,E33,106:106)-SUMIF(105:105,C33,106:106)+100</f>
        <v>100</v>
      </c>
      <c r="G33" s="1382"/>
      <c r="H33" s="1349">
        <f>SUMIF(105:105,G33,106:106)-SUMIF(105:105,C33,106:106)+100</f>
        <v>100</v>
      </c>
      <c r="I33" s="1380"/>
      <c r="J33" s="1349">
        <f>SUMIF(105:105,I33,106:106)-SUMIF(105:105,C33,106:106)+100</f>
        <v>100</v>
      </c>
      <c r="K33" s="1480"/>
      <c r="L33" s="1472"/>
      <c r="M33" s="1482"/>
      <c r="N33" s="1482"/>
      <c r="O33" s="1483"/>
      <c r="P33" s="3462"/>
      <c r="Q33" s="625">
        <f t="shared" si="8"/>
        <v>111</v>
      </c>
      <c r="R33" s="1513" t="s">
        <v>1664</v>
      </c>
      <c r="S33" s="1514">
        <f t="shared" si="10"/>
        <v>100</v>
      </c>
      <c r="T33" s="1513" t="s">
        <v>1664</v>
      </c>
      <c r="U33" s="1514">
        <f t="shared" si="11"/>
        <v>100</v>
      </c>
      <c r="V33" s="1513" t="s">
        <v>1664</v>
      </c>
      <c r="W33" s="1514">
        <f t="shared" si="12"/>
        <v>100</v>
      </c>
      <c r="X33" s="1515"/>
      <c r="Y33" s="3462"/>
      <c r="Z33" s="1519">
        <f t="shared" si="13"/>
        <v>111</v>
      </c>
      <c r="AA33" s="1495">
        <f t="shared" si="3"/>
        <v>1</v>
      </c>
      <c r="AB33" s="1495">
        <f t="shared" si="4"/>
        <v>1</v>
      </c>
      <c r="AC33" s="1495">
        <f t="shared" si="5"/>
        <v>1</v>
      </c>
    </row>
    <row r="34" spans="1:31" ht="15">
      <c r="A34" s="1350" t="s">
        <v>1691</v>
      </c>
      <c r="B34" s="1383" t="s">
        <v>2264</v>
      </c>
      <c r="C34" s="1384"/>
      <c r="D34" s="1314">
        <v>100</v>
      </c>
      <c r="E34" s="1384"/>
      <c r="F34" s="1314" t="e">
        <f>LOOKUP(E34,108:108,109:109)-LOOKUP(C34,108:108,109:109)+100</f>
        <v>#N/A</v>
      </c>
      <c r="G34" s="1384"/>
      <c r="H34" s="1314" t="e">
        <f>LOOKUP(G34,108:108,109:109)-LOOKUP(C34,108:108,109:109)+100</f>
        <v>#N/A</v>
      </c>
      <c r="I34" s="1484"/>
      <c r="J34" s="1314" t="e">
        <f>LOOKUP(I34,108:108,109:109)-LOOKUP(C34,108:108,109:109)+100</f>
        <v>#N/A</v>
      </c>
      <c r="K34" s="1480"/>
      <c r="L34" s="1474"/>
      <c r="M34" s="1409"/>
      <c r="N34" s="1409"/>
      <c r="O34" s="1473"/>
      <c r="P34" s="3462"/>
      <c r="Q34" s="625" t="str">
        <f t="shared" si="8"/>
        <v>宗地面积</v>
      </c>
      <c r="R34" s="1511" t="s">
        <v>1664</v>
      </c>
      <c r="S34" s="1512" t="e">
        <f t="shared" si="10"/>
        <v>#N/A</v>
      </c>
      <c r="T34" s="1511" t="s">
        <v>1664</v>
      </c>
      <c r="U34" s="1512" t="e">
        <f t="shared" si="11"/>
        <v>#N/A</v>
      </c>
      <c r="V34" s="1511" t="s">
        <v>1664</v>
      </c>
      <c r="W34" s="1512" t="e">
        <f t="shared" si="12"/>
        <v>#N/A</v>
      </c>
      <c r="X34" s="1506"/>
      <c r="Y34" s="3462"/>
      <c r="Z34" s="1495" t="str">
        <f t="shared" si="13"/>
        <v>宗地面积</v>
      </c>
      <c r="AA34" s="1495" t="e">
        <f t="shared" si="3"/>
        <v>#N/A</v>
      </c>
      <c r="AB34" s="1495" t="e">
        <f t="shared" si="4"/>
        <v>#N/A</v>
      </c>
      <c r="AC34" s="1495" t="e">
        <f t="shared" si="5"/>
        <v>#N/A</v>
      </c>
    </row>
    <row r="35" spans="1:31" ht="15">
      <c r="A35" s="1385"/>
      <c r="B35" s="1334" t="s">
        <v>2265</v>
      </c>
      <c r="C35" s="1386"/>
      <c r="D35" s="759">
        <v>100</v>
      </c>
      <c r="E35" s="1386"/>
      <c r="F35" s="759">
        <f>SUMIF(110:110,E35,111:111)-SUMIF(110:110,C35,111:111)+100</f>
        <v>100</v>
      </c>
      <c r="G35" s="1386"/>
      <c r="H35" s="759">
        <f>SUMIF(110:110,G35,111:111)-SUMIF(110:110,C35,111:111)+100</f>
        <v>100</v>
      </c>
      <c r="I35" s="1386"/>
      <c r="J35" s="759">
        <f>SUMIF(110:110,I35,111:111)-SUMIF(110:110,C35,111:111)+100</f>
        <v>100</v>
      </c>
      <c r="K35" s="1481"/>
      <c r="L35" s="1474"/>
      <c r="M35" s="1409"/>
      <c r="N35" s="1409"/>
      <c r="O35" s="1473"/>
      <c r="P35" s="3462"/>
      <c r="Q35" s="625" t="str">
        <f t="shared" ref="Q35:Q40" si="14">B35</f>
        <v>宗地形状</v>
      </c>
      <c r="R35" s="1511" t="s">
        <v>1664</v>
      </c>
      <c r="S35" s="1512">
        <f t="shared" si="10"/>
        <v>100</v>
      </c>
      <c r="T35" s="1511" t="s">
        <v>1664</v>
      </c>
      <c r="U35" s="1512">
        <f t="shared" si="11"/>
        <v>100</v>
      </c>
      <c r="V35" s="1511" t="s">
        <v>1664</v>
      </c>
      <c r="W35" s="1512">
        <f t="shared" si="12"/>
        <v>100</v>
      </c>
      <c r="X35" s="1506"/>
      <c r="Y35" s="3462"/>
      <c r="Z35" s="1495" t="str">
        <f t="shared" si="13"/>
        <v>宗地形状</v>
      </c>
      <c r="AA35" s="1495">
        <f t="shared" si="3"/>
        <v>1</v>
      </c>
      <c r="AB35" s="1495">
        <f t="shared" si="4"/>
        <v>1</v>
      </c>
      <c r="AC35" s="1495">
        <f t="shared" si="5"/>
        <v>1</v>
      </c>
    </row>
    <row r="36" spans="1:31" s="1293" customFormat="1" ht="15">
      <c r="A36" s="1387"/>
      <c r="B36" s="1334" t="s">
        <v>2267</v>
      </c>
      <c r="C36" s="1388"/>
      <c r="D36" s="1336">
        <v>100</v>
      </c>
      <c r="E36" s="1388"/>
      <c r="F36" s="759">
        <f>SUMIF(112:112,E36,113:113)-SUMIF(112:112,C36,113:113)+100</f>
        <v>100</v>
      </c>
      <c r="G36" s="1388"/>
      <c r="H36" s="759">
        <f>SUMIF(112:112,G36,113:113)-SUMIF(112:112,C36,113:113)+100</f>
        <v>100</v>
      </c>
      <c r="I36" s="1388"/>
      <c r="J36" s="759">
        <f>SUMIF(112:112,I36,113:113)-SUMIF(112:112,C36,113:113)+100</f>
        <v>100</v>
      </c>
      <c r="K36" s="1481"/>
      <c r="L36" s="1463"/>
      <c r="M36" s="1464"/>
      <c r="N36" s="1464"/>
      <c r="O36" s="1466"/>
      <c r="P36" s="3462"/>
      <c r="Q36" s="625" t="str">
        <f t="shared" si="14"/>
        <v>宗地开发程度</v>
      </c>
      <c r="R36" s="1507" t="s">
        <v>1664</v>
      </c>
      <c r="S36" s="1508">
        <f t="shared" si="10"/>
        <v>100</v>
      </c>
      <c r="T36" s="1507" t="s">
        <v>1664</v>
      </c>
      <c r="U36" s="1508">
        <f t="shared" si="11"/>
        <v>100</v>
      </c>
      <c r="V36" s="1507" t="s">
        <v>1664</v>
      </c>
      <c r="W36" s="1508">
        <f t="shared" si="12"/>
        <v>100</v>
      </c>
      <c r="X36" s="1509"/>
      <c r="Y36" s="3462"/>
      <c r="Z36" s="1518" t="str">
        <f t="shared" si="13"/>
        <v>宗地开发程度</v>
      </c>
      <c r="AA36" s="1518">
        <f t="shared" si="3"/>
        <v>1</v>
      </c>
      <c r="AB36" s="1518">
        <f t="shared" si="4"/>
        <v>1</v>
      </c>
      <c r="AC36" s="1518">
        <f t="shared" si="5"/>
        <v>1</v>
      </c>
    </row>
    <row r="37" spans="1:31" ht="15">
      <c r="A37" s="1385"/>
      <c r="B37" s="1334" t="s">
        <v>2268</v>
      </c>
      <c r="C37" s="1386"/>
      <c r="D37" s="759">
        <v>100</v>
      </c>
      <c r="E37" s="1386"/>
      <c r="F37" s="759">
        <f>SUMIF(114:114,E37,115:115)-SUMIF(114:114,C37,115:115)+100</f>
        <v>100</v>
      </c>
      <c r="G37" s="1386"/>
      <c r="H37" s="759">
        <f>SUMIF(114:114,G37,115:115)-SUMIF(114:114,C37,115:115)+100</f>
        <v>100</v>
      </c>
      <c r="I37" s="1386"/>
      <c r="J37" s="759">
        <f>SUMIF(114:114,I37,115:115)-SUMIF(114:114,C37,115:115)+100</f>
        <v>100</v>
      </c>
      <c r="K37" s="1481"/>
      <c r="L37" s="1474"/>
      <c r="M37" s="1409"/>
      <c r="N37" s="1409"/>
      <c r="O37" s="1473"/>
      <c r="P37" s="3462" t="s">
        <v>1694</v>
      </c>
      <c r="Q37" s="625" t="str">
        <f t="shared" si="14"/>
        <v>工程地质条件</v>
      </c>
      <c r="R37" s="1511" t="s">
        <v>1664</v>
      </c>
      <c r="S37" s="1512">
        <f t="shared" si="10"/>
        <v>100</v>
      </c>
      <c r="T37" s="1511" t="s">
        <v>1664</v>
      </c>
      <c r="U37" s="1512">
        <f t="shared" si="11"/>
        <v>100</v>
      </c>
      <c r="V37" s="1511" t="s">
        <v>1664</v>
      </c>
      <c r="W37" s="1512">
        <f t="shared" si="12"/>
        <v>100</v>
      </c>
      <c r="X37" s="1506"/>
      <c r="Y37" s="3462" t="s">
        <v>1694</v>
      </c>
      <c r="Z37" s="1495" t="str">
        <f t="shared" si="13"/>
        <v>工程地质条件</v>
      </c>
      <c r="AA37" s="1495">
        <f t="shared" si="3"/>
        <v>1</v>
      </c>
      <c r="AB37" s="1495">
        <f t="shared" si="4"/>
        <v>1</v>
      </c>
      <c r="AC37" s="1495">
        <f t="shared" si="5"/>
        <v>1</v>
      </c>
    </row>
    <row r="38" spans="1:31" ht="15">
      <c r="A38" s="1385"/>
      <c r="B38" s="1389">
        <v>111</v>
      </c>
      <c r="C38" s="1344"/>
      <c r="D38" s="759">
        <v>100</v>
      </c>
      <c r="E38" s="1344"/>
      <c r="F38" s="759">
        <f>SUMIF(116:116,E38,117:117)-SUMIF(116:116,C38,117:117)+100</f>
        <v>100</v>
      </c>
      <c r="G38" s="1344"/>
      <c r="H38" s="759">
        <f>SUMIF(116:116,G38,117:117)-SUMIF(116:116,C38,117:117)+100</f>
        <v>100</v>
      </c>
      <c r="I38" s="1343"/>
      <c r="J38" s="759">
        <f>SUMIF(116:116,I38,117:117)-SUMIF(116:116,C38,117:117)+100</f>
        <v>100</v>
      </c>
      <c r="K38" s="1480"/>
      <c r="L38" s="1474"/>
      <c r="M38" s="1409"/>
      <c r="N38" s="1409"/>
      <c r="O38" s="1473"/>
      <c r="P38" s="3462"/>
      <c r="Q38" s="625">
        <f t="shared" si="14"/>
        <v>111</v>
      </c>
      <c r="R38" s="1511" t="s">
        <v>1664</v>
      </c>
      <c r="S38" s="1512">
        <f t="shared" si="10"/>
        <v>100</v>
      </c>
      <c r="T38" s="1511" t="s">
        <v>1664</v>
      </c>
      <c r="U38" s="1512">
        <f t="shared" si="11"/>
        <v>100</v>
      </c>
      <c r="V38" s="1511" t="s">
        <v>1664</v>
      </c>
      <c r="W38" s="1512">
        <f t="shared" si="12"/>
        <v>100</v>
      </c>
      <c r="X38" s="1506"/>
      <c r="Y38" s="3462"/>
      <c r="Z38" s="1495">
        <f t="shared" si="13"/>
        <v>111</v>
      </c>
      <c r="AA38" s="1495">
        <f t="shared" si="3"/>
        <v>1</v>
      </c>
      <c r="AB38" s="1495">
        <f t="shared" si="4"/>
        <v>1</v>
      </c>
      <c r="AC38" s="1495">
        <f t="shared" si="5"/>
        <v>1</v>
      </c>
    </row>
    <row r="39" spans="1:31" ht="15">
      <c r="A39" s="1385"/>
      <c r="B39" s="1389">
        <v>111</v>
      </c>
      <c r="C39" s="1344"/>
      <c r="D39" s="759">
        <v>100</v>
      </c>
      <c r="E39" s="1344"/>
      <c r="F39" s="759">
        <f>SUMIF(118:118,E39,119:119)-SUMIF(118:118,C39,119:119)+100</f>
        <v>100</v>
      </c>
      <c r="G39" s="1344"/>
      <c r="H39" s="759">
        <f>SUMIF(118:118,G39,119:119)-SUMIF(118:118,C39,119:119)+100</f>
        <v>100</v>
      </c>
      <c r="I39" s="1343"/>
      <c r="J39" s="759">
        <f>SUMIF(118:118,I39,119:119)-SUMIF(118:118,C39,119:119)+100</f>
        <v>100</v>
      </c>
      <c r="K39" s="1480"/>
      <c r="L39" s="1474"/>
      <c r="M39" s="1409"/>
      <c r="N39" s="1409"/>
      <c r="O39" s="1473"/>
      <c r="P39" s="3462"/>
      <c r="Q39" s="625">
        <f t="shared" si="14"/>
        <v>111</v>
      </c>
      <c r="R39" s="1511" t="s">
        <v>1664</v>
      </c>
      <c r="S39" s="1512">
        <f t="shared" si="10"/>
        <v>100</v>
      </c>
      <c r="T39" s="1511" t="s">
        <v>1664</v>
      </c>
      <c r="U39" s="1512">
        <f t="shared" si="11"/>
        <v>100</v>
      </c>
      <c r="V39" s="1511" t="s">
        <v>1664</v>
      </c>
      <c r="W39" s="1512">
        <f t="shared" si="12"/>
        <v>100</v>
      </c>
      <c r="X39" s="1506"/>
      <c r="Y39" s="3462"/>
      <c r="Z39" s="1495">
        <f t="shared" si="13"/>
        <v>111</v>
      </c>
      <c r="AA39" s="1495">
        <f t="shared" si="3"/>
        <v>1</v>
      </c>
      <c r="AB39" s="1495">
        <f t="shared" si="4"/>
        <v>1</v>
      </c>
      <c r="AC39" s="1495">
        <f t="shared" si="5"/>
        <v>1</v>
      </c>
    </row>
    <row r="40" spans="1:31" s="1295" customFormat="1" ht="15">
      <c r="A40" s="1390"/>
      <c r="B40" s="1389">
        <v>111</v>
      </c>
      <c r="C40" s="1391"/>
      <c r="D40" s="1381">
        <v>100</v>
      </c>
      <c r="E40" s="1344"/>
      <c r="F40" s="1349">
        <f>SUMIF(120:120,E40,121:121)-SUMIF(120:120,C40,121:121)+100</f>
        <v>100</v>
      </c>
      <c r="G40" s="1344"/>
      <c r="H40" s="1349">
        <f>SUMIF(120:120,G40,121:121)-SUMIF(120:120,C40,121:121)+100</f>
        <v>100</v>
      </c>
      <c r="I40" s="1343"/>
      <c r="J40" s="1349">
        <f>SUMIF(120:120,I40,121:121)-SUMIF(120:120,C40,121:121)+100</f>
        <v>100</v>
      </c>
      <c r="K40" s="1485"/>
      <c r="L40" s="1472"/>
      <c r="M40" s="1482"/>
      <c r="N40" s="1482"/>
      <c r="O40" s="1483"/>
      <c r="P40" s="3462"/>
      <c r="Q40" s="625">
        <f t="shared" si="14"/>
        <v>111</v>
      </c>
      <c r="R40" s="1513" t="s">
        <v>1664</v>
      </c>
      <c r="S40" s="1514">
        <f t="shared" si="10"/>
        <v>100</v>
      </c>
      <c r="T40" s="1513" t="s">
        <v>1664</v>
      </c>
      <c r="U40" s="1514">
        <f t="shared" si="11"/>
        <v>100</v>
      </c>
      <c r="V40" s="1513" t="s">
        <v>1664</v>
      </c>
      <c r="W40" s="1514">
        <f t="shared" si="12"/>
        <v>100</v>
      </c>
      <c r="X40" s="1515"/>
      <c r="Y40" s="3462"/>
      <c r="Z40" s="1519">
        <f t="shared" si="13"/>
        <v>111</v>
      </c>
      <c r="AA40" s="1495">
        <f t="shared" si="3"/>
        <v>1</v>
      </c>
      <c r="AB40" s="1495">
        <f t="shared" si="4"/>
        <v>1</v>
      </c>
      <c r="AC40" s="1495">
        <f t="shared" si="5"/>
        <v>1</v>
      </c>
    </row>
    <row r="41" spans="1:31" ht="15">
      <c r="A41" s="1392" t="s">
        <v>2251</v>
      </c>
      <c r="B41" s="1393" t="s">
        <v>2303</v>
      </c>
      <c r="C41" s="1394" t="s">
        <v>124</v>
      </c>
      <c r="D41" s="1395"/>
      <c r="E41" s="1396"/>
      <c r="F41" s="1397"/>
      <c r="G41" s="1398"/>
      <c r="H41" s="1399"/>
      <c r="I41" s="1396"/>
      <c r="J41" s="1399"/>
      <c r="K41" s="1486"/>
      <c r="L41" s="1487"/>
      <c r="M41" s="1409"/>
      <c r="N41" s="1409"/>
      <c r="O41" s="1409"/>
      <c r="P41" s="3448" t="str">
        <f>A41</f>
        <v>成交单价</v>
      </c>
      <c r="Q41" s="3448"/>
      <c r="R41" s="3446">
        <f>E41</f>
        <v>0</v>
      </c>
      <c r="S41" s="3446"/>
      <c r="T41" s="3446">
        <f>G41</f>
        <v>0</v>
      </c>
      <c r="U41" s="3446"/>
      <c r="V41" s="3446">
        <f>I41</f>
        <v>0</v>
      </c>
      <c r="W41" s="3446"/>
      <c r="X41" s="1448"/>
      <c r="Y41" s="1520"/>
      <c r="Z41" s="1448"/>
      <c r="AA41" s="1448"/>
      <c r="AB41" s="1448"/>
      <c r="AC41" s="1448"/>
    </row>
    <row r="42" spans="1:31" ht="15">
      <c r="A42" s="1400" t="s">
        <v>1712</v>
      </c>
      <c r="B42" s="1401"/>
      <c r="C42" s="1402" t="e">
        <f>R43</f>
        <v>#DIV/0!</v>
      </c>
      <c r="D42" s="1403" t="s">
        <v>1713</v>
      </c>
      <c r="E42" s="1402" t="e">
        <f>R42</f>
        <v>#DIV/0!</v>
      </c>
      <c r="F42" s="1404"/>
      <c r="G42" s="1405" t="e">
        <f>T42</f>
        <v>#DIV/0!</v>
      </c>
      <c r="H42" s="1404"/>
      <c r="I42" s="1402" t="e">
        <f>V42</f>
        <v>#DIV/0!</v>
      </c>
      <c r="J42" s="1404"/>
      <c r="K42" s="1488">
        <f>F42+H42+J42</f>
        <v>0</v>
      </c>
      <c r="L42" s="1487"/>
      <c r="M42" s="1409"/>
      <c r="N42" s="1409"/>
      <c r="O42" s="1409"/>
      <c r="P42" s="3448" t="str">
        <f>A42</f>
        <v>比较价值（元/平方米）</v>
      </c>
      <c r="Q42" s="3448"/>
      <c r="R42" s="3520" t="e">
        <f>ROUND(PRODUCT(R41,AA7:AA40),0)</f>
        <v>#DIV/0!</v>
      </c>
      <c r="S42" s="3520"/>
      <c r="T42" s="3520" t="e">
        <f>ROUND(PRODUCT(T41,AB7:AB40),0)</f>
        <v>#DIV/0!</v>
      </c>
      <c r="U42" s="3520"/>
      <c r="V42" s="3520" t="e">
        <f>ROUND(PRODUCT(V41,AC7:AC40),0)</f>
        <v>#DIV/0!</v>
      </c>
      <c r="W42" s="3520"/>
      <c r="X42" s="1448"/>
      <c r="Y42" s="1448"/>
      <c r="Z42" s="1448"/>
      <c r="AA42" s="1448"/>
      <c r="AB42" s="1448"/>
      <c r="AC42" s="1448"/>
    </row>
    <row r="43" spans="1:31" ht="15">
      <c r="A43" s="1406" t="s">
        <v>1714</v>
      </c>
      <c r="B43" s="1407"/>
      <c r="C43" s="1408" t="e">
        <f>R43</f>
        <v>#DIV/0!</v>
      </c>
      <c r="D43" s="1408"/>
      <c r="E43" s="1408"/>
      <c r="F43" s="1408"/>
      <c r="G43" s="1408"/>
      <c r="H43" s="1408"/>
      <c r="I43" s="1408"/>
      <c r="J43" s="1408"/>
      <c r="K43" s="1489"/>
      <c r="L43" s="1487"/>
      <c r="M43" s="1409"/>
      <c r="N43" s="1409"/>
      <c r="O43" s="1409"/>
      <c r="P43" s="3514" t="str">
        <f>A43</f>
        <v>估价对象XX用房的比较价值（楼面单价，元/平方米）</v>
      </c>
      <c r="Q43" s="3515"/>
      <c r="R43" s="3521" t="e">
        <f>ROUND(IF(D42="简单平均",AVERAGE(R42:W42),R42*F42+T42*H42+V42*J42),0)</f>
        <v>#DIV/0!</v>
      </c>
      <c r="S43" s="3521"/>
      <c r="T43" s="3521"/>
      <c r="U43" s="3521"/>
      <c r="V43" s="3521"/>
      <c r="W43" s="3521"/>
      <c r="X43" s="1448"/>
      <c r="Y43" s="1448"/>
      <c r="Z43" s="1448"/>
      <c r="AA43" s="1448"/>
      <c r="AB43" s="1448"/>
      <c r="AC43" s="1448"/>
    </row>
    <row r="44" spans="1:31">
      <c r="A44" s="1409"/>
      <c r="B44" s="1409"/>
      <c r="C44" s="1409"/>
      <c r="D44" s="1409"/>
      <c r="E44" s="1409"/>
      <c r="F44" s="1409"/>
      <c r="G44" s="1410"/>
      <c r="H44" s="1409"/>
      <c r="I44" s="1409"/>
      <c r="J44" s="1409"/>
      <c r="K44" s="1491"/>
      <c r="L44" s="1492"/>
      <c r="M44" s="1409"/>
      <c r="N44" s="1409"/>
      <c r="O44" s="1409"/>
      <c r="P44" s="1409"/>
      <c r="Q44" s="1409"/>
      <c r="R44" s="1409"/>
      <c r="S44" s="1409"/>
      <c r="T44" s="1409"/>
      <c r="U44" s="1409"/>
      <c r="V44" s="1409"/>
      <c r="W44" s="1409"/>
      <c r="X44" s="1409"/>
      <c r="Y44" s="1409"/>
      <c r="Z44" s="1409"/>
      <c r="AA44" s="1409"/>
      <c r="AB44" s="1409"/>
      <c r="AC44" s="1409"/>
      <c r="AD44" s="1409"/>
      <c r="AE44" s="1409"/>
    </row>
    <row r="45" spans="1:31">
      <c r="A45" s="1409"/>
      <c r="B45" s="1409"/>
      <c r="C45" s="1409"/>
      <c r="D45" s="1409"/>
      <c r="E45" s="1409"/>
      <c r="F45" s="1409"/>
      <c r="G45" s="1409"/>
      <c r="H45" s="1409"/>
      <c r="I45" s="1409"/>
      <c r="J45" s="1409"/>
      <c r="K45" s="1491"/>
      <c r="L45" s="1492"/>
      <c r="M45" s="1409"/>
      <c r="N45" s="1409"/>
      <c r="O45" s="1409"/>
      <c r="P45" s="1409"/>
      <c r="Q45" s="1409"/>
      <c r="R45" s="1409"/>
      <c r="S45" s="1409"/>
      <c r="T45" s="1409"/>
      <c r="U45" s="1409"/>
      <c r="V45" s="1409"/>
      <c r="W45" s="1409"/>
      <c r="X45" s="1409"/>
      <c r="Y45" s="1409"/>
      <c r="Z45" s="1409"/>
      <c r="AA45" s="1409"/>
      <c r="AB45" s="1409"/>
      <c r="AC45" s="1409"/>
      <c r="AD45" s="1409"/>
      <c r="AE45" s="1409"/>
    </row>
    <row r="46" spans="1:31" ht="13.5" customHeight="1">
      <c r="A46" s="1409"/>
      <c r="B46" s="1409"/>
      <c r="C46" s="1411" t="s">
        <v>1715</v>
      </c>
      <c r="D46" s="667"/>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1"/>
      <c r="L46" s="1492"/>
      <c r="M46" s="1409"/>
      <c r="N46" s="1409"/>
      <c r="O46" s="1409"/>
      <c r="P46" s="1409"/>
      <c r="Q46" s="1409"/>
      <c r="R46" s="1409"/>
      <c r="S46" s="1409"/>
      <c r="T46" s="1409"/>
      <c r="U46" s="1409"/>
      <c r="V46" s="1409"/>
      <c r="W46" s="1409"/>
      <c r="X46" s="1409"/>
      <c r="Y46" s="1409"/>
      <c r="Z46" s="1409"/>
      <c r="AA46" s="1409"/>
      <c r="AB46" s="1409"/>
      <c r="AC46" s="1409"/>
      <c r="AD46" s="1409"/>
      <c r="AE46" s="1409"/>
    </row>
    <row r="47" spans="1:31" ht="13.5" customHeight="1">
      <c r="A47" s="1409"/>
      <c r="B47" s="1409"/>
      <c r="C47" s="1411" t="s">
        <v>1716</v>
      </c>
      <c r="D47" s="666"/>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1"/>
      <c r="L47" s="1492"/>
      <c r="M47" s="1409"/>
      <c r="N47" s="1409"/>
      <c r="O47" s="1409"/>
      <c r="P47" s="1409"/>
      <c r="Q47" s="1409"/>
      <c r="R47" s="1409"/>
      <c r="S47" s="1409"/>
      <c r="T47" s="1409"/>
      <c r="U47" s="1409"/>
      <c r="V47" s="1409"/>
      <c r="W47" s="1409"/>
      <c r="X47" s="1409"/>
      <c r="Y47" s="1409"/>
      <c r="Z47" s="1409"/>
      <c r="AA47" s="1409"/>
      <c r="AB47" s="1409"/>
      <c r="AC47" s="1409"/>
      <c r="AD47" s="1409"/>
      <c r="AE47" s="1409"/>
    </row>
    <row r="48" spans="1:31" s="1296" customFormat="1" ht="13.5" customHeight="1">
      <c r="A48" s="1414"/>
      <c r="B48" s="1414"/>
      <c r="C48" s="1411" t="s">
        <v>1717</v>
      </c>
      <c r="D48" s="666"/>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493"/>
      <c r="L48" s="1494"/>
      <c r="M48" s="1414"/>
      <c r="N48" s="1414"/>
      <c r="O48" s="1414"/>
      <c r="P48" s="1414"/>
      <c r="Q48" s="1414"/>
      <c r="R48" s="1414"/>
      <c r="S48" s="1414"/>
      <c r="T48" s="1414"/>
      <c r="U48" s="1414"/>
      <c r="V48" s="1414"/>
      <c r="W48" s="1414"/>
      <c r="X48" s="1414"/>
      <c r="Y48" s="1414"/>
      <c r="Z48" s="1414"/>
      <c r="AA48" s="1414"/>
      <c r="AB48" s="1414"/>
      <c r="AC48" s="1414"/>
      <c r="AD48" s="1414"/>
      <c r="AE48" s="1414"/>
    </row>
    <row r="49" spans="1:31" s="1296" customFormat="1">
      <c r="A49" s="1414"/>
      <c r="B49" s="1415"/>
      <c r="C49" s="1416"/>
      <c r="D49" s="1417"/>
      <c r="E49" s="1417"/>
      <c r="F49" s="1417"/>
      <c r="G49" s="1417"/>
      <c r="H49" s="1417"/>
      <c r="I49" s="1417"/>
      <c r="J49" s="1417"/>
      <c r="K49" s="1493"/>
      <c r="L49" s="1494"/>
      <c r="M49" s="1414"/>
      <c r="N49" s="1414"/>
      <c r="O49" s="1414"/>
      <c r="P49" s="1414"/>
      <c r="Q49" s="1414"/>
      <c r="R49" s="1414"/>
      <c r="S49" s="1414"/>
      <c r="T49" s="1414"/>
      <c r="U49" s="1414"/>
      <c r="V49" s="1414"/>
      <c r="W49" s="1414"/>
      <c r="X49" s="1414"/>
      <c r="Y49" s="1414"/>
      <c r="Z49" s="1414"/>
      <c r="AA49" s="1414"/>
      <c r="AB49" s="1414"/>
      <c r="AC49" s="1414"/>
      <c r="AD49" s="1414"/>
      <c r="AE49" s="1414"/>
    </row>
    <row r="50" spans="1:31" ht="27">
      <c r="A50" s="1418" t="s">
        <v>2271</v>
      </c>
      <c r="B50" s="1419" t="s">
        <v>2272</v>
      </c>
      <c r="C50" s="1420" t="s">
        <v>2273</v>
      </c>
      <c r="D50" s="1421" t="s">
        <v>2274</v>
      </c>
      <c r="E50" s="1422" t="s">
        <v>2275</v>
      </c>
      <c r="F50" s="1423" t="s">
        <v>2276</v>
      </c>
      <c r="G50" s="3469" t="s">
        <v>2277</v>
      </c>
      <c r="H50" s="3519"/>
      <c r="I50" s="1495" t="s">
        <v>2304</v>
      </c>
      <c r="J50" s="1495">
        <f>项目基本情况!F35</f>
        <v>0</v>
      </c>
      <c r="K50" s="1496" t="s">
        <v>2279</v>
      </c>
      <c r="L50" s="1492"/>
      <c r="M50" s="1409"/>
      <c r="N50" s="1409"/>
      <c r="O50" s="1409"/>
      <c r="P50" s="1409"/>
      <c r="Q50" s="1409"/>
      <c r="R50" s="1409"/>
      <c r="S50" s="1409"/>
      <c r="T50" s="1409"/>
      <c r="U50" s="1409"/>
      <c r="V50" s="1409"/>
      <c r="W50" s="1409"/>
      <c r="X50" s="1409"/>
      <c r="Y50" s="1409"/>
      <c r="Z50" s="1409"/>
      <c r="AA50" s="1409"/>
      <c r="AB50" s="1409"/>
      <c r="AC50" s="1409"/>
      <c r="AD50" s="1409"/>
      <c r="AE50" s="1409"/>
    </row>
    <row r="51" spans="1:31" s="1297" customFormat="1">
      <c r="A51" s="1424" t="s">
        <v>2280</v>
      </c>
      <c r="B51" s="1425" t="e">
        <f>C43</f>
        <v>#DIV/0!</v>
      </c>
      <c r="C51" s="1146">
        <v>1</v>
      </c>
      <c r="D51" s="1426">
        <v>1</v>
      </c>
      <c r="E51" s="1146">
        <f>'数据-汇总表'!E8+'数据-汇总表'!E9</f>
        <v>54071.78</v>
      </c>
      <c r="F51" s="1427" t="e">
        <f t="shared" ref="F51:F60" si="15">ROUND(B51*E51/10000,0)</f>
        <v>#DIV/0!</v>
      </c>
      <c r="G51" s="3447"/>
      <c r="H51" s="3448"/>
      <c r="I51" s="653">
        <v>1</v>
      </c>
      <c r="J51" s="653">
        <v>1</v>
      </c>
      <c r="K51" s="1414"/>
      <c r="L51" s="1497"/>
      <c r="M51" s="1497"/>
      <c r="N51" s="1497"/>
      <c r="O51" s="1497"/>
      <c r="P51" s="1497"/>
      <c r="Q51" s="1497"/>
      <c r="R51" s="1497"/>
      <c r="S51" s="1497"/>
      <c r="T51" s="1497"/>
      <c r="U51" s="1497"/>
      <c r="V51" s="1497"/>
      <c r="W51" s="1497"/>
      <c r="X51" s="1497"/>
      <c r="Y51" s="1497"/>
      <c r="Z51" s="1497"/>
      <c r="AA51" s="1497"/>
      <c r="AB51" s="1497"/>
      <c r="AC51" s="1497"/>
      <c r="AD51" s="1497"/>
      <c r="AE51" s="1497"/>
    </row>
    <row r="52" spans="1:31" s="1297" customFormat="1">
      <c r="A52" s="1428" t="s">
        <v>2281</v>
      </c>
      <c r="B52" s="360" t="e">
        <f>ROUND($C$43*C52*D52,0)</f>
        <v>#DIV/0!</v>
      </c>
      <c r="C52" s="515">
        <f t="shared" ref="C52:C60" si="16">IF($C$50="北京市系数",I52,J52)</f>
        <v>0</v>
      </c>
      <c r="D52" s="1429">
        <v>0.25</v>
      </c>
      <c r="E52" s="1430"/>
      <c r="F52" s="1427" t="e">
        <f t="shared" si="15"/>
        <v>#DIV/0!</v>
      </c>
      <c r="G52" s="1431" t="s">
        <v>2282</v>
      </c>
      <c r="H52" s="1432">
        <f>项目基本情况!B37</f>
        <v>0</v>
      </c>
      <c r="I52" s="653">
        <f>SUMIF(修正!A59:A70,H52,修正!B59:B70)</f>
        <v>0</v>
      </c>
      <c r="J52" s="1498"/>
      <c r="K52" s="1409"/>
      <c r="L52" s="1497"/>
      <c r="M52" s="1497"/>
      <c r="N52" s="1497"/>
      <c r="O52" s="1497"/>
      <c r="P52" s="1497"/>
      <c r="Q52" s="1497"/>
      <c r="R52" s="1497"/>
      <c r="S52" s="1497"/>
      <c r="T52" s="1497"/>
      <c r="U52" s="1497"/>
      <c r="V52" s="1497"/>
      <c r="W52" s="1497"/>
      <c r="X52" s="1497"/>
      <c r="Y52" s="1497"/>
      <c r="Z52" s="1497"/>
      <c r="AA52" s="1497"/>
      <c r="AB52" s="1497"/>
      <c r="AC52" s="1497"/>
      <c r="AD52" s="1497"/>
      <c r="AE52" s="1497"/>
    </row>
    <row r="53" spans="1:31" s="1297" customFormat="1">
      <c r="A53" s="1428" t="s">
        <v>2283</v>
      </c>
      <c r="B53" s="360" t="e">
        <f t="shared" ref="B53:B60" si="17">ROUND($C$43*C53*D53,0)</f>
        <v>#DIV/0!</v>
      </c>
      <c r="C53" s="515">
        <f t="shared" si="16"/>
        <v>0</v>
      </c>
      <c r="D53" s="1429">
        <v>0.25</v>
      </c>
      <c r="E53" s="1430"/>
      <c r="F53" s="1427" t="e">
        <f t="shared" si="15"/>
        <v>#DIV/0!</v>
      </c>
      <c r="G53" s="1433"/>
      <c r="H53" s="1432">
        <f>项目基本情况!B37</f>
        <v>0</v>
      </c>
      <c r="I53" s="653">
        <f>SUMIF(修正!A59:A70,H53,修正!C59:C70)</f>
        <v>0</v>
      </c>
      <c r="J53" s="1498"/>
      <c r="K53" s="1414"/>
      <c r="L53" s="1497"/>
      <c r="M53" s="1497"/>
      <c r="N53" s="1497"/>
      <c r="O53" s="1497"/>
      <c r="P53" s="1497"/>
      <c r="Q53" s="1497"/>
      <c r="R53" s="1497"/>
      <c r="S53" s="1497"/>
      <c r="T53" s="1497"/>
      <c r="U53" s="1497"/>
      <c r="V53" s="1497"/>
      <c r="W53" s="1497"/>
      <c r="X53" s="1497"/>
      <c r="Y53" s="1497"/>
      <c r="Z53" s="1497"/>
      <c r="AA53" s="1497"/>
      <c r="AB53" s="1497"/>
      <c r="AC53" s="1497"/>
      <c r="AD53" s="1497"/>
      <c r="AE53" s="1497"/>
    </row>
    <row r="54" spans="1:31" s="1297" customFormat="1">
      <c r="A54" s="1428" t="s">
        <v>2284</v>
      </c>
      <c r="B54" s="360" t="e">
        <f t="shared" si="17"/>
        <v>#DIV/0!</v>
      </c>
      <c r="C54" s="515">
        <f t="shared" si="16"/>
        <v>0</v>
      </c>
      <c r="D54" s="1429">
        <v>0.25</v>
      </c>
      <c r="E54" s="1430"/>
      <c r="F54" s="1427" t="e">
        <f t="shared" si="15"/>
        <v>#DIV/0!</v>
      </c>
      <c r="G54" s="1433"/>
      <c r="H54" s="1432">
        <f>项目基本情况!B37</f>
        <v>0</v>
      </c>
      <c r="I54" s="653">
        <f>SUMIF(修正!A59:A70,H54,修正!D59:D70)</f>
        <v>0</v>
      </c>
      <c r="J54" s="1498"/>
      <c r="K54" s="1409"/>
      <c r="L54" s="1497"/>
      <c r="M54" s="1497"/>
      <c r="N54" s="1497"/>
      <c r="O54" s="1497"/>
      <c r="P54" s="1497"/>
      <c r="Q54" s="1497"/>
      <c r="R54" s="1497"/>
      <c r="S54" s="1497"/>
      <c r="T54" s="1497"/>
      <c r="U54" s="1497"/>
      <c r="V54" s="1497"/>
      <c r="W54" s="1497"/>
      <c r="X54" s="1497"/>
      <c r="Y54" s="1497"/>
      <c r="Z54" s="1497"/>
      <c r="AA54" s="1497"/>
      <c r="AB54" s="1497"/>
      <c r="AC54" s="1497"/>
      <c r="AD54" s="1497"/>
      <c r="AE54" s="1497"/>
    </row>
    <row r="55" spans="1:31" s="1297" customFormat="1" hidden="1">
      <c r="A55" s="1428"/>
      <c r="B55" s="360"/>
      <c r="C55" s="515"/>
      <c r="D55" s="1429"/>
      <c r="E55" s="1430"/>
      <c r="F55" s="1427"/>
      <c r="G55" s="1434"/>
      <c r="H55" s="1432"/>
      <c r="I55" s="653"/>
      <c r="J55" s="1498"/>
      <c r="K55" s="1414"/>
      <c r="L55" s="1497"/>
      <c r="M55" s="1497"/>
      <c r="N55" s="1497"/>
      <c r="O55" s="1497"/>
      <c r="P55" s="1497"/>
      <c r="Q55" s="1497"/>
      <c r="R55" s="1497"/>
      <c r="S55" s="1497"/>
      <c r="T55" s="1497"/>
      <c r="U55" s="1497"/>
      <c r="V55" s="1497"/>
      <c r="W55" s="1497"/>
      <c r="X55" s="1497"/>
      <c r="Y55" s="1497"/>
      <c r="Z55" s="1497"/>
      <c r="AA55" s="1497"/>
      <c r="AB55" s="1497"/>
      <c r="AC55" s="1497"/>
      <c r="AD55" s="1497"/>
      <c r="AE55" s="1497"/>
    </row>
    <row r="56" spans="1:31" s="1297" customFormat="1">
      <c r="A56" s="1428" t="s">
        <v>2285</v>
      </c>
      <c r="B56" s="360" t="e">
        <f t="shared" si="17"/>
        <v>#DIV/0!</v>
      </c>
      <c r="C56" s="515">
        <f t="shared" si="16"/>
        <v>0.3</v>
      </c>
      <c r="D56" s="1429">
        <v>0.25</v>
      </c>
      <c r="E56" s="359">
        <f>'数据-汇总表'!E11</f>
        <v>0</v>
      </c>
      <c r="F56" s="1427" t="e">
        <f t="shared" si="15"/>
        <v>#DIV/0!</v>
      </c>
      <c r="G56" s="1435" t="s">
        <v>2286</v>
      </c>
      <c r="H56" s="1432" t="str">
        <f>项目基本情况!C37</f>
        <v>一级</v>
      </c>
      <c r="I56" s="653">
        <f>SUMIF(修正!A59:A70,H56,修正!E59:E70)</f>
        <v>0.3</v>
      </c>
      <c r="J56" s="1498"/>
      <c r="K56" s="1409"/>
      <c r="L56" s="1497"/>
      <c r="M56" s="1497"/>
      <c r="N56" s="1497"/>
      <c r="O56" s="1497"/>
      <c r="P56" s="1497"/>
      <c r="Q56" s="1497"/>
      <c r="R56" s="1497"/>
      <c r="S56" s="1497"/>
      <c r="T56" s="1497"/>
      <c r="U56" s="1497"/>
      <c r="V56" s="1497"/>
      <c r="W56" s="1497"/>
      <c r="X56" s="1497"/>
      <c r="Y56" s="1497"/>
      <c r="Z56" s="1497"/>
      <c r="AA56" s="1497"/>
      <c r="AB56" s="1497"/>
      <c r="AC56" s="1497"/>
      <c r="AD56" s="1497"/>
      <c r="AE56" s="1497"/>
    </row>
    <row r="57" spans="1:31" s="1297" customFormat="1">
      <c r="A57" s="1428" t="s">
        <v>2287</v>
      </c>
      <c r="B57" s="360" t="e">
        <f t="shared" si="17"/>
        <v>#DIV/0!</v>
      </c>
      <c r="C57" s="515">
        <f t="shared" si="16"/>
        <v>0.3</v>
      </c>
      <c r="D57" s="1429">
        <v>0.25</v>
      </c>
      <c r="E57" s="359">
        <f>'数据-汇总表'!E12</f>
        <v>0</v>
      </c>
      <c r="F57" s="1427" t="e">
        <f t="shared" si="15"/>
        <v>#DIV/0!</v>
      </c>
      <c r="G57" s="1436" t="s">
        <v>2288</v>
      </c>
      <c r="H57" s="1432" t="str">
        <f>IF(G57="商业",项目基本情况!B37,IF(G57="办公",项目基本情况!C37,IF(G57="住宅",项目基本情况!D37,项目基本情况!E37)))</f>
        <v>一级</v>
      </c>
      <c r="I57" s="653">
        <f>SUMIF(修正!A59:A70,H57,修正!F59:F70)</f>
        <v>0.3</v>
      </c>
      <c r="J57" s="1498"/>
      <c r="K57" s="1414"/>
      <c r="L57" s="1497"/>
      <c r="M57" s="1497"/>
      <c r="N57" s="1497"/>
      <c r="O57" s="1497"/>
      <c r="P57" s="1497"/>
      <c r="Q57" s="1497"/>
      <c r="R57" s="1497"/>
      <c r="S57" s="1497"/>
      <c r="T57" s="1497"/>
      <c r="U57" s="1497"/>
      <c r="V57" s="1497"/>
      <c r="W57" s="1497"/>
      <c r="X57" s="1497"/>
      <c r="Y57" s="1497"/>
      <c r="Z57" s="1497"/>
      <c r="AA57" s="1497"/>
      <c r="AB57" s="1497"/>
      <c r="AC57" s="1497"/>
      <c r="AD57" s="1497"/>
      <c r="AE57" s="1497"/>
    </row>
    <row r="58" spans="1:31" s="1297" customFormat="1">
      <c r="A58" s="1428" t="s">
        <v>2289</v>
      </c>
      <c r="B58" s="360" t="e">
        <f t="shared" si="17"/>
        <v>#DIV/0!</v>
      </c>
      <c r="C58" s="515">
        <f t="shared" si="16"/>
        <v>0</v>
      </c>
      <c r="D58" s="1429">
        <v>0.25</v>
      </c>
      <c r="E58" s="359">
        <f>'数据-汇总表'!E13</f>
        <v>10776.5</v>
      </c>
      <c r="F58" s="1427" t="e">
        <f t="shared" si="15"/>
        <v>#DIV/0!</v>
      </c>
      <c r="G58" s="1436" t="s">
        <v>2290</v>
      </c>
      <c r="H58" s="1432">
        <f>IF(G58="商业",项目基本情况!B37,IF(G58="办公",项目基本情况!C37,IF(G58="住宅",项目基本情况!D37,项目基本情况!E37)))</f>
        <v>0</v>
      </c>
      <c r="I58" s="653">
        <f>SUMIF(修正!A59:A70,H58,修正!G59:G70)</f>
        <v>0</v>
      </c>
      <c r="J58" s="1498"/>
      <c r="K58" s="1409"/>
      <c r="L58" s="1497"/>
      <c r="M58" s="1497"/>
      <c r="N58" s="1497"/>
      <c r="O58" s="1497"/>
      <c r="P58" s="1497"/>
      <c r="Q58" s="1497"/>
      <c r="R58" s="1497"/>
      <c r="S58" s="1497"/>
      <c r="T58" s="1497"/>
      <c r="U58" s="1497"/>
      <c r="V58" s="1497"/>
      <c r="W58" s="1497"/>
      <c r="X58" s="1497"/>
      <c r="Y58" s="1497"/>
      <c r="Z58" s="1497"/>
      <c r="AA58" s="1497"/>
      <c r="AB58" s="1497"/>
      <c r="AC58" s="1497"/>
      <c r="AD58" s="1497"/>
      <c r="AE58" s="1497"/>
    </row>
    <row r="59" spans="1:31" s="1297" customFormat="1">
      <c r="A59" s="1428" t="s">
        <v>2291</v>
      </c>
      <c r="B59" s="360" t="e">
        <f t="shared" si="17"/>
        <v>#DIV/0!</v>
      </c>
      <c r="C59" s="515">
        <f t="shared" si="16"/>
        <v>0</v>
      </c>
      <c r="D59" s="1429">
        <v>0.25</v>
      </c>
      <c r="E59" s="359">
        <f>'数据-汇总表'!E14</f>
        <v>0</v>
      </c>
      <c r="F59" s="1427" t="e">
        <f t="shared" si="15"/>
        <v>#DIV/0!</v>
      </c>
      <c r="G59" s="1435" t="s">
        <v>2282</v>
      </c>
      <c r="H59" s="1432">
        <f>项目基本情况!B37</f>
        <v>0</v>
      </c>
      <c r="I59" s="653">
        <f>SUMIF(修正!A59:A70,H59,修正!G59:G70)</f>
        <v>0</v>
      </c>
      <c r="J59" s="1498"/>
      <c r="K59" s="1414"/>
      <c r="L59" s="1497"/>
      <c r="M59" s="1497"/>
      <c r="N59" s="1497"/>
      <c r="O59" s="1497"/>
      <c r="P59" s="1497"/>
      <c r="Q59" s="1497"/>
      <c r="R59" s="1497"/>
      <c r="S59" s="1497"/>
      <c r="T59" s="1497"/>
      <c r="U59" s="1497"/>
      <c r="V59" s="1497"/>
      <c r="W59" s="1497"/>
      <c r="X59" s="1497"/>
      <c r="Y59" s="1497"/>
      <c r="Z59" s="1497"/>
      <c r="AA59" s="1497"/>
      <c r="AB59" s="1497"/>
      <c r="AC59" s="1497"/>
      <c r="AD59" s="1497"/>
      <c r="AE59" s="1497"/>
    </row>
    <row r="60" spans="1:31" s="1297" customFormat="1">
      <c r="A60" s="1428" t="s">
        <v>2292</v>
      </c>
      <c r="B60" s="360" t="e">
        <f t="shared" si="17"/>
        <v>#DIV/0!</v>
      </c>
      <c r="C60" s="515">
        <f t="shared" si="16"/>
        <v>0.2</v>
      </c>
      <c r="D60" s="1429">
        <v>0.25</v>
      </c>
      <c r="E60" s="359">
        <f>'数据-汇总表'!E15</f>
        <v>0</v>
      </c>
      <c r="F60" s="1427" t="e">
        <f t="shared" si="15"/>
        <v>#DIV/0!</v>
      </c>
      <c r="G60" s="1437" t="s">
        <v>2286</v>
      </c>
      <c r="H60" s="1438" t="str">
        <f>项目基本情况!C37</f>
        <v>一级</v>
      </c>
      <c r="I60" s="653">
        <f>SUMIF(修正!A59:A70,H60,修正!G59:G70)</f>
        <v>0.2</v>
      </c>
      <c r="J60" s="1498"/>
      <c r="K60" s="1409"/>
      <c r="L60" s="1497"/>
      <c r="M60" s="1497"/>
      <c r="N60" s="1497"/>
      <c r="O60" s="1497"/>
      <c r="P60" s="1497"/>
      <c r="Q60" s="1497"/>
      <c r="R60" s="1497"/>
      <c r="S60" s="1497"/>
      <c r="T60" s="1497"/>
      <c r="U60" s="1497"/>
      <c r="V60" s="1497"/>
      <c r="W60" s="1497"/>
      <c r="X60" s="1497"/>
      <c r="Y60" s="1497"/>
      <c r="Z60" s="1497"/>
      <c r="AA60" s="1497"/>
      <c r="AB60" s="1497"/>
      <c r="AC60" s="1497"/>
      <c r="AD60" s="1497"/>
      <c r="AE60" s="1497"/>
    </row>
    <row r="61" spans="1:31" s="1297" customFormat="1">
      <c r="A61" s="1439" t="s">
        <v>2293</v>
      </c>
      <c r="B61" s="1440" t="s">
        <v>2294</v>
      </c>
      <c r="C61" s="1440" t="s">
        <v>2294</v>
      </c>
      <c r="D61" s="1440" t="s">
        <v>2294</v>
      </c>
      <c r="E61" s="1440">
        <f>IF(B41="楼面地价",SUM(E51:E60),'数据-汇总表'!D3)</f>
        <v>12590.6</v>
      </c>
      <c r="F61" s="1441" t="e">
        <f>IF(B41="楼面地价",SUM(F51:F60),ROUND(C43*E61/10000,0))</f>
        <v>#DIV/0!</v>
      </c>
      <c r="G61" s="1442"/>
      <c r="H61" s="1442"/>
      <c r="I61" s="1442"/>
      <c r="J61" s="1442"/>
      <c r="K61" s="1491"/>
      <c r="L61" s="1497"/>
      <c r="M61" s="1497"/>
      <c r="N61" s="1497"/>
      <c r="O61" s="1497"/>
      <c r="P61" s="1497"/>
      <c r="Q61" s="1497"/>
      <c r="R61" s="1497"/>
      <c r="S61" s="1497"/>
      <c r="T61" s="1497"/>
      <c r="U61" s="1497"/>
      <c r="V61" s="1497"/>
      <c r="W61" s="1497"/>
      <c r="X61" s="1497"/>
      <c r="Y61" s="1497"/>
      <c r="Z61" s="1497"/>
      <c r="AA61" s="1497"/>
      <c r="AB61" s="1497"/>
      <c r="AC61" s="1497"/>
      <c r="AD61" s="1497"/>
      <c r="AE61" s="1497"/>
    </row>
    <row r="62" spans="1:31">
      <c r="A62" s="1443"/>
      <c r="B62" s="1444"/>
      <c r="C62" s="1445"/>
      <c r="D62" s="1443"/>
      <c r="E62" s="1443"/>
      <c r="F62" s="1443"/>
      <c r="G62" s="1443"/>
      <c r="H62" s="1443"/>
      <c r="I62" s="1443"/>
      <c r="J62" s="1443"/>
      <c r="K62" s="1499"/>
      <c r="L62" s="1500"/>
      <c r="M62" s="1443"/>
      <c r="N62" s="1443"/>
      <c r="O62" s="1443"/>
      <c r="P62" s="1409"/>
      <c r="Q62" s="1409"/>
      <c r="R62" s="1409"/>
      <c r="S62" s="1409"/>
      <c r="T62" s="1409"/>
      <c r="U62" s="1409"/>
      <c r="V62" s="1409"/>
      <c r="W62" s="1409"/>
      <c r="X62" s="1409"/>
      <c r="Y62" s="1409"/>
      <c r="Z62" s="1409"/>
      <c r="AA62" s="1409"/>
      <c r="AB62" s="1409"/>
      <c r="AC62" s="1409"/>
      <c r="AD62" s="1409"/>
      <c r="AE62" s="1409"/>
    </row>
    <row r="63" spans="1:31">
      <c r="A63" s="1443"/>
      <c r="B63" s="1444"/>
      <c r="C63" s="1446" t="str">
        <f>YEAR(C7)&amp;"-"&amp;MONTH(C7)&amp;"-1"</f>
        <v>2025-8-1</v>
      </c>
      <c r="D63" s="1446">
        <f>EDATE(C63,-3)</f>
        <v>45778</v>
      </c>
      <c r="E63" s="1446">
        <f>EDATE(D63,-3)</f>
        <v>45689</v>
      </c>
      <c r="F63" s="1446">
        <f t="shared" ref="F63:O63" si="18">EDATE(E63,-3)</f>
        <v>45597</v>
      </c>
      <c r="G63" s="1446">
        <f t="shared" si="18"/>
        <v>45505</v>
      </c>
      <c r="H63" s="1446">
        <f t="shared" si="18"/>
        <v>45413</v>
      </c>
      <c r="I63" s="1446">
        <f t="shared" si="18"/>
        <v>45323</v>
      </c>
      <c r="J63" s="1446">
        <f t="shared" si="18"/>
        <v>45231</v>
      </c>
      <c r="K63" s="1446">
        <f t="shared" si="18"/>
        <v>45139</v>
      </c>
      <c r="L63" s="1446">
        <f t="shared" si="18"/>
        <v>45047</v>
      </c>
      <c r="M63" s="1446">
        <f t="shared" si="18"/>
        <v>44958</v>
      </c>
      <c r="N63" s="1446">
        <f t="shared" si="18"/>
        <v>44866</v>
      </c>
      <c r="O63" s="1446">
        <f t="shared" si="18"/>
        <v>44774</v>
      </c>
      <c r="P63" s="1409"/>
      <c r="Q63" s="1409"/>
      <c r="R63" s="1409"/>
      <c r="S63" s="1409"/>
      <c r="T63" s="1409"/>
      <c r="U63" s="1409"/>
      <c r="V63" s="1409"/>
      <c r="W63" s="1409"/>
      <c r="X63" s="1409"/>
      <c r="Y63" s="1409"/>
      <c r="Z63" s="1409"/>
      <c r="AA63" s="1409"/>
      <c r="AB63" s="1409"/>
      <c r="AC63" s="1409"/>
      <c r="AD63" s="1409"/>
      <c r="AE63" s="1409"/>
    </row>
    <row r="64" spans="1:31" ht="21">
      <c r="A64" s="1447" t="s">
        <v>1718</v>
      </c>
      <c r="B64" s="1448"/>
      <c r="C64" s="1449"/>
      <c r="D64" s="1449"/>
      <c r="E64" s="1449"/>
      <c r="F64" s="1450"/>
      <c r="G64" s="1450"/>
      <c r="H64" s="1449"/>
      <c r="I64" s="1449"/>
      <c r="J64" s="1449"/>
      <c r="K64" s="1501"/>
      <c r="L64" s="1502"/>
      <c r="M64" s="1449"/>
      <c r="N64" s="1449"/>
      <c r="O64" s="1503"/>
      <c r="P64" s="1504"/>
      <c r="Q64" s="1516"/>
      <c r="R64" s="1409"/>
      <c r="S64" s="1409"/>
      <c r="T64" s="1409"/>
      <c r="U64" s="1409"/>
      <c r="V64" s="1409"/>
      <c r="W64" s="1409"/>
      <c r="X64" s="1409"/>
      <c r="Y64" s="1409"/>
      <c r="Z64" s="1409"/>
      <c r="AA64" s="1409"/>
      <c r="AB64" s="1409"/>
      <c r="AC64" s="1409"/>
      <c r="AD64" s="1409"/>
      <c r="AE64" s="1409"/>
    </row>
    <row r="65" spans="1:31" s="1298" customFormat="1" ht="15">
      <c r="A65" s="1521" t="s">
        <v>2295</v>
      </c>
      <c r="B65" s="1522"/>
      <c r="C65" s="1523" t="str">
        <f>YEAR(C63)&amp;"-"&amp;ROUNDUP(MONTH(C63)/3,0)</f>
        <v>2025-3</v>
      </c>
      <c r="D65" s="1523" t="str">
        <f t="shared" ref="D65:O65" si="19">YEAR(D63)&amp;"-"&amp;ROUNDUP(MONTH(D63)/3,0)</f>
        <v>2025-2</v>
      </c>
      <c r="E65" s="1523" t="str">
        <f t="shared" si="19"/>
        <v>2025-1</v>
      </c>
      <c r="F65" s="1523" t="str">
        <f t="shared" si="19"/>
        <v>2024-4</v>
      </c>
      <c r="G65" s="1523" t="str">
        <f t="shared" si="19"/>
        <v>2024-3</v>
      </c>
      <c r="H65" s="1523" t="str">
        <f t="shared" si="19"/>
        <v>2024-2</v>
      </c>
      <c r="I65" s="1523" t="str">
        <f t="shared" si="19"/>
        <v>2024-1</v>
      </c>
      <c r="J65" s="1523" t="str">
        <f t="shared" si="19"/>
        <v>2023-4</v>
      </c>
      <c r="K65" s="1523" t="str">
        <f t="shared" si="19"/>
        <v>2023-3</v>
      </c>
      <c r="L65" s="1523" t="str">
        <f t="shared" si="19"/>
        <v>2023-2</v>
      </c>
      <c r="M65" s="1523" t="str">
        <f t="shared" si="19"/>
        <v>2023-1</v>
      </c>
      <c r="N65" s="1523" t="str">
        <f t="shared" si="19"/>
        <v>2022-4</v>
      </c>
      <c r="O65" s="1523" t="str">
        <f t="shared" si="19"/>
        <v>2022-3</v>
      </c>
      <c r="P65" s="1568"/>
      <c r="Q65" s="1568"/>
      <c r="R65" s="1568"/>
      <c r="S65" s="1568"/>
      <c r="T65" s="1568"/>
      <c r="U65" s="1568"/>
      <c r="V65" s="1568"/>
      <c r="W65" s="1568"/>
      <c r="X65" s="1568"/>
      <c r="Y65" s="1568"/>
      <c r="Z65" s="1568"/>
      <c r="AA65" s="1568"/>
      <c r="AB65" s="1568"/>
      <c r="AC65" s="1568"/>
      <c r="AD65" s="1568"/>
      <c r="AE65" s="1568"/>
    </row>
    <row r="66" spans="1:31" s="1293" customFormat="1" ht="30.75" customHeight="1">
      <c r="A66" s="1524" t="s">
        <v>2305</v>
      </c>
      <c r="B66" s="1525" t="str">
        <f>"北京市平均增长率"&amp;TEXT(基准地价修正!P28,"0.00%")</f>
        <v>北京市平均增长率0.00%</v>
      </c>
      <c r="C66" s="794">
        <v>100</v>
      </c>
      <c r="D66" s="1526"/>
      <c r="E66" s="1526"/>
      <c r="F66" s="1526"/>
      <c r="G66" s="1526"/>
      <c r="H66" s="1526"/>
      <c r="I66" s="1526"/>
      <c r="J66" s="1526"/>
      <c r="K66" s="1526"/>
      <c r="L66" s="1526"/>
      <c r="M66" s="1569"/>
      <c r="N66" s="1569"/>
      <c r="O66" s="1374"/>
      <c r="P66" s="1516"/>
      <c r="Q66" s="1464"/>
      <c r="R66" s="1464"/>
      <c r="S66" s="1464"/>
      <c r="T66" s="1464"/>
      <c r="U66" s="1464"/>
      <c r="V66" s="1464"/>
      <c r="W66" s="1464"/>
      <c r="X66" s="1464"/>
      <c r="Y66" s="1464"/>
      <c r="Z66" s="1464"/>
      <c r="AA66" s="1464"/>
      <c r="AB66" s="1464"/>
      <c r="AC66" s="1464"/>
      <c r="AD66" s="1464"/>
      <c r="AE66" s="1464"/>
    </row>
    <row r="67" spans="1:31" s="1293" customFormat="1" ht="15">
      <c r="A67" s="1527" t="s">
        <v>1719</v>
      </c>
      <c r="B67" s="1528"/>
      <c r="C67" s="1529"/>
      <c r="D67" s="1530"/>
      <c r="E67" s="1530"/>
      <c r="F67" s="1530"/>
      <c r="G67" s="1530"/>
      <c r="H67" s="1530"/>
      <c r="I67" s="1530"/>
      <c r="J67" s="1530"/>
      <c r="K67" s="1530"/>
      <c r="L67" s="1530"/>
      <c r="M67" s="1570"/>
      <c r="N67" s="1570"/>
      <c r="O67" s="1571"/>
      <c r="P67" s="1516"/>
      <c r="Q67" s="1516"/>
      <c r="R67" s="1464"/>
      <c r="S67" s="1464"/>
      <c r="T67" s="1464"/>
      <c r="U67" s="1464"/>
      <c r="V67" s="1464"/>
      <c r="W67" s="1464"/>
      <c r="X67" s="1464"/>
      <c r="Y67" s="1464"/>
      <c r="Z67" s="1464"/>
      <c r="AA67" s="1464"/>
      <c r="AB67" s="1464"/>
      <c r="AC67" s="1464"/>
      <c r="AD67" s="1464"/>
      <c r="AE67" s="1464"/>
    </row>
    <row r="68" spans="1:31" s="1293" customFormat="1" ht="15">
      <c r="A68" s="1531" t="s">
        <v>1665</v>
      </c>
      <c r="B68" s="1532"/>
      <c r="C68" s="1533" t="s">
        <v>1720</v>
      </c>
      <c r="D68" s="1534"/>
      <c r="E68" s="1534"/>
      <c r="F68" s="1534"/>
      <c r="G68" s="1534"/>
      <c r="H68" s="1534"/>
      <c r="I68" s="1534"/>
      <c r="J68" s="1534"/>
      <c r="K68" s="1534"/>
      <c r="L68" s="1572"/>
      <c r="M68" s="1573"/>
      <c r="N68" s="1574"/>
      <c r="O68" s="1574"/>
      <c r="P68" s="1177"/>
      <c r="Q68" s="1516"/>
      <c r="R68" s="1464"/>
      <c r="S68" s="1464"/>
      <c r="T68" s="1464"/>
      <c r="U68" s="1464"/>
      <c r="V68" s="1464"/>
      <c r="W68" s="1464"/>
      <c r="X68" s="1464"/>
      <c r="Y68" s="1464"/>
      <c r="Z68" s="1464"/>
      <c r="AA68" s="1464"/>
      <c r="AB68" s="1464"/>
      <c r="AC68" s="1464"/>
      <c r="AD68" s="1464"/>
      <c r="AE68" s="1464"/>
    </row>
    <row r="69" spans="1:31" s="1293" customFormat="1" ht="15">
      <c r="A69" s="1531"/>
      <c r="B69" s="1532"/>
      <c r="C69" s="1535">
        <v>100</v>
      </c>
      <c r="D69" s="1536"/>
      <c r="E69" s="1536"/>
      <c r="F69" s="1536"/>
      <c r="G69" s="1536"/>
      <c r="H69" s="1536"/>
      <c r="I69" s="1536"/>
      <c r="J69" s="1536"/>
      <c r="K69" s="1536"/>
      <c r="L69" s="1536"/>
      <c r="M69" s="1575"/>
      <c r="N69" s="1574"/>
      <c r="O69" s="1574"/>
      <c r="P69" s="1516"/>
      <c r="Q69" s="1516"/>
      <c r="R69" s="1464"/>
      <c r="S69" s="1464"/>
      <c r="T69" s="1464"/>
      <c r="U69" s="1464"/>
      <c r="V69" s="1464"/>
      <c r="W69" s="1464"/>
      <c r="X69" s="1464"/>
      <c r="Y69" s="1464"/>
      <c r="Z69" s="1464"/>
      <c r="AA69" s="1464"/>
      <c r="AB69" s="1464"/>
      <c r="AC69" s="1464"/>
      <c r="AD69" s="1464"/>
      <c r="AE69" s="1464"/>
    </row>
    <row r="70" spans="1:31">
      <c r="A70" s="1350" t="s">
        <v>1721</v>
      </c>
      <c r="B70" s="1537" t="s">
        <v>1669</v>
      </c>
      <c r="C70" s="1484"/>
      <c r="D70" s="1484"/>
      <c r="E70" s="1484"/>
      <c r="F70" s="1484"/>
      <c r="G70" s="1484"/>
      <c r="H70" s="1484"/>
      <c r="I70" s="1484"/>
      <c r="J70" s="1484"/>
      <c r="K70" s="1576"/>
      <c r="L70" s="1577"/>
      <c r="M70" s="1578"/>
      <c r="N70" s="1579"/>
      <c r="O70" s="1579"/>
      <c r="P70" s="1574"/>
      <c r="Q70" s="1516"/>
      <c r="R70" s="1409"/>
      <c r="S70" s="1409"/>
      <c r="T70" s="1409"/>
      <c r="U70" s="1409"/>
      <c r="V70" s="1409"/>
      <c r="W70" s="1409"/>
      <c r="X70" s="1409"/>
      <c r="Y70" s="1409"/>
      <c r="Z70" s="1409"/>
      <c r="AA70" s="1409"/>
      <c r="AB70" s="1409"/>
      <c r="AC70" s="1409"/>
      <c r="AD70" s="1409"/>
      <c r="AE70" s="1409"/>
    </row>
    <row r="71" spans="1:31" ht="15">
      <c r="A71" s="1337"/>
      <c r="B71" s="1538"/>
      <c r="C71" s="1539"/>
      <c r="D71" s="1539"/>
      <c r="E71" s="1539"/>
      <c r="F71" s="1539"/>
      <c r="G71" s="1539"/>
      <c r="H71" s="1539"/>
      <c r="I71" s="1539"/>
      <c r="J71" s="1539"/>
      <c r="K71" s="1539"/>
      <c r="L71" s="1539"/>
      <c r="M71" s="1580"/>
      <c r="N71" s="1581"/>
      <c r="O71" s="1581"/>
      <c r="P71" s="1574"/>
      <c r="Q71" s="1516"/>
      <c r="R71" s="1409"/>
      <c r="S71" s="1409"/>
      <c r="T71" s="1409"/>
      <c r="U71" s="1409"/>
      <c r="V71" s="1409"/>
      <c r="W71" s="1409"/>
      <c r="X71" s="1409"/>
      <c r="Y71" s="1409"/>
      <c r="Z71" s="1409"/>
      <c r="AA71" s="1409"/>
      <c r="AB71" s="1409"/>
      <c r="AC71" s="1409"/>
      <c r="AD71" s="1409"/>
      <c r="AE71" s="1409"/>
    </row>
    <row r="72" spans="1:31" ht="27">
      <c r="A72" s="1337"/>
      <c r="B72" s="1540" t="s">
        <v>1672</v>
      </c>
      <c r="C72" s="1541"/>
      <c r="D72" s="1541"/>
      <c r="E72" s="1541"/>
      <c r="F72" s="1541"/>
      <c r="G72" s="1541"/>
      <c r="H72" s="1541"/>
      <c r="I72" s="1541"/>
      <c r="J72" s="1541"/>
      <c r="K72" s="1582"/>
      <c r="L72" s="1583"/>
      <c r="M72" s="1584"/>
      <c r="N72" s="1579"/>
      <c r="O72" s="1579"/>
      <c r="P72" s="1574"/>
      <c r="Q72" s="1516"/>
      <c r="R72" s="1409"/>
      <c r="S72" s="1409"/>
      <c r="T72" s="1409"/>
      <c r="U72" s="1409"/>
      <c r="V72" s="1409"/>
      <c r="W72" s="1409"/>
      <c r="X72" s="1409"/>
      <c r="Y72" s="1409"/>
      <c r="Z72" s="1409"/>
      <c r="AA72" s="1409"/>
      <c r="AB72" s="1409"/>
      <c r="AC72" s="1409"/>
      <c r="AD72" s="1409"/>
      <c r="AE72" s="1409"/>
    </row>
    <row r="73" spans="1:31" ht="15">
      <c r="A73" s="1337"/>
      <c r="B73" s="1542"/>
      <c r="C73" s="1543"/>
      <c r="D73" s="1543"/>
      <c r="E73" s="1543"/>
      <c r="F73" s="1543"/>
      <c r="G73" s="1543"/>
      <c r="H73" s="1543"/>
      <c r="I73" s="1543"/>
      <c r="J73" s="1543"/>
      <c r="K73" s="1543"/>
      <c r="L73" s="1543"/>
      <c r="M73" s="1585"/>
      <c r="N73" s="1581"/>
      <c r="O73" s="1581"/>
      <c r="P73" s="1574"/>
      <c r="Q73" s="1516"/>
      <c r="R73" s="1409"/>
      <c r="S73" s="1409"/>
      <c r="T73" s="1409"/>
      <c r="U73" s="1409"/>
      <c r="V73" s="1409"/>
      <c r="W73" s="1409"/>
      <c r="X73" s="1409"/>
      <c r="Y73" s="1409"/>
      <c r="Z73" s="1409"/>
      <c r="AA73" s="1409"/>
      <c r="AB73" s="1409"/>
      <c r="AC73" s="1409"/>
      <c r="AD73" s="1409"/>
      <c r="AE73" s="1409"/>
    </row>
    <row r="74" spans="1:31" ht="15">
      <c r="A74" s="1337"/>
      <c r="B74" s="1544" t="s">
        <v>1675</v>
      </c>
      <c r="C74" s="1545" t="str">
        <f>C75&amp;"（含）"&amp;"-"&amp;D75</f>
        <v>（含）-</v>
      </c>
      <c r="D74" s="1545" t="str">
        <f t="shared" ref="D74:L74" si="20">D75&amp;"（含）"&amp;"-"&amp;E75</f>
        <v>（含）-</v>
      </c>
      <c r="E74" s="1545" t="str">
        <f t="shared" si="20"/>
        <v>（含）-</v>
      </c>
      <c r="F74" s="1545" t="str">
        <f t="shared" si="20"/>
        <v>（含）-</v>
      </c>
      <c r="G74" s="1545" t="str">
        <f t="shared" si="20"/>
        <v>（含）-</v>
      </c>
      <c r="H74" s="1545" t="str">
        <f t="shared" si="20"/>
        <v>（含）-</v>
      </c>
      <c r="I74" s="1545" t="str">
        <f t="shared" si="20"/>
        <v>（含）-</v>
      </c>
      <c r="J74" s="1545" t="str">
        <f t="shared" si="20"/>
        <v>（含）-</v>
      </c>
      <c r="K74" s="1545" t="str">
        <f t="shared" si="20"/>
        <v>（含）-</v>
      </c>
      <c r="L74" s="1545" t="str">
        <f t="shared" si="20"/>
        <v>（含）-</v>
      </c>
      <c r="M74" s="1357" t="str">
        <f>M75&amp;"（含）"&amp;"-"&amp;P75</f>
        <v>（含）-</v>
      </c>
      <c r="N74" s="1581"/>
      <c r="O74" s="1581"/>
      <c r="P74" s="1574"/>
      <c r="Q74" s="1516"/>
      <c r="R74" s="1409"/>
      <c r="S74" s="1409"/>
      <c r="T74" s="1409"/>
      <c r="U74" s="1409"/>
      <c r="V74" s="1409"/>
      <c r="W74" s="1409"/>
      <c r="X74" s="1409"/>
      <c r="Y74" s="1409"/>
      <c r="Z74" s="1409"/>
      <c r="AA74" s="1409"/>
      <c r="AB74" s="1409"/>
      <c r="AC74" s="1409"/>
      <c r="AD74" s="1409"/>
      <c r="AE74" s="1409"/>
    </row>
    <row r="75" spans="1:31" ht="15">
      <c r="A75" s="1337"/>
      <c r="B75" s="1546"/>
      <c r="C75" s="1343"/>
      <c r="D75" s="1343"/>
      <c r="E75" s="1343"/>
      <c r="F75" s="1343"/>
      <c r="G75" s="1343"/>
      <c r="H75" s="1343"/>
      <c r="I75" s="1343"/>
      <c r="J75" s="1343"/>
      <c r="K75" s="1586"/>
      <c r="L75" s="1587"/>
      <c r="M75" s="1588"/>
      <c r="N75" s="1579"/>
      <c r="O75" s="1579"/>
      <c r="P75" s="1574"/>
      <c r="Q75" s="1516"/>
      <c r="R75" s="1409"/>
      <c r="S75" s="1409"/>
      <c r="T75" s="1409"/>
      <c r="U75" s="1409"/>
      <c r="V75" s="1409"/>
      <c r="W75" s="1409"/>
      <c r="X75" s="1409"/>
      <c r="Y75" s="1409"/>
      <c r="Z75" s="1409"/>
      <c r="AA75" s="1409"/>
      <c r="AB75" s="1409"/>
      <c r="AC75" s="1409"/>
      <c r="AD75" s="1409"/>
      <c r="AE75" s="1409"/>
    </row>
    <row r="76" spans="1:31" ht="15">
      <c r="A76" s="1337"/>
      <c r="B76" s="1538"/>
      <c r="C76" s="1543">
        <v>100</v>
      </c>
      <c r="D76" s="1543">
        <f>IF($B$41="单位面积地价",C76+$K11,C76-$K11)</f>
        <v>100</v>
      </c>
      <c r="E76" s="1543">
        <f t="shared" ref="E76:M76" si="21">IF($B$41="单位面积地价",D76+$K11,D76-$K11)</f>
        <v>100</v>
      </c>
      <c r="F76" s="1543">
        <f t="shared" si="21"/>
        <v>100</v>
      </c>
      <c r="G76" s="1543">
        <f t="shared" si="21"/>
        <v>100</v>
      </c>
      <c r="H76" s="1543">
        <f t="shared" si="21"/>
        <v>100</v>
      </c>
      <c r="I76" s="1543">
        <f t="shared" si="21"/>
        <v>100</v>
      </c>
      <c r="J76" s="1543">
        <f t="shared" si="21"/>
        <v>100</v>
      </c>
      <c r="K76" s="1543">
        <f t="shared" si="21"/>
        <v>100</v>
      </c>
      <c r="L76" s="1543">
        <f t="shared" si="21"/>
        <v>100</v>
      </c>
      <c r="M76" s="1543">
        <f t="shared" si="21"/>
        <v>100</v>
      </c>
      <c r="N76" s="1581"/>
      <c r="O76" s="1581"/>
      <c r="P76" s="1574"/>
      <c r="Q76" s="1516"/>
      <c r="R76" s="1409"/>
      <c r="S76" s="1409"/>
      <c r="T76" s="1409"/>
      <c r="U76" s="1409"/>
      <c r="V76" s="1409"/>
      <c r="W76" s="1409"/>
      <c r="X76" s="1409"/>
      <c r="Y76" s="1409"/>
      <c r="Z76" s="1409"/>
      <c r="AA76" s="1409"/>
      <c r="AB76" s="1409"/>
      <c r="AC76" s="1409"/>
      <c r="AD76" s="1409"/>
      <c r="AE76" s="1409"/>
    </row>
    <row r="77" spans="1:31" s="1295" customFormat="1" ht="15">
      <c r="A77" s="1547"/>
      <c r="B77" s="1540">
        <f>B12</f>
        <v>111</v>
      </c>
      <c r="C77" s="1548"/>
      <c r="D77" s="1548"/>
      <c r="E77" s="1548"/>
      <c r="F77" s="1548"/>
      <c r="G77" s="1548"/>
      <c r="H77" s="1549"/>
      <c r="I77" s="1549"/>
      <c r="J77" s="1549"/>
      <c r="K77" s="1549"/>
      <c r="L77" s="1589"/>
      <c r="M77" s="1590"/>
      <c r="N77" s="1591"/>
      <c r="O77" s="1591"/>
      <c r="P77" s="1591"/>
      <c r="Q77" s="1619"/>
      <c r="R77" s="1482"/>
      <c r="S77" s="1482"/>
      <c r="T77" s="1482"/>
      <c r="U77" s="1482"/>
      <c r="V77" s="1482"/>
      <c r="W77" s="1482"/>
      <c r="X77" s="1482"/>
      <c r="Y77" s="1482"/>
      <c r="Z77" s="1482"/>
      <c r="AA77" s="1482"/>
      <c r="AB77" s="1482"/>
      <c r="AC77" s="1482"/>
      <c r="AD77" s="1482"/>
      <c r="AE77" s="1482"/>
    </row>
    <row r="78" spans="1:31" s="1295" customFormat="1" ht="15">
      <c r="A78" s="1547"/>
      <c r="B78" s="1542"/>
      <c r="C78" s="1550"/>
      <c r="D78" s="1539"/>
      <c r="E78" s="1539"/>
      <c r="F78" s="1539"/>
      <c r="G78" s="1539"/>
      <c r="H78" s="1539"/>
      <c r="I78" s="1539"/>
      <c r="J78" s="1539"/>
      <c r="K78" s="1539"/>
      <c r="L78" s="1539"/>
      <c r="M78" s="1580"/>
      <c r="N78" s="1581"/>
      <c r="O78" s="1581"/>
      <c r="P78" s="1591"/>
      <c r="Q78" s="1619"/>
      <c r="R78" s="1482"/>
      <c r="S78" s="1482"/>
      <c r="T78" s="1482"/>
      <c r="U78" s="1482"/>
      <c r="V78" s="1482"/>
      <c r="W78" s="1482"/>
      <c r="X78" s="1482"/>
      <c r="Y78" s="1482"/>
      <c r="Z78" s="1482"/>
      <c r="AA78" s="1482"/>
      <c r="AB78" s="1482"/>
      <c r="AC78" s="1482"/>
      <c r="AD78" s="1482"/>
      <c r="AE78" s="1482"/>
    </row>
    <row r="79" spans="1:31" s="1295" customFormat="1" ht="15">
      <c r="A79" s="1547"/>
      <c r="B79" s="1540">
        <f>B13</f>
        <v>111</v>
      </c>
      <c r="C79" s="1548"/>
      <c r="D79" s="1548"/>
      <c r="E79" s="1548"/>
      <c r="F79" s="1548"/>
      <c r="G79" s="1548"/>
      <c r="H79" s="1549"/>
      <c r="I79" s="1549"/>
      <c r="J79" s="1549"/>
      <c r="K79" s="1549"/>
      <c r="L79" s="1589"/>
      <c r="M79" s="1590"/>
      <c r="N79" s="1591"/>
      <c r="O79" s="1591"/>
      <c r="P79" s="1482"/>
      <c r="Q79" s="1620"/>
      <c r="R79" s="1482"/>
      <c r="S79" s="1482"/>
      <c r="T79" s="1482"/>
      <c r="U79" s="1482"/>
      <c r="V79" s="1482"/>
      <c r="W79" s="1482"/>
      <c r="X79" s="1482"/>
      <c r="Y79" s="1482"/>
      <c r="Z79" s="1482"/>
      <c r="AA79" s="1482"/>
      <c r="AB79" s="1482"/>
      <c r="AC79" s="1482"/>
      <c r="AD79" s="1482"/>
      <c r="AE79" s="1482"/>
    </row>
    <row r="80" spans="1:31" s="1295" customFormat="1" ht="15">
      <c r="A80" s="1547"/>
      <c r="B80" s="1542"/>
      <c r="C80" s="1550"/>
      <c r="D80" s="1550"/>
      <c r="E80" s="1550"/>
      <c r="F80" s="1550"/>
      <c r="G80" s="1550"/>
      <c r="H80" s="1551"/>
      <c r="I80" s="1551"/>
      <c r="J80" s="1551"/>
      <c r="K80" s="1551"/>
      <c r="L80" s="1551"/>
      <c r="M80" s="1592"/>
      <c r="N80" s="1591"/>
      <c r="O80" s="1591"/>
      <c r="P80" s="1591"/>
      <c r="Q80" s="1619"/>
      <c r="R80" s="1482"/>
      <c r="S80" s="1482"/>
      <c r="T80" s="1482"/>
      <c r="U80" s="1482"/>
      <c r="V80" s="1482"/>
      <c r="W80" s="1482"/>
      <c r="X80" s="1482"/>
      <c r="Y80" s="1482"/>
      <c r="Z80" s="1482"/>
      <c r="AA80" s="1482"/>
      <c r="AB80" s="1482"/>
      <c r="AC80" s="1482"/>
      <c r="AD80" s="1482"/>
      <c r="AE80" s="1482"/>
    </row>
    <row r="81" spans="1:31" s="1295" customFormat="1" ht="15">
      <c r="A81" s="1547"/>
      <c r="B81" s="1544">
        <f>B14</f>
        <v>111</v>
      </c>
      <c r="C81" s="1534"/>
      <c r="D81" s="1534"/>
      <c r="E81" s="1534"/>
      <c r="F81" s="1534"/>
      <c r="G81" s="1534"/>
      <c r="H81" s="1552"/>
      <c r="I81" s="1552"/>
      <c r="J81" s="1552"/>
      <c r="K81" s="1552"/>
      <c r="L81" s="1593"/>
      <c r="M81" s="1594"/>
      <c r="N81" s="1591"/>
      <c r="O81" s="1591"/>
      <c r="P81" s="1595"/>
      <c r="Q81" s="1619"/>
      <c r="R81" s="1482"/>
      <c r="S81" s="1482"/>
      <c r="T81" s="1482"/>
      <c r="U81" s="1482"/>
      <c r="V81" s="1482"/>
      <c r="W81" s="1482"/>
      <c r="X81" s="1482"/>
      <c r="Y81" s="1482"/>
      <c r="Z81" s="1482"/>
      <c r="AA81" s="1482"/>
      <c r="AB81" s="1482"/>
      <c r="AC81" s="1482"/>
      <c r="AD81" s="1482"/>
      <c r="AE81" s="1482"/>
    </row>
    <row r="82" spans="1:31" s="1295" customFormat="1" ht="15">
      <c r="A82" s="1553"/>
      <c r="B82" s="1554"/>
      <c r="C82" s="1555"/>
      <c r="D82" s="1555"/>
      <c r="E82" s="1555"/>
      <c r="F82" s="1555"/>
      <c r="G82" s="1555"/>
      <c r="H82" s="1556"/>
      <c r="I82" s="1556"/>
      <c r="J82" s="1556"/>
      <c r="K82" s="1556"/>
      <c r="L82" s="1556"/>
      <c r="M82" s="1596"/>
      <c r="N82" s="1591"/>
      <c r="O82" s="1591"/>
      <c r="P82" s="1591"/>
      <c r="Q82" s="1619"/>
      <c r="R82" s="1482"/>
      <c r="S82" s="1482"/>
      <c r="T82" s="1482"/>
      <c r="U82" s="1482"/>
      <c r="V82" s="1482"/>
      <c r="W82" s="1482"/>
      <c r="X82" s="1482"/>
      <c r="Y82" s="1482"/>
      <c r="Z82" s="1482"/>
      <c r="AA82" s="1482"/>
      <c r="AB82" s="1482"/>
      <c r="AC82" s="1482"/>
      <c r="AD82" s="1482"/>
      <c r="AE82" s="1482"/>
    </row>
    <row r="83" spans="1:31">
      <c r="A83" s="1350" t="s">
        <v>1676</v>
      </c>
      <c r="B83" s="1537" t="s">
        <v>2239</v>
      </c>
      <c r="C83" s="1557" t="s">
        <v>1722</v>
      </c>
      <c r="D83" s="1557" t="s">
        <v>1723</v>
      </c>
      <c r="E83" s="1557" t="s">
        <v>1724</v>
      </c>
      <c r="F83" s="1557" t="s">
        <v>1725</v>
      </c>
      <c r="G83" s="1557" t="s">
        <v>1726</v>
      </c>
      <c r="H83" s="621"/>
      <c r="I83" s="621"/>
      <c r="J83" s="621"/>
      <c r="K83" s="1597"/>
      <c r="L83" s="1598"/>
      <c r="M83" s="1599"/>
      <c r="N83" s="1579"/>
      <c r="O83" s="1579"/>
      <c r="P83" s="1600"/>
      <c r="Q83" s="1516"/>
      <c r="R83" s="1409"/>
      <c r="S83" s="1409"/>
      <c r="T83" s="1409"/>
      <c r="U83" s="1409"/>
      <c r="V83" s="1409"/>
      <c r="W83" s="1409"/>
      <c r="X83" s="1409"/>
      <c r="Y83" s="1409"/>
      <c r="Z83" s="1409"/>
      <c r="AA83" s="1409"/>
      <c r="AB83" s="1409"/>
      <c r="AC83" s="1409"/>
      <c r="AD83" s="1409"/>
      <c r="AE83" s="1409"/>
    </row>
    <row r="84" spans="1:31" ht="15">
      <c r="A84" s="1337"/>
      <c r="B84" s="1542"/>
      <c r="C84" s="1543">
        <v>100</v>
      </c>
      <c r="D84" s="1543">
        <f>C84-$K15</f>
        <v>100</v>
      </c>
      <c r="E84" s="1543">
        <f>D84-$K15</f>
        <v>100</v>
      </c>
      <c r="F84" s="1543">
        <f>E84-$K15</f>
        <v>100</v>
      </c>
      <c r="G84" s="1543">
        <f>F84-$K15</f>
        <v>100</v>
      </c>
      <c r="H84" s="1543"/>
      <c r="I84" s="1543"/>
      <c r="J84" s="1543"/>
      <c r="K84" s="1543"/>
      <c r="L84" s="1543"/>
      <c r="M84" s="1585"/>
      <c r="N84" s="1581"/>
      <c r="O84" s="1581"/>
      <c r="P84" s="1574"/>
      <c r="Q84" s="1516"/>
      <c r="R84" s="1409"/>
      <c r="S84" s="1409"/>
      <c r="T84" s="1409"/>
      <c r="U84" s="1409"/>
      <c r="V84" s="1409"/>
      <c r="W84" s="1409"/>
      <c r="X84" s="1409"/>
      <c r="Y84" s="1409"/>
      <c r="Z84" s="1409"/>
      <c r="AA84" s="1409"/>
      <c r="AB84" s="1409"/>
      <c r="AC84" s="1409"/>
      <c r="AD84" s="1409"/>
      <c r="AE84" s="1409"/>
    </row>
    <row r="85" spans="1:31" ht="15">
      <c r="A85" s="1337"/>
      <c r="B85" s="1540" t="s">
        <v>1682</v>
      </c>
      <c r="C85" s="1558" t="s">
        <v>1722</v>
      </c>
      <c r="D85" s="1558" t="s">
        <v>1723</v>
      </c>
      <c r="E85" s="1558" t="s">
        <v>1724</v>
      </c>
      <c r="F85" s="1558" t="s">
        <v>1725</v>
      </c>
      <c r="G85" s="1558" t="s">
        <v>1726</v>
      </c>
      <c r="H85" s="1541"/>
      <c r="I85" s="1541"/>
      <c r="J85" s="1541"/>
      <c r="K85" s="1582"/>
      <c r="L85" s="1583"/>
      <c r="M85" s="1584"/>
      <c r="N85" s="1579"/>
      <c r="O85" s="1579"/>
      <c r="P85" s="1574"/>
      <c r="Q85" s="1516"/>
      <c r="R85" s="1409"/>
      <c r="S85" s="1409"/>
      <c r="T85" s="1409"/>
      <c r="U85" s="1409"/>
      <c r="V85" s="1409"/>
      <c r="W85" s="1409"/>
      <c r="X85" s="1409"/>
      <c r="Y85" s="1409"/>
      <c r="Z85" s="1409"/>
      <c r="AA85" s="1409"/>
      <c r="AB85" s="1409"/>
      <c r="AC85" s="1409"/>
      <c r="AD85" s="1409"/>
      <c r="AE85" s="1409"/>
    </row>
    <row r="86" spans="1:31" ht="15">
      <c r="A86" s="1337"/>
      <c r="B86" s="1542"/>
      <c r="C86" s="1543">
        <v>100</v>
      </c>
      <c r="D86" s="1543">
        <f>C86-$K17</f>
        <v>100</v>
      </c>
      <c r="E86" s="1543">
        <f>D86-$K17</f>
        <v>100</v>
      </c>
      <c r="F86" s="1543">
        <f>E86-$K17</f>
        <v>100</v>
      </c>
      <c r="G86" s="1543">
        <f>F86-$K17</f>
        <v>100</v>
      </c>
      <c r="H86" s="1543"/>
      <c r="I86" s="1543"/>
      <c r="J86" s="1543"/>
      <c r="K86" s="1543"/>
      <c r="L86" s="1543"/>
      <c r="M86" s="1585"/>
      <c r="N86" s="1581"/>
      <c r="O86" s="1581"/>
      <c r="P86" s="1574"/>
      <c r="Q86" s="1516"/>
      <c r="R86" s="1409"/>
      <c r="S86" s="1409"/>
      <c r="T86" s="1409"/>
      <c r="U86" s="1409"/>
      <c r="V86" s="1409"/>
      <c r="W86" s="1409"/>
      <c r="X86" s="1409"/>
      <c r="Y86" s="1409"/>
      <c r="Z86" s="1409"/>
      <c r="AA86" s="1409"/>
      <c r="AB86" s="1409"/>
      <c r="AC86" s="1409"/>
      <c r="AD86" s="1409"/>
      <c r="AE86" s="1409"/>
    </row>
    <row r="87" spans="1:31" s="1293" customFormat="1" ht="15">
      <c r="A87" s="1340"/>
      <c r="B87" s="1540" t="s">
        <v>2261</v>
      </c>
      <c r="C87" s="1557" t="s">
        <v>1722</v>
      </c>
      <c r="D87" s="1557" t="s">
        <v>1723</v>
      </c>
      <c r="E87" s="1557" t="s">
        <v>1724</v>
      </c>
      <c r="F87" s="1557" t="s">
        <v>1725</v>
      </c>
      <c r="G87" s="1557" t="s">
        <v>1726</v>
      </c>
      <c r="H87" s="1558"/>
      <c r="I87" s="1558"/>
      <c r="J87" s="1558"/>
      <c r="K87" s="1558"/>
      <c r="L87" s="1601"/>
      <c r="M87" s="1602"/>
      <c r="N87" s="1574"/>
      <c r="O87" s="1574"/>
      <c r="P87" s="1574"/>
      <c r="Q87" s="1516"/>
      <c r="R87" s="1464"/>
      <c r="S87" s="1464"/>
      <c r="T87" s="1464"/>
      <c r="U87" s="1464"/>
      <c r="V87" s="1464"/>
      <c r="W87" s="1464"/>
      <c r="X87" s="1464"/>
      <c r="Y87" s="1464"/>
      <c r="Z87" s="1464"/>
      <c r="AA87" s="1464"/>
      <c r="AB87" s="1464"/>
      <c r="AC87" s="1464"/>
      <c r="AD87" s="1464"/>
      <c r="AE87" s="1464"/>
    </row>
    <row r="88" spans="1:31" s="1293" customFormat="1" ht="15">
      <c r="A88" s="1340"/>
      <c r="B88" s="1542"/>
      <c r="C88" s="1559">
        <v>100</v>
      </c>
      <c r="D88" s="1543">
        <f>C88-$K19</f>
        <v>100</v>
      </c>
      <c r="E88" s="1543">
        <f>D88-$K19</f>
        <v>100</v>
      </c>
      <c r="F88" s="1543">
        <f>E88-$K19</f>
        <v>100</v>
      </c>
      <c r="G88" s="1543">
        <f>F88-$K19</f>
        <v>100</v>
      </c>
      <c r="H88" s="1543"/>
      <c r="I88" s="1543"/>
      <c r="J88" s="1543"/>
      <c r="K88" s="1543"/>
      <c r="L88" s="1543"/>
      <c r="M88" s="1585"/>
      <c r="N88" s="1581"/>
      <c r="O88" s="1581"/>
      <c r="P88" s="1574"/>
      <c r="Q88" s="1516"/>
      <c r="R88" s="1464"/>
      <c r="S88" s="1464"/>
      <c r="T88" s="1464"/>
      <c r="U88" s="1464"/>
      <c r="V88" s="1464"/>
      <c r="W88" s="1464"/>
      <c r="X88" s="1464"/>
      <c r="Y88" s="1464"/>
      <c r="Z88" s="1464"/>
      <c r="AA88" s="1464"/>
      <c r="AB88" s="1464"/>
      <c r="AC88" s="1464"/>
      <c r="AD88" s="1464"/>
      <c r="AE88" s="1464"/>
    </row>
    <row r="89" spans="1:31" s="1293" customFormat="1" ht="27">
      <c r="A89" s="1340"/>
      <c r="B89" s="1540" t="s">
        <v>2262</v>
      </c>
      <c r="C89" s="1557" t="s">
        <v>1722</v>
      </c>
      <c r="D89" s="1557" t="s">
        <v>1723</v>
      </c>
      <c r="E89" s="1557" t="s">
        <v>1724</v>
      </c>
      <c r="F89" s="1557" t="s">
        <v>1725</v>
      </c>
      <c r="G89" s="1557" t="s">
        <v>1726</v>
      </c>
      <c r="H89" s="1558"/>
      <c r="I89" s="1558"/>
      <c r="J89" s="1558"/>
      <c r="K89" s="1558"/>
      <c r="L89" s="1558"/>
      <c r="M89" s="1602"/>
      <c r="N89" s="1574"/>
      <c r="O89" s="1574"/>
      <c r="P89" s="1574"/>
      <c r="Q89" s="1516"/>
      <c r="R89" s="1464"/>
      <c r="S89" s="1464"/>
      <c r="T89" s="1464"/>
      <c r="U89" s="1464"/>
      <c r="V89" s="1464"/>
      <c r="W89" s="1464"/>
      <c r="X89" s="1464"/>
      <c r="Y89" s="1464"/>
      <c r="Z89" s="1464"/>
      <c r="AA89" s="1464"/>
      <c r="AB89" s="1464"/>
      <c r="AC89" s="1464"/>
      <c r="AD89" s="1464"/>
      <c r="AE89" s="1464"/>
    </row>
    <row r="90" spans="1:31" s="1293" customFormat="1" ht="15">
      <c r="A90" s="1340"/>
      <c r="B90" s="1542"/>
      <c r="C90" s="1543">
        <v>100</v>
      </c>
      <c r="D90" s="1543">
        <f>C90-$K21</f>
        <v>100</v>
      </c>
      <c r="E90" s="1543">
        <f>D90-$K21</f>
        <v>100</v>
      </c>
      <c r="F90" s="1543">
        <f>E90-$K21</f>
        <v>100</v>
      </c>
      <c r="G90" s="1543">
        <f>F90-$K21</f>
        <v>100</v>
      </c>
      <c r="H90" s="1543"/>
      <c r="I90" s="1543"/>
      <c r="J90" s="1543"/>
      <c r="K90" s="1543"/>
      <c r="L90" s="1543"/>
      <c r="M90" s="1585"/>
      <c r="N90" s="1581"/>
      <c r="O90" s="1581"/>
      <c r="P90" s="1574"/>
      <c r="Q90" s="1516"/>
      <c r="R90" s="1464"/>
      <c r="S90" s="1464"/>
      <c r="T90" s="1464"/>
      <c r="U90" s="1464"/>
      <c r="V90" s="1464"/>
      <c r="W90" s="1464"/>
      <c r="X90" s="1464"/>
      <c r="Y90" s="1464"/>
      <c r="Z90" s="1464"/>
      <c r="AA90" s="1464"/>
      <c r="AB90" s="1464"/>
      <c r="AC90" s="1464"/>
      <c r="AD90" s="1464"/>
      <c r="AE90" s="1464"/>
    </row>
    <row r="91" spans="1:31" s="1295" customFormat="1" ht="15">
      <c r="A91" s="1547"/>
      <c r="B91" s="1540" t="s">
        <v>1683</v>
      </c>
      <c r="C91" s="1557" t="s">
        <v>1722</v>
      </c>
      <c r="D91" s="1557" t="s">
        <v>1723</v>
      </c>
      <c r="E91" s="1557" t="s">
        <v>1724</v>
      </c>
      <c r="F91" s="1557" t="s">
        <v>1725</v>
      </c>
      <c r="G91" s="1557" t="s">
        <v>1726</v>
      </c>
      <c r="H91" s="1560"/>
      <c r="I91" s="1560"/>
      <c r="J91" s="1560"/>
      <c r="K91" s="1560"/>
      <c r="L91" s="1603"/>
      <c r="M91" s="1604"/>
      <c r="N91" s="1591"/>
      <c r="O91" s="1591"/>
      <c r="P91" s="1591"/>
      <c r="Q91" s="1619"/>
      <c r="R91" s="1482"/>
      <c r="S91" s="1482"/>
      <c r="T91" s="1482"/>
      <c r="U91" s="1482"/>
      <c r="V91" s="1482"/>
      <c r="W91" s="1482"/>
      <c r="X91" s="1482"/>
      <c r="Y91" s="1482"/>
      <c r="Z91" s="1482"/>
      <c r="AA91" s="1482"/>
      <c r="AB91" s="1482"/>
      <c r="AC91" s="1482"/>
      <c r="AD91" s="1482"/>
      <c r="AE91" s="1482"/>
    </row>
    <row r="92" spans="1:31" s="1295" customFormat="1" ht="15">
      <c r="A92" s="1547"/>
      <c r="B92" s="1542"/>
      <c r="C92" s="1543">
        <v>100</v>
      </c>
      <c r="D92" s="1543">
        <f>C92-$K23</f>
        <v>100</v>
      </c>
      <c r="E92" s="1543">
        <f>D92-$K23</f>
        <v>100</v>
      </c>
      <c r="F92" s="1543">
        <f>E92-$K23</f>
        <v>100</v>
      </c>
      <c r="G92" s="1543">
        <f>F92-$K23</f>
        <v>100</v>
      </c>
      <c r="H92" s="1561"/>
      <c r="I92" s="1561"/>
      <c r="J92" s="1561"/>
      <c r="K92" s="1561"/>
      <c r="L92" s="1561"/>
      <c r="M92" s="1605"/>
      <c r="N92" s="1591"/>
      <c r="O92" s="1591"/>
      <c r="P92" s="1591"/>
      <c r="Q92" s="1619"/>
      <c r="R92" s="1482"/>
      <c r="S92" s="1482"/>
      <c r="T92" s="1482"/>
      <c r="U92" s="1482"/>
      <c r="V92" s="1482"/>
      <c r="W92" s="1482"/>
      <c r="X92" s="1482"/>
      <c r="Y92" s="1482"/>
      <c r="Z92" s="1482"/>
      <c r="AA92" s="1482"/>
      <c r="AB92" s="1482"/>
      <c r="AC92" s="1482"/>
      <c r="AD92" s="1482"/>
      <c r="AE92" s="1482"/>
    </row>
    <row r="93" spans="1:31" s="1295" customFormat="1" ht="15">
      <c r="A93" s="1547"/>
      <c r="B93" s="1544" t="s">
        <v>1684</v>
      </c>
      <c r="C93" s="1476" t="s">
        <v>1727</v>
      </c>
      <c r="D93" s="1476" t="s">
        <v>1728</v>
      </c>
      <c r="E93" s="1476" t="s">
        <v>1729</v>
      </c>
      <c r="F93" s="1476" t="s">
        <v>1730</v>
      </c>
      <c r="G93" s="1476" t="s">
        <v>1731</v>
      </c>
      <c r="H93" s="1560"/>
      <c r="I93" s="1560"/>
      <c r="J93" s="1560"/>
      <c r="K93" s="1560"/>
      <c r="L93" s="1560"/>
      <c r="M93" s="1604"/>
      <c r="N93" s="1591"/>
      <c r="O93" s="1591"/>
      <c r="P93" s="1591"/>
      <c r="Q93" s="1619"/>
      <c r="R93" s="1482"/>
      <c r="S93" s="1482"/>
      <c r="T93" s="1482"/>
      <c r="U93" s="1482"/>
      <c r="V93" s="1482"/>
      <c r="W93" s="1482"/>
      <c r="X93" s="1482"/>
      <c r="Y93" s="1482"/>
      <c r="Z93" s="1482"/>
      <c r="AA93" s="1482"/>
      <c r="AB93" s="1482"/>
      <c r="AC93" s="1482"/>
      <c r="AD93" s="1482"/>
      <c r="AE93" s="1482"/>
    </row>
    <row r="94" spans="1:31" s="1295" customFormat="1" ht="15">
      <c r="A94" s="1547"/>
      <c r="B94" s="1544"/>
      <c r="C94" s="1543">
        <v>100</v>
      </c>
      <c r="D94" s="1543">
        <f>C94-$K25</f>
        <v>100</v>
      </c>
      <c r="E94" s="1543">
        <f>D94-$K25</f>
        <v>100</v>
      </c>
      <c r="F94" s="1543">
        <f>E94-$K25</f>
        <v>100</v>
      </c>
      <c r="G94" s="1543">
        <f>F94-$K25</f>
        <v>100</v>
      </c>
      <c r="H94" s="1546"/>
      <c r="I94" s="1546"/>
      <c r="J94" s="1546"/>
      <c r="K94" s="1546"/>
      <c r="L94" s="1546"/>
      <c r="M94" s="1606"/>
      <c r="N94" s="1591"/>
      <c r="O94" s="1591"/>
      <c r="P94" s="1591"/>
      <c r="Q94" s="1619"/>
      <c r="R94" s="1482"/>
      <c r="S94" s="1482"/>
      <c r="T94" s="1482"/>
      <c r="U94" s="1482"/>
      <c r="V94" s="1482"/>
      <c r="W94" s="1482"/>
      <c r="X94" s="1482"/>
      <c r="Y94" s="1482"/>
      <c r="Z94" s="1482"/>
      <c r="AA94" s="1482"/>
      <c r="AB94" s="1482"/>
      <c r="AC94" s="1482"/>
      <c r="AD94" s="1482"/>
      <c r="AE94" s="1482"/>
    </row>
    <row r="95" spans="1:31" ht="15">
      <c r="A95" s="1337"/>
      <c r="B95" s="1540" t="str">
        <f>B27</f>
        <v>临街状况</v>
      </c>
      <c r="C95" s="1541" t="s">
        <v>2297</v>
      </c>
      <c r="D95" s="1541" t="s">
        <v>2298</v>
      </c>
      <c r="E95" s="1541" t="s">
        <v>2299</v>
      </c>
      <c r="F95" s="1541" t="s">
        <v>2300</v>
      </c>
      <c r="G95" s="1541"/>
      <c r="H95" s="1541"/>
      <c r="I95" s="1541"/>
      <c r="J95" s="1541"/>
      <c r="K95" s="1582"/>
      <c r="L95" s="1583"/>
      <c r="M95" s="1584"/>
      <c r="N95" s="1579"/>
      <c r="O95" s="1579"/>
      <c r="P95" s="1574"/>
      <c r="Q95" s="1516"/>
      <c r="R95" s="1409"/>
      <c r="S95" s="1409"/>
      <c r="T95" s="1409"/>
      <c r="U95" s="1409"/>
      <c r="V95" s="1409"/>
      <c r="W95" s="1409"/>
      <c r="X95" s="1409"/>
      <c r="Y95" s="1409"/>
      <c r="Z95" s="1409"/>
      <c r="AA95" s="1409"/>
      <c r="AB95" s="1409"/>
      <c r="AC95" s="1409"/>
      <c r="AD95" s="1409"/>
      <c r="AE95" s="1409"/>
    </row>
    <row r="96" spans="1:31" ht="15">
      <c r="A96" s="1337"/>
      <c r="B96" s="1542"/>
      <c r="C96" s="1543">
        <v>100</v>
      </c>
      <c r="D96" s="1543">
        <f t="shared" ref="D96:M96" si="22">C96-$K27</f>
        <v>100</v>
      </c>
      <c r="E96" s="1543">
        <f t="shared" si="22"/>
        <v>100</v>
      </c>
      <c r="F96" s="1543">
        <f t="shared" si="22"/>
        <v>100</v>
      </c>
      <c r="G96" s="1543">
        <f t="shared" si="22"/>
        <v>100</v>
      </c>
      <c r="H96" s="1543">
        <f t="shared" si="22"/>
        <v>100</v>
      </c>
      <c r="I96" s="1543">
        <f t="shared" si="22"/>
        <v>100</v>
      </c>
      <c r="J96" s="1543">
        <f t="shared" si="22"/>
        <v>100</v>
      </c>
      <c r="K96" s="1543">
        <f t="shared" si="22"/>
        <v>100</v>
      </c>
      <c r="L96" s="1543">
        <f t="shared" si="22"/>
        <v>100</v>
      </c>
      <c r="M96" s="1543">
        <f t="shared" si="22"/>
        <v>100</v>
      </c>
      <c r="N96" s="1581"/>
      <c r="O96" s="1581"/>
      <c r="P96" s="1574"/>
      <c r="Q96" s="1516"/>
      <c r="R96" s="1409"/>
      <c r="S96" s="1409"/>
      <c r="T96" s="1409"/>
      <c r="U96" s="1409"/>
      <c r="V96" s="1409"/>
      <c r="W96" s="1409"/>
      <c r="X96" s="1409"/>
      <c r="Y96" s="1409"/>
      <c r="Z96" s="1409"/>
      <c r="AA96" s="1409"/>
      <c r="AB96" s="1409"/>
      <c r="AC96" s="1409"/>
      <c r="AD96" s="1409"/>
      <c r="AE96" s="1409"/>
    </row>
    <row r="97" spans="1:31" ht="27">
      <c r="A97" s="1337"/>
      <c r="B97" s="1540" t="s">
        <v>1686</v>
      </c>
      <c r="C97" s="1548"/>
      <c r="D97" s="1548"/>
      <c r="E97" s="1548"/>
      <c r="F97" s="1548"/>
      <c r="G97" s="1548"/>
      <c r="H97" s="1562"/>
      <c r="I97" s="1562"/>
      <c r="J97" s="1562"/>
      <c r="K97" s="1607"/>
      <c r="L97" s="1608"/>
      <c r="M97" s="1609"/>
      <c r="N97" s="1579"/>
      <c r="O97" s="1579"/>
      <c r="P97" s="1574"/>
      <c r="Q97" s="1516"/>
      <c r="R97" s="1409"/>
      <c r="S97" s="1409"/>
      <c r="T97" s="1409"/>
      <c r="U97" s="1409"/>
      <c r="V97" s="1409"/>
      <c r="W97" s="1409"/>
      <c r="X97" s="1409"/>
      <c r="Y97" s="1409"/>
      <c r="Z97" s="1409"/>
      <c r="AA97" s="1409"/>
      <c r="AB97" s="1409"/>
      <c r="AC97" s="1409"/>
      <c r="AD97" s="1409"/>
      <c r="AE97" s="1409"/>
    </row>
    <row r="98" spans="1:31" ht="15">
      <c r="A98" s="1337"/>
      <c r="B98" s="1542"/>
      <c r="C98" s="1543">
        <v>100</v>
      </c>
      <c r="D98" s="1543">
        <f t="shared" ref="D98:M98" si="23">C98-$K28</f>
        <v>100</v>
      </c>
      <c r="E98" s="1543">
        <f t="shared" si="23"/>
        <v>100</v>
      </c>
      <c r="F98" s="1543">
        <f t="shared" si="23"/>
        <v>100</v>
      </c>
      <c r="G98" s="1543">
        <f t="shared" si="23"/>
        <v>100</v>
      </c>
      <c r="H98" s="1543">
        <f t="shared" si="23"/>
        <v>100</v>
      </c>
      <c r="I98" s="1543">
        <f t="shared" si="23"/>
        <v>100</v>
      </c>
      <c r="J98" s="1543">
        <f t="shared" si="23"/>
        <v>100</v>
      </c>
      <c r="K98" s="1543">
        <f t="shared" si="23"/>
        <v>100</v>
      </c>
      <c r="L98" s="1543">
        <f t="shared" si="23"/>
        <v>100</v>
      </c>
      <c r="M98" s="1543">
        <f t="shared" si="23"/>
        <v>100</v>
      </c>
      <c r="N98" s="1581"/>
      <c r="O98" s="1581"/>
      <c r="P98" s="1574"/>
      <c r="Q98" s="1516"/>
      <c r="R98" s="1409"/>
      <c r="S98" s="1409"/>
      <c r="T98" s="1409"/>
      <c r="U98" s="1409"/>
      <c r="V98" s="1409"/>
      <c r="W98" s="1409"/>
      <c r="X98" s="1409"/>
      <c r="Y98" s="1409"/>
      <c r="Z98" s="1409"/>
      <c r="AA98" s="1409"/>
      <c r="AB98" s="1409"/>
      <c r="AC98" s="1409"/>
      <c r="AD98" s="1409"/>
      <c r="AE98" s="1409"/>
    </row>
    <row r="99" spans="1:31" ht="15">
      <c r="A99" s="1337"/>
      <c r="B99" s="1540" t="s">
        <v>2263</v>
      </c>
      <c r="C99" s="1562"/>
      <c r="D99" s="1562"/>
      <c r="E99" s="1562"/>
      <c r="F99" s="1562"/>
      <c r="G99" s="1562"/>
      <c r="H99" s="1562"/>
      <c r="I99" s="1562"/>
      <c r="J99" s="1562"/>
      <c r="K99" s="1607"/>
      <c r="L99" s="1608"/>
      <c r="M99" s="1609"/>
      <c r="N99" s="1579"/>
      <c r="O99" s="1579"/>
      <c r="P99" s="1574"/>
      <c r="Q99" s="1516"/>
      <c r="R99" s="1409"/>
      <c r="S99" s="1409"/>
      <c r="T99" s="1409"/>
      <c r="U99" s="1409"/>
      <c r="V99" s="1409"/>
      <c r="W99" s="1409"/>
      <c r="X99" s="1409"/>
      <c r="Y99" s="1409"/>
      <c r="Z99" s="1409"/>
      <c r="AA99" s="1409"/>
      <c r="AB99" s="1409"/>
      <c r="AC99" s="1409"/>
      <c r="AD99" s="1409"/>
      <c r="AE99" s="1409"/>
    </row>
    <row r="100" spans="1:31" ht="15">
      <c r="A100" s="1337"/>
      <c r="B100" s="1542"/>
      <c r="C100" s="1543">
        <v>100</v>
      </c>
      <c r="D100" s="1543">
        <f t="shared" ref="D100:M100" si="24">C100-$K30</f>
        <v>100</v>
      </c>
      <c r="E100" s="1543">
        <f t="shared" si="24"/>
        <v>100</v>
      </c>
      <c r="F100" s="1543">
        <f t="shared" si="24"/>
        <v>100</v>
      </c>
      <c r="G100" s="1543">
        <f t="shared" si="24"/>
        <v>100</v>
      </c>
      <c r="H100" s="1543">
        <f t="shared" si="24"/>
        <v>100</v>
      </c>
      <c r="I100" s="1543">
        <f t="shared" si="24"/>
        <v>100</v>
      </c>
      <c r="J100" s="1543">
        <f t="shared" si="24"/>
        <v>100</v>
      </c>
      <c r="K100" s="1543">
        <f t="shared" si="24"/>
        <v>100</v>
      </c>
      <c r="L100" s="1543">
        <f t="shared" si="24"/>
        <v>100</v>
      </c>
      <c r="M100" s="1543">
        <f t="shared" si="24"/>
        <v>100</v>
      </c>
      <c r="N100" s="1581"/>
      <c r="O100" s="1581"/>
      <c r="P100" s="1574"/>
      <c r="Q100" s="1516"/>
      <c r="R100" s="1409"/>
      <c r="S100" s="1409"/>
      <c r="T100" s="1409"/>
      <c r="U100" s="1409"/>
      <c r="V100" s="1409"/>
      <c r="W100" s="1409"/>
      <c r="X100" s="1409"/>
      <c r="Y100" s="1409"/>
      <c r="Z100" s="1409"/>
      <c r="AA100" s="1409"/>
      <c r="AB100" s="1409"/>
      <c r="AC100" s="1409"/>
      <c r="AD100" s="1409"/>
      <c r="AE100" s="1409"/>
    </row>
    <row r="101" spans="1:31" ht="15">
      <c r="A101" s="1337"/>
      <c r="B101" s="1544">
        <f>B31</f>
        <v>111</v>
      </c>
      <c r="C101" s="1548"/>
      <c r="D101" s="1548"/>
      <c r="E101" s="1548"/>
      <c r="F101" s="1548"/>
      <c r="G101" s="1563"/>
      <c r="H101" s="1563"/>
      <c r="I101" s="1563"/>
      <c r="J101" s="1563"/>
      <c r="K101" s="1610"/>
      <c r="L101" s="1611"/>
      <c r="M101" s="1612"/>
      <c r="N101" s="1579"/>
      <c r="O101" s="1579"/>
      <c r="P101" s="1574"/>
      <c r="Q101" s="1516"/>
      <c r="R101" s="1409"/>
      <c r="S101" s="1409"/>
      <c r="T101" s="1409"/>
      <c r="U101" s="1409"/>
      <c r="V101" s="1409"/>
      <c r="W101" s="1409"/>
      <c r="X101" s="1409"/>
      <c r="Y101" s="1409"/>
      <c r="Z101" s="1409"/>
      <c r="AA101" s="1409"/>
      <c r="AB101" s="1409"/>
      <c r="AC101" s="1409"/>
      <c r="AD101" s="1409"/>
      <c r="AE101" s="1409"/>
    </row>
    <row r="102" spans="1:31" ht="15">
      <c r="A102" s="1337"/>
      <c r="B102" s="1554"/>
      <c r="C102" s="1550"/>
      <c r="D102" s="1539"/>
      <c r="E102" s="1539"/>
      <c r="F102" s="1539"/>
      <c r="G102" s="1564"/>
      <c r="H102" s="1564"/>
      <c r="I102" s="1564"/>
      <c r="J102" s="1564"/>
      <c r="K102" s="1564"/>
      <c r="L102" s="1564"/>
      <c r="M102" s="1613"/>
      <c r="N102" s="1581"/>
      <c r="O102" s="1581"/>
      <c r="P102" s="1574"/>
      <c r="Q102" s="1516"/>
      <c r="R102" s="1409"/>
      <c r="S102" s="1409"/>
      <c r="T102" s="1409"/>
      <c r="U102" s="1409"/>
      <c r="V102" s="1409"/>
      <c r="W102" s="1409"/>
      <c r="X102" s="1409"/>
      <c r="Y102" s="1409"/>
      <c r="Z102" s="1409"/>
      <c r="AA102" s="1409"/>
      <c r="AB102" s="1409"/>
      <c r="AC102" s="1409"/>
      <c r="AD102" s="1409"/>
      <c r="AE102" s="1409"/>
    </row>
    <row r="103" spans="1:31">
      <c r="A103" s="1376"/>
      <c r="B103" s="1540">
        <f>B32</f>
        <v>111</v>
      </c>
      <c r="C103" s="1548"/>
      <c r="D103" s="1548"/>
      <c r="E103" s="1548"/>
      <c r="F103" s="1548"/>
      <c r="G103" s="1562"/>
      <c r="H103" s="1562"/>
      <c r="I103" s="1562"/>
      <c r="J103" s="1562"/>
      <c r="K103" s="1607"/>
      <c r="L103" s="1608"/>
      <c r="M103" s="1609"/>
      <c r="N103" s="1579"/>
      <c r="O103" s="1579"/>
      <c r="P103" s="1574"/>
      <c r="Q103" s="1516"/>
      <c r="R103" s="1409"/>
      <c r="S103" s="1409"/>
      <c r="T103" s="1409"/>
      <c r="U103" s="1409"/>
      <c r="V103" s="1409"/>
      <c r="W103" s="1409"/>
      <c r="X103" s="1409"/>
      <c r="Y103" s="1409"/>
      <c r="Z103" s="1409"/>
      <c r="AA103" s="1409"/>
      <c r="AB103" s="1409"/>
      <c r="AC103" s="1409"/>
      <c r="AD103" s="1409"/>
      <c r="AE103" s="1409"/>
    </row>
    <row r="104" spans="1:31" ht="15">
      <c r="A104" s="1337"/>
      <c r="B104" s="1542"/>
      <c r="C104" s="1550"/>
      <c r="D104" s="1550"/>
      <c r="E104" s="1550"/>
      <c r="F104" s="1550"/>
      <c r="G104" s="1539"/>
      <c r="H104" s="1539"/>
      <c r="I104" s="1539"/>
      <c r="J104" s="1539"/>
      <c r="K104" s="1539"/>
      <c r="L104" s="1539"/>
      <c r="M104" s="1580"/>
      <c r="N104" s="1581"/>
      <c r="O104" s="1581"/>
      <c r="P104" s="1574"/>
      <c r="Q104" s="1516"/>
      <c r="R104" s="1409"/>
      <c r="S104" s="1409"/>
      <c r="T104" s="1409"/>
      <c r="U104" s="1409"/>
      <c r="V104" s="1409"/>
      <c r="W104" s="1409"/>
      <c r="X104" s="1409"/>
      <c r="Y104" s="1409"/>
      <c r="Z104" s="1409"/>
      <c r="AA104" s="1409"/>
      <c r="AB104" s="1409"/>
      <c r="AC104" s="1409"/>
      <c r="AD104" s="1409"/>
      <c r="AE104" s="1409"/>
    </row>
    <row r="105" spans="1:31" s="1295" customFormat="1">
      <c r="A105" s="1390"/>
      <c r="B105" s="1565">
        <f>B33</f>
        <v>111</v>
      </c>
      <c r="C105" s="1534"/>
      <c r="D105" s="1534"/>
      <c r="E105" s="1534"/>
      <c r="F105" s="1534"/>
      <c r="G105" s="1526"/>
      <c r="H105" s="1526"/>
      <c r="I105" s="1526"/>
      <c r="J105" s="1614"/>
      <c r="K105" s="1614"/>
      <c r="L105" s="1615"/>
      <c r="M105" s="1616"/>
      <c r="N105" s="1591"/>
      <c r="O105" s="1591"/>
      <c r="P105" s="1591"/>
      <c r="Q105" s="1619"/>
      <c r="R105" s="1482"/>
      <c r="S105" s="1482"/>
      <c r="T105" s="1482"/>
      <c r="U105" s="1482"/>
      <c r="V105" s="1482"/>
      <c r="W105" s="1482"/>
      <c r="X105" s="1482"/>
      <c r="Y105" s="1482"/>
      <c r="Z105" s="1482"/>
      <c r="AA105" s="1482"/>
      <c r="AB105" s="1482"/>
      <c r="AC105" s="1482"/>
      <c r="AD105" s="1482"/>
      <c r="AE105" s="1482"/>
    </row>
    <row r="106" spans="1:31" s="1295" customFormat="1" ht="15">
      <c r="A106" s="1547"/>
      <c r="B106" s="1544"/>
      <c r="C106" s="1555"/>
      <c r="D106" s="1555"/>
      <c r="E106" s="1555"/>
      <c r="F106" s="1555"/>
      <c r="G106" s="1566"/>
      <c r="H106" s="1566"/>
      <c r="I106" s="1566"/>
      <c r="J106" s="1566"/>
      <c r="K106" s="1566"/>
      <c r="L106" s="1566"/>
      <c r="M106" s="1320"/>
      <c r="N106" s="1581"/>
      <c r="O106" s="1581"/>
      <c r="P106" s="1591"/>
      <c r="Q106" s="1619"/>
      <c r="R106" s="1482"/>
      <c r="S106" s="1482"/>
      <c r="T106" s="1482"/>
      <c r="U106" s="1482"/>
      <c r="V106" s="1482"/>
      <c r="W106" s="1482"/>
      <c r="X106" s="1482"/>
      <c r="Y106" s="1482"/>
      <c r="Z106" s="1482"/>
      <c r="AA106" s="1482"/>
      <c r="AB106" s="1482"/>
      <c r="AC106" s="1482"/>
      <c r="AD106" s="1482"/>
      <c r="AE106" s="1482"/>
    </row>
    <row r="107" spans="1:31">
      <c r="A107" s="1350" t="s">
        <v>1691</v>
      </c>
      <c r="B107" s="1537" t="s">
        <v>2264</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617" t="str">
        <f t="shared" si="25"/>
        <v>(含)-</v>
      </c>
      <c r="L107" s="1617" t="str">
        <f t="shared" si="25"/>
        <v>(含)-</v>
      </c>
      <c r="M107" s="1618" t="str">
        <f>M108&amp;"(含)"&amp;"-"&amp;P108</f>
        <v>(含)-</v>
      </c>
      <c r="N107" s="1579"/>
      <c r="O107" s="1579"/>
      <c r="P107" s="1574"/>
      <c r="Q107" s="1516"/>
      <c r="R107" s="1409"/>
      <c r="S107" s="1409"/>
      <c r="T107" s="1409"/>
      <c r="U107" s="1409"/>
      <c r="V107" s="1409"/>
      <c r="W107" s="1409"/>
      <c r="X107" s="1409"/>
      <c r="Y107" s="1409"/>
      <c r="Z107" s="1409"/>
      <c r="AA107" s="1409"/>
      <c r="AB107" s="1409"/>
      <c r="AC107" s="1409"/>
      <c r="AD107" s="1409"/>
      <c r="AE107" s="1409"/>
    </row>
    <row r="108" spans="1:31" ht="15">
      <c r="A108" s="1337"/>
      <c r="B108" s="1544"/>
      <c r="C108" s="1526"/>
      <c r="D108" s="1526"/>
      <c r="E108" s="1526"/>
      <c r="F108" s="1526"/>
      <c r="G108" s="1526"/>
      <c r="H108" s="1526"/>
      <c r="I108" s="1526"/>
      <c r="J108" s="1614"/>
      <c r="K108" s="1614"/>
      <c r="L108" s="1615"/>
      <c r="M108" s="1616"/>
      <c r="N108" s="1579"/>
      <c r="O108" s="1579"/>
      <c r="P108" s="1574"/>
      <c r="Q108" s="1516"/>
      <c r="R108" s="1409"/>
      <c r="S108" s="1409"/>
      <c r="T108" s="1409"/>
      <c r="U108" s="1409"/>
      <c r="V108" s="1409"/>
      <c r="W108" s="1409"/>
      <c r="X108" s="1409"/>
      <c r="Y108" s="1409"/>
      <c r="Z108" s="1409"/>
      <c r="AA108" s="1409"/>
      <c r="AB108" s="1409"/>
      <c r="AC108" s="1409"/>
      <c r="AD108" s="1409"/>
      <c r="AE108" s="1409"/>
    </row>
    <row r="109" spans="1:31" ht="15">
      <c r="A109" s="1337"/>
      <c r="B109" s="1542"/>
      <c r="C109" s="1555"/>
      <c r="D109" s="1564"/>
      <c r="E109" s="1564"/>
      <c r="F109" s="1564"/>
      <c r="G109" s="1564"/>
      <c r="H109" s="1564"/>
      <c r="I109" s="1564"/>
      <c r="J109" s="1564"/>
      <c r="K109" s="1564"/>
      <c r="L109" s="1564"/>
      <c r="M109" s="1613"/>
      <c r="N109" s="1581"/>
      <c r="O109" s="1581"/>
      <c r="P109" s="1574"/>
      <c r="Q109" s="1516"/>
      <c r="R109" s="1409"/>
      <c r="S109" s="1409"/>
      <c r="T109" s="1409"/>
      <c r="U109" s="1409"/>
      <c r="V109" s="1409"/>
      <c r="W109" s="1409"/>
      <c r="X109" s="1409"/>
      <c r="Y109" s="1409"/>
      <c r="Z109" s="1409"/>
      <c r="AA109" s="1409"/>
      <c r="AB109" s="1409"/>
      <c r="AC109" s="1409"/>
      <c r="AD109" s="1409"/>
      <c r="AE109" s="1409"/>
    </row>
    <row r="110" spans="1:31">
      <c r="A110" s="1385"/>
      <c r="B110" s="1540" t="s">
        <v>2265</v>
      </c>
      <c r="C110" s="1562"/>
      <c r="D110" s="1562"/>
      <c r="E110" s="1562"/>
      <c r="F110" s="1562"/>
      <c r="G110" s="1562"/>
      <c r="H110" s="1562"/>
      <c r="I110" s="1562"/>
      <c r="J110" s="1562"/>
      <c r="K110" s="1607"/>
      <c r="L110" s="1608"/>
      <c r="M110" s="1609"/>
      <c r="N110" s="1579"/>
      <c r="O110" s="1579"/>
      <c r="P110" s="1574"/>
      <c r="Q110" s="1516"/>
      <c r="R110" s="1409"/>
      <c r="S110" s="1409"/>
      <c r="T110" s="1409"/>
      <c r="U110" s="1409"/>
      <c r="V110" s="1409"/>
      <c r="W110" s="1409"/>
      <c r="X110" s="1409"/>
      <c r="Y110" s="1409"/>
      <c r="Z110" s="1409"/>
      <c r="AA110" s="1409"/>
      <c r="AB110" s="1409"/>
      <c r="AC110" s="1409"/>
      <c r="AD110" s="1409"/>
      <c r="AE110" s="1409"/>
    </row>
    <row r="111" spans="1:31" ht="15">
      <c r="A111" s="1337"/>
      <c r="B111" s="1542"/>
      <c r="C111" s="1543">
        <v>100</v>
      </c>
      <c r="D111" s="1543">
        <f t="shared" ref="D111:M111" si="26">C111-$K35</f>
        <v>100</v>
      </c>
      <c r="E111" s="1543">
        <f t="shared" si="26"/>
        <v>100</v>
      </c>
      <c r="F111" s="1543">
        <f t="shared" si="26"/>
        <v>100</v>
      </c>
      <c r="G111" s="1543">
        <f t="shared" si="26"/>
        <v>100</v>
      </c>
      <c r="H111" s="1543">
        <f t="shared" si="26"/>
        <v>100</v>
      </c>
      <c r="I111" s="1543">
        <f t="shared" si="26"/>
        <v>100</v>
      </c>
      <c r="J111" s="1543">
        <f t="shared" si="26"/>
        <v>100</v>
      </c>
      <c r="K111" s="1543">
        <f t="shared" si="26"/>
        <v>100</v>
      </c>
      <c r="L111" s="1543">
        <f t="shared" si="26"/>
        <v>100</v>
      </c>
      <c r="M111" s="1585">
        <f t="shared" si="26"/>
        <v>100</v>
      </c>
      <c r="N111" s="1581"/>
      <c r="O111" s="1581"/>
      <c r="P111" s="1574"/>
      <c r="Q111" s="1516"/>
      <c r="R111" s="1409"/>
      <c r="S111" s="1409"/>
      <c r="T111" s="1409"/>
      <c r="U111" s="1409"/>
      <c r="V111" s="1409"/>
      <c r="W111" s="1409"/>
      <c r="X111" s="1409"/>
      <c r="Y111" s="1409"/>
      <c r="Z111" s="1409"/>
      <c r="AA111" s="1409"/>
      <c r="AB111" s="1409"/>
      <c r="AC111" s="1409"/>
      <c r="AD111" s="1409"/>
      <c r="AE111" s="1409"/>
    </row>
    <row r="112" spans="1:31" s="1295" customFormat="1">
      <c r="A112" s="1390"/>
      <c r="B112" s="1540" t="s">
        <v>2267</v>
      </c>
      <c r="C112" s="1548"/>
      <c r="D112" s="1548"/>
      <c r="E112" s="1548"/>
      <c r="F112" s="1548"/>
      <c r="G112" s="1548"/>
      <c r="H112" s="1562"/>
      <c r="I112" s="1562"/>
      <c r="J112" s="1562"/>
      <c r="K112" s="1607"/>
      <c r="L112" s="1608"/>
      <c r="M112" s="1609"/>
      <c r="N112" s="1591"/>
      <c r="O112" s="1591"/>
      <c r="P112" s="1591"/>
      <c r="Q112" s="1619"/>
      <c r="R112" s="1482"/>
      <c r="S112" s="1482"/>
      <c r="T112" s="1482"/>
      <c r="U112" s="1482"/>
      <c r="V112" s="1482"/>
      <c r="W112" s="1482"/>
      <c r="X112" s="1482"/>
      <c r="Y112" s="1482"/>
      <c r="Z112" s="1482"/>
      <c r="AA112" s="1482"/>
      <c r="AB112" s="1482"/>
      <c r="AC112" s="1482"/>
      <c r="AD112" s="1482"/>
      <c r="AE112" s="1482"/>
    </row>
    <row r="113" spans="1:31" s="1295" customFormat="1" ht="15">
      <c r="A113" s="1547"/>
      <c r="B113" s="1542"/>
      <c r="C113" s="1543">
        <v>100</v>
      </c>
      <c r="D113" s="1543">
        <f t="shared" ref="D113:M113" si="27">C113-$K36</f>
        <v>100</v>
      </c>
      <c r="E113" s="1543">
        <f t="shared" si="27"/>
        <v>100</v>
      </c>
      <c r="F113" s="1543">
        <f t="shared" si="27"/>
        <v>100</v>
      </c>
      <c r="G113" s="1543">
        <f t="shared" si="27"/>
        <v>100</v>
      </c>
      <c r="H113" s="1543">
        <f t="shared" si="27"/>
        <v>100</v>
      </c>
      <c r="I113" s="1543">
        <f t="shared" si="27"/>
        <v>100</v>
      </c>
      <c r="J113" s="1543">
        <f t="shared" si="27"/>
        <v>100</v>
      </c>
      <c r="K113" s="1543">
        <f t="shared" si="27"/>
        <v>100</v>
      </c>
      <c r="L113" s="1543">
        <f t="shared" si="27"/>
        <v>100</v>
      </c>
      <c r="M113" s="1585">
        <f t="shared" si="27"/>
        <v>100</v>
      </c>
      <c r="N113" s="1591"/>
      <c r="O113" s="1591"/>
      <c r="P113" s="1591"/>
      <c r="Q113" s="1619"/>
      <c r="R113" s="1482"/>
      <c r="S113" s="1482"/>
      <c r="T113" s="1482"/>
      <c r="U113" s="1482"/>
      <c r="V113" s="1482"/>
      <c r="W113" s="1482"/>
      <c r="X113" s="1482"/>
      <c r="Y113" s="1482"/>
      <c r="Z113" s="1482"/>
      <c r="AA113" s="1482"/>
      <c r="AB113" s="1482"/>
      <c r="AC113" s="1482"/>
      <c r="AD113" s="1482"/>
      <c r="AE113" s="1482"/>
    </row>
    <row r="114" spans="1:31">
      <c r="A114" s="1385"/>
      <c r="B114" s="1540" t="s">
        <v>2268</v>
      </c>
      <c r="C114" s="1548"/>
      <c r="D114" s="1548"/>
      <c r="E114" s="1562"/>
      <c r="F114" s="1562"/>
      <c r="G114" s="1562"/>
      <c r="H114" s="1562"/>
      <c r="I114" s="1562"/>
      <c r="J114" s="1562"/>
      <c r="K114" s="1607"/>
      <c r="L114" s="1608"/>
      <c r="M114" s="1609"/>
      <c r="N114" s="1579"/>
      <c r="O114" s="1579"/>
      <c r="P114" s="1574"/>
      <c r="Q114" s="1516"/>
      <c r="R114" s="1409"/>
      <c r="S114" s="1409"/>
      <c r="T114" s="1409"/>
      <c r="U114" s="1409"/>
      <c r="V114" s="1409"/>
      <c r="W114" s="1409"/>
      <c r="X114" s="1409"/>
      <c r="Y114" s="1409"/>
      <c r="Z114" s="1409"/>
      <c r="AA114" s="1409"/>
      <c r="AB114" s="1409"/>
      <c r="AC114" s="1409"/>
      <c r="AD114" s="1409"/>
      <c r="AE114" s="1409"/>
    </row>
    <row r="115" spans="1:31" ht="15">
      <c r="A115" s="1337"/>
      <c r="B115" s="1542"/>
      <c r="C115" s="1543">
        <v>100</v>
      </c>
      <c r="D115" s="1543">
        <f t="shared" ref="D115:M115" si="28">C115-$K37</f>
        <v>100</v>
      </c>
      <c r="E115" s="1543">
        <f t="shared" si="28"/>
        <v>100</v>
      </c>
      <c r="F115" s="1543">
        <f t="shared" si="28"/>
        <v>100</v>
      </c>
      <c r="G115" s="1543">
        <f t="shared" si="28"/>
        <v>100</v>
      </c>
      <c r="H115" s="1543">
        <f t="shared" si="28"/>
        <v>100</v>
      </c>
      <c r="I115" s="1543">
        <f t="shared" si="28"/>
        <v>100</v>
      </c>
      <c r="J115" s="1543">
        <f t="shared" si="28"/>
        <v>100</v>
      </c>
      <c r="K115" s="1543">
        <f t="shared" si="28"/>
        <v>100</v>
      </c>
      <c r="L115" s="1543">
        <f t="shared" si="28"/>
        <v>100</v>
      </c>
      <c r="M115" s="1585">
        <f t="shared" si="28"/>
        <v>100</v>
      </c>
      <c r="N115" s="1581"/>
      <c r="O115" s="1581"/>
      <c r="P115" s="1574"/>
      <c r="Q115" s="1516"/>
      <c r="R115" s="1409"/>
      <c r="S115" s="1409"/>
      <c r="T115" s="1409"/>
      <c r="U115" s="1409"/>
      <c r="V115" s="1409"/>
      <c r="W115" s="1409"/>
      <c r="X115" s="1409"/>
      <c r="Y115" s="1409"/>
      <c r="Z115" s="1409"/>
      <c r="AA115" s="1409"/>
      <c r="AB115" s="1409"/>
      <c r="AC115" s="1409"/>
      <c r="AD115" s="1409"/>
      <c r="AE115" s="1409"/>
    </row>
    <row r="116" spans="1:31">
      <c r="A116" s="1385"/>
      <c r="B116" s="1540">
        <f>B38</f>
        <v>111</v>
      </c>
      <c r="C116" s="1548"/>
      <c r="D116" s="1548"/>
      <c r="E116" s="1548"/>
      <c r="F116" s="1548"/>
      <c r="G116" s="1548"/>
      <c r="H116" s="1562"/>
      <c r="I116" s="1562"/>
      <c r="J116" s="1562"/>
      <c r="K116" s="1607"/>
      <c r="L116" s="1608"/>
      <c r="M116" s="1609"/>
      <c r="N116" s="1579"/>
      <c r="O116" s="1579"/>
      <c r="P116" s="1574"/>
      <c r="Q116" s="1516"/>
      <c r="R116" s="1409"/>
      <c r="S116" s="1409"/>
      <c r="T116" s="1409"/>
      <c r="U116" s="1409"/>
      <c r="V116" s="1409"/>
      <c r="W116" s="1409"/>
      <c r="X116" s="1409"/>
      <c r="Y116" s="1409"/>
      <c r="Z116" s="1409"/>
      <c r="AA116" s="1409"/>
      <c r="AB116" s="1409"/>
      <c r="AC116" s="1409"/>
      <c r="AD116" s="1409"/>
      <c r="AE116" s="1409"/>
    </row>
    <row r="117" spans="1:31" ht="15">
      <c r="A117" s="1337"/>
      <c r="B117" s="1542"/>
      <c r="C117" s="1550"/>
      <c r="D117" s="1539"/>
      <c r="E117" s="1539"/>
      <c r="F117" s="1539"/>
      <c r="G117" s="1539"/>
      <c r="H117" s="1539"/>
      <c r="I117" s="1539"/>
      <c r="J117" s="1539"/>
      <c r="K117" s="1539"/>
      <c r="L117" s="1539"/>
      <c r="M117" s="1580"/>
      <c r="N117" s="1581"/>
      <c r="O117" s="1581"/>
      <c r="P117" s="1574"/>
      <c r="Q117" s="1516"/>
      <c r="R117" s="1409"/>
      <c r="S117" s="1409"/>
      <c r="T117" s="1409"/>
      <c r="U117" s="1409"/>
      <c r="V117" s="1409"/>
      <c r="W117" s="1409"/>
      <c r="X117" s="1409"/>
      <c r="Y117" s="1409"/>
      <c r="Z117" s="1409"/>
      <c r="AA117" s="1409"/>
      <c r="AB117" s="1409"/>
      <c r="AC117" s="1409"/>
      <c r="AD117" s="1409"/>
      <c r="AE117" s="1409"/>
    </row>
    <row r="118" spans="1:31">
      <c r="A118" s="1385"/>
      <c r="B118" s="1540">
        <f>B39</f>
        <v>111</v>
      </c>
      <c r="C118" s="1548"/>
      <c r="D118" s="1548"/>
      <c r="E118" s="1548"/>
      <c r="F118" s="1548"/>
      <c r="G118" s="1562"/>
      <c r="H118" s="1562"/>
      <c r="I118" s="1562"/>
      <c r="J118" s="1562"/>
      <c r="K118" s="1607"/>
      <c r="L118" s="1608"/>
      <c r="M118" s="1609"/>
      <c r="N118" s="1579"/>
      <c r="O118" s="1579"/>
      <c r="P118" s="1574"/>
      <c r="Q118" s="1516"/>
      <c r="R118" s="1409"/>
      <c r="S118" s="1409"/>
      <c r="T118" s="1409"/>
      <c r="U118" s="1409"/>
      <c r="V118" s="1409"/>
      <c r="W118" s="1409"/>
      <c r="X118" s="1409"/>
      <c r="Y118" s="1409"/>
      <c r="Z118" s="1409"/>
      <c r="AA118" s="1409"/>
      <c r="AB118" s="1409"/>
      <c r="AC118" s="1409"/>
      <c r="AD118" s="1409"/>
      <c r="AE118" s="1409"/>
    </row>
    <row r="119" spans="1:31" ht="15">
      <c r="A119" s="1337"/>
      <c r="B119" s="1542"/>
      <c r="C119" s="1550"/>
      <c r="D119" s="1550"/>
      <c r="E119" s="1550"/>
      <c r="F119" s="1550"/>
      <c r="G119" s="1539"/>
      <c r="H119" s="1539"/>
      <c r="I119" s="1539"/>
      <c r="J119" s="1539"/>
      <c r="K119" s="1539"/>
      <c r="L119" s="1539"/>
      <c r="M119" s="1580"/>
      <c r="N119" s="1581"/>
      <c r="O119" s="1581"/>
      <c r="P119" s="1574"/>
      <c r="Q119" s="1516"/>
      <c r="R119" s="1409"/>
      <c r="S119" s="1409"/>
      <c r="T119" s="1409"/>
      <c r="U119" s="1409"/>
      <c r="V119" s="1409"/>
      <c r="W119" s="1409"/>
      <c r="X119" s="1409"/>
      <c r="Y119" s="1409"/>
      <c r="Z119" s="1409"/>
      <c r="AA119" s="1409"/>
      <c r="AB119" s="1409"/>
      <c r="AC119" s="1409"/>
      <c r="AD119" s="1409"/>
      <c r="AE119" s="1409"/>
    </row>
    <row r="120" spans="1:31" s="1295" customFormat="1">
      <c r="A120" s="1390"/>
      <c r="B120" s="1540">
        <f>B40</f>
        <v>111</v>
      </c>
      <c r="C120" s="1534"/>
      <c r="D120" s="1534"/>
      <c r="E120" s="1534"/>
      <c r="F120" s="1534"/>
      <c r="G120" s="1549"/>
      <c r="H120" s="1549"/>
      <c r="I120" s="1549"/>
      <c r="J120" s="1549"/>
      <c r="K120" s="1549"/>
      <c r="L120" s="1589"/>
      <c r="M120" s="1590"/>
      <c r="N120" s="1591"/>
      <c r="O120" s="1591"/>
      <c r="P120" s="1591"/>
      <c r="Q120" s="1619"/>
      <c r="R120" s="1482"/>
      <c r="S120" s="1482"/>
      <c r="T120" s="1482"/>
      <c r="U120" s="1482"/>
      <c r="V120" s="1482"/>
      <c r="W120" s="1482"/>
      <c r="X120" s="1482"/>
      <c r="Y120" s="1482"/>
      <c r="Z120" s="1482"/>
      <c r="AA120" s="1482"/>
      <c r="AB120" s="1482"/>
      <c r="AC120" s="1482"/>
      <c r="AD120" s="1482"/>
      <c r="AE120" s="1482"/>
    </row>
    <row r="121" spans="1:31" s="1295" customFormat="1" ht="15">
      <c r="A121" s="1553"/>
      <c r="B121" s="1567"/>
      <c r="C121" s="1555"/>
      <c r="D121" s="1555"/>
      <c r="E121" s="1555"/>
      <c r="F121" s="1555"/>
      <c r="G121" s="1564"/>
      <c r="H121" s="1564"/>
      <c r="I121" s="1564"/>
      <c r="J121" s="1564"/>
      <c r="K121" s="1564"/>
      <c r="L121" s="1564"/>
      <c r="M121" s="1613"/>
      <c r="N121" s="1591"/>
      <c r="O121" s="1591"/>
      <c r="P121" s="1591"/>
      <c r="Q121" s="1619"/>
      <c r="R121" s="1482"/>
      <c r="S121" s="1482"/>
      <c r="T121" s="1482"/>
      <c r="U121" s="1482"/>
      <c r="V121" s="1482"/>
      <c r="W121" s="1482"/>
      <c r="X121" s="1482"/>
      <c r="Y121" s="1482"/>
      <c r="Z121" s="1482"/>
      <c r="AA121" s="1482"/>
      <c r="AB121" s="1482"/>
      <c r="AC121" s="1482"/>
      <c r="AD121" s="1482"/>
      <c r="AE121" s="1482"/>
    </row>
    <row r="122" spans="1:31">
      <c r="N122" s="1409"/>
      <c r="O122" s="1409"/>
      <c r="P122" s="1409"/>
      <c r="Q122" s="1409"/>
      <c r="R122" s="1409"/>
      <c r="S122" s="1409"/>
      <c r="T122" s="1409"/>
      <c r="U122" s="1409"/>
      <c r="V122" s="1409"/>
      <c r="W122" s="1409"/>
      <c r="X122" s="1409"/>
      <c r="Y122" s="1409"/>
      <c r="Z122" s="1409"/>
      <c r="AA122" s="1409"/>
      <c r="AB122" s="1409"/>
      <c r="AC122" s="1409"/>
      <c r="AD122" s="1409"/>
      <c r="AE122" s="1409"/>
    </row>
    <row r="123" spans="1:31">
      <c r="P123" s="1409"/>
      <c r="Q123" s="1409"/>
      <c r="R123" s="1409"/>
      <c r="S123" s="1409"/>
      <c r="T123" s="1409"/>
      <c r="U123" s="1409"/>
      <c r="V123" s="1409"/>
      <c r="W123" s="1409"/>
      <c r="X123" s="1409"/>
      <c r="Y123" s="1409"/>
      <c r="Z123" s="1409"/>
      <c r="AA123" s="1409"/>
      <c r="AB123" s="1409"/>
      <c r="AC123" s="1409"/>
      <c r="AD123" s="1409"/>
      <c r="AE123" s="14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191" customWidth="1"/>
    <col min="2" max="2" width="9.25" style="1188" customWidth="1"/>
    <col min="3" max="3" width="5" style="1188" customWidth="1"/>
    <col min="4" max="4" width="9" style="1188"/>
    <col min="5" max="5" width="5" style="1188" customWidth="1"/>
    <col min="6" max="6" width="9" style="1188"/>
    <col min="7" max="7" width="5" style="1188" customWidth="1"/>
    <col min="8" max="8" width="9" style="1188"/>
    <col min="9" max="9" width="5" style="1188" customWidth="1"/>
    <col min="10" max="10" width="9" style="1188"/>
    <col min="11" max="11" width="5" style="1188" customWidth="1"/>
    <col min="12" max="12" width="9" style="1188"/>
    <col min="13" max="13" width="5" style="1188" customWidth="1"/>
    <col min="14" max="14" width="9" style="1188"/>
    <col min="15" max="15" width="5" style="1188" customWidth="1"/>
    <col min="16" max="16" width="9" style="1188"/>
    <col min="17" max="17" width="5" style="1188" customWidth="1"/>
    <col min="18" max="18" width="9" style="1188"/>
    <col min="19" max="19" width="9" style="1191"/>
    <col min="20" max="45" width="9" style="1192"/>
    <col min="46" max="16384" width="9" style="1191"/>
  </cols>
  <sheetData>
    <row r="1" spans="1:45" ht="14.25" customHeight="1">
      <c r="A1" s="972"/>
      <c r="B1" s="1193" t="s">
        <v>2306</v>
      </c>
      <c r="C1" s="3526" t="s">
        <v>2307</v>
      </c>
      <c r="D1" s="3527"/>
      <c r="E1" s="3527"/>
      <c r="F1" s="3527"/>
      <c r="G1" s="3527"/>
      <c r="H1" s="3527"/>
      <c r="I1" s="3527"/>
      <c r="J1" s="3527"/>
      <c r="K1" s="3527"/>
      <c r="L1" s="3527"/>
      <c r="M1" s="3527"/>
      <c r="N1" s="3527"/>
      <c r="O1" s="3527"/>
      <c r="P1" s="3527"/>
      <c r="Q1" s="3527"/>
      <c r="R1" s="3527"/>
      <c r="S1" s="3528"/>
      <c r="T1" s="1193" t="s">
        <v>2308</v>
      </c>
    </row>
    <row r="2" spans="1:45" s="892" customFormat="1">
      <c r="A2" s="1194"/>
      <c r="B2" s="1195" t="s">
        <v>508</v>
      </c>
      <c r="C2" s="1196" t="str">
        <f t="shared" ref="C2:L2" si="0">C3&amp;"(含)"&amp;"-"&amp;D3</f>
        <v>(含)-</v>
      </c>
      <c r="D2" s="1197" t="str">
        <f t="shared" si="0"/>
        <v>(含)-</v>
      </c>
      <c r="E2" s="1197" t="str">
        <f t="shared" si="0"/>
        <v>(含)-</v>
      </c>
      <c r="F2" s="1197" t="str">
        <f t="shared" si="0"/>
        <v>(含)-</v>
      </c>
      <c r="G2" s="1197" t="str">
        <f t="shared" si="0"/>
        <v>(含)-</v>
      </c>
      <c r="H2" s="1197" t="str">
        <f t="shared" si="0"/>
        <v>(含)-</v>
      </c>
      <c r="I2" s="1197" t="str">
        <f t="shared" si="0"/>
        <v>(含)-</v>
      </c>
      <c r="J2" s="1197" t="str">
        <f t="shared" si="0"/>
        <v>(含)-</v>
      </c>
      <c r="K2" s="1197" t="str">
        <f t="shared" si="0"/>
        <v>(含)-</v>
      </c>
      <c r="L2" s="1197" t="str">
        <f t="shared" si="0"/>
        <v>(含)-</v>
      </c>
      <c r="M2" s="1197" t="str">
        <f t="shared" ref="M2" si="1">M3&amp;"(含)"&amp;"-"&amp;N3</f>
        <v>(含)-</v>
      </c>
      <c r="N2" s="1197" t="str">
        <f t="shared" ref="N2" si="2">N3&amp;"(含)"&amp;"-"&amp;O3</f>
        <v>(含)-</v>
      </c>
      <c r="O2" s="1197" t="str">
        <f t="shared" ref="O2" si="3">O3&amp;"(含)"&amp;"-"&amp;P3</f>
        <v>(含)-</v>
      </c>
      <c r="P2" s="1197" t="str">
        <f t="shared" ref="P2" si="4">P3&amp;"(含)"&amp;"-"&amp;Q3</f>
        <v>(含)-</v>
      </c>
      <c r="Q2" s="1197" t="str">
        <f t="shared" ref="Q2" si="5">Q3&amp;"(含)"&amp;"-"&amp;R3</f>
        <v>(含)-</v>
      </c>
      <c r="R2" s="1197" t="str">
        <f t="shared" ref="R2" si="6">R3&amp;"(含)"&amp;"-"&amp;S3</f>
        <v>(含)-</v>
      </c>
      <c r="S2" s="1264" t="str">
        <f>S3&amp;"(含)"&amp;"-"</f>
        <v>(含)-</v>
      </c>
      <c r="T2" s="1265"/>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pans="1:45" s="1187" customFormat="1">
      <c r="A3" s="1198"/>
      <c r="B3" s="1199"/>
      <c r="C3" s="1200"/>
      <c r="D3" s="1201"/>
      <c r="E3" s="1201"/>
      <c r="F3" s="1202"/>
      <c r="G3" s="1202"/>
      <c r="H3" s="1202"/>
      <c r="I3" s="1202"/>
      <c r="J3" s="1202"/>
      <c r="K3" s="1202"/>
      <c r="L3" s="841"/>
      <c r="M3" s="1246"/>
      <c r="N3" s="1246"/>
      <c r="O3" s="1202"/>
      <c r="P3" s="1202"/>
      <c r="Q3" s="1202"/>
      <c r="R3" s="1202"/>
      <c r="S3" s="1266"/>
      <c r="T3" s="1267"/>
      <c r="U3" s="1268"/>
      <c r="V3" s="1268"/>
      <c r="W3" s="1268"/>
      <c r="X3" s="1268"/>
      <c r="Y3" s="1268"/>
      <c r="Z3" s="1268"/>
      <c r="AA3" s="1268"/>
      <c r="AB3" s="1268"/>
      <c r="AC3" s="1268"/>
      <c r="AD3" s="1268"/>
      <c r="AE3" s="1268"/>
      <c r="AF3" s="1268"/>
      <c r="AG3" s="1268"/>
      <c r="AH3" s="1268"/>
      <c r="AI3" s="1268"/>
      <c r="AJ3" s="1268"/>
      <c r="AK3" s="1268"/>
      <c r="AL3" s="1268"/>
      <c r="AM3" s="1268"/>
      <c r="AN3" s="1268"/>
      <c r="AO3" s="1268"/>
      <c r="AP3" s="1268"/>
      <c r="AQ3" s="1268"/>
      <c r="AR3" s="1268"/>
      <c r="AS3" s="1268"/>
    </row>
    <row r="4" spans="1:45" s="1187" customFormat="1">
      <c r="A4" s="1203"/>
      <c r="B4" s="1204"/>
      <c r="C4" s="1205"/>
      <c r="D4" s="1206"/>
      <c r="E4" s="1206"/>
      <c r="F4" s="1207"/>
      <c r="G4" s="1207"/>
      <c r="H4" s="1207"/>
      <c r="I4" s="1207"/>
      <c r="J4" s="1207"/>
      <c r="K4" s="1207"/>
      <c r="L4" s="1207"/>
      <c r="M4" s="1247"/>
      <c r="N4" s="1247"/>
      <c r="O4" s="1207"/>
      <c r="P4" s="1207"/>
      <c r="Q4" s="1207"/>
      <c r="R4" s="1207"/>
      <c r="S4" s="1269"/>
      <c r="T4" s="785"/>
      <c r="U4" s="1268"/>
      <c r="V4" s="1268"/>
      <c r="W4" s="1268"/>
      <c r="X4" s="1268"/>
      <c r="Y4" s="1268"/>
      <c r="Z4" s="1268"/>
      <c r="AA4" s="1268"/>
      <c r="AB4" s="1268"/>
      <c r="AC4" s="1268"/>
      <c r="AD4" s="1268"/>
      <c r="AE4" s="1268"/>
      <c r="AF4" s="1268"/>
      <c r="AG4" s="1268"/>
      <c r="AH4" s="1268"/>
      <c r="AI4" s="1268"/>
      <c r="AJ4" s="1268"/>
      <c r="AK4" s="1268"/>
      <c r="AL4" s="1268"/>
      <c r="AM4" s="1268"/>
      <c r="AN4" s="1268"/>
      <c r="AO4" s="1268"/>
      <c r="AP4" s="1268"/>
      <c r="AQ4" s="1268"/>
      <c r="AR4" s="1268"/>
      <c r="AS4" s="1268"/>
    </row>
    <row r="5" spans="1:45" s="1188" customFormat="1">
      <c r="A5" s="1037"/>
      <c r="B5" s="1208" t="s">
        <v>2309</v>
      </c>
      <c r="C5" s="1209"/>
      <c r="D5" s="1210"/>
      <c r="E5" s="1210"/>
      <c r="F5" s="1211"/>
      <c r="G5" s="1211"/>
      <c r="H5" s="1211"/>
      <c r="I5" s="1211"/>
      <c r="J5" s="1211"/>
      <c r="K5" s="1211"/>
      <c r="L5" s="1248"/>
      <c r="M5" s="1249"/>
      <c r="N5" s="1249"/>
      <c r="O5" s="1211"/>
      <c r="P5" s="1211"/>
      <c r="Q5" s="1211"/>
      <c r="R5" s="1211"/>
      <c r="S5" s="1270"/>
      <c r="T5" s="1271"/>
      <c r="U5" s="1272"/>
      <c r="V5" s="1272"/>
      <c r="W5" s="1272"/>
      <c r="X5" s="1272"/>
      <c r="Y5" s="1272"/>
      <c r="Z5" s="1272"/>
      <c r="AA5" s="1272"/>
      <c r="AB5" s="1272"/>
      <c r="AC5" s="1272"/>
      <c r="AD5" s="1272"/>
      <c r="AE5" s="1272"/>
      <c r="AF5" s="1272"/>
      <c r="AG5" s="1272"/>
      <c r="AH5" s="1272"/>
      <c r="AI5" s="1272"/>
      <c r="AJ5" s="1272"/>
      <c r="AK5" s="1272"/>
      <c r="AL5" s="1272"/>
      <c r="AM5" s="1272"/>
      <c r="AN5" s="1272"/>
      <c r="AO5" s="1272"/>
      <c r="AP5" s="1272"/>
      <c r="AQ5" s="1272"/>
      <c r="AR5" s="1272"/>
      <c r="AS5" s="1272"/>
    </row>
    <row r="6" spans="1:45" s="1188" customFormat="1">
      <c r="A6" s="1037"/>
      <c r="B6" s="1212"/>
      <c r="C6" s="1213">
        <v>100</v>
      </c>
      <c r="D6" s="1214">
        <f>C6-$T5</f>
        <v>100</v>
      </c>
      <c r="E6" s="1214">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1273"/>
      <c r="U6" s="1272"/>
      <c r="V6" s="1272"/>
      <c r="W6" s="1272"/>
      <c r="X6" s="1272"/>
      <c r="Y6" s="1272"/>
      <c r="Z6" s="1272"/>
      <c r="AA6" s="1272"/>
      <c r="AB6" s="1272"/>
      <c r="AC6" s="1272"/>
      <c r="AD6" s="1272"/>
      <c r="AE6" s="1272"/>
      <c r="AF6" s="1272"/>
      <c r="AG6" s="1272"/>
      <c r="AH6" s="1272"/>
      <c r="AI6" s="1272"/>
      <c r="AJ6" s="1272"/>
      <c r="AK6" s="1272"/>
      <c r="AL6" s="1272"/>
      <c r="AM6" s="1272"/>
      <c r="AN6" s="1272"/>
      <c r="AO6" s="1272"/>
      <c r="AP6" s="1272"/>
      <c r="AQ6" s="1272"/>
      <c r="AR6" s="1272"/>
      <c r="AS6" s="1272"/>
    </row>
    <row r="7" spans="1:45" s="1188" customFormat="1">
      <c r="A7" s="1037"/>
      <c r="B7" s="1216" t="s">
        <v>2310</v>
      </c>
      <c r="C7" s="1217"/>
      <c r="D7" s="1218"/>
      <c r="E7" s="1218"/>
      <c r="F7" s="1219"/>
      <c r="G7" s="1219"/>
      <c r="H7" s="1219"/>
      <c r="I7" s="1219"/>
      <c r="J7" s="1219"/>
      <c r="K7" s="1219"/>
      <c r="L7" s="1219"/>
      <c r="M7" s="1250"/>
      <c r="N7" s="1251"/>
      <c r="O7" s="1252"/>
      <c r="P7" s="1252"/>
      <c r="Q7" s="1274"/>
      <c r="R7" s="1275"/>
      <c r="S7" s="1276"/>
      <c r="T7" s="1277"/>
      <c r="U7" s="1272"/>
      <c r="V7" s="1272"/>
      <c r="W7" s="1272"/>
      <c r="X7" s="1272"/>
      <c r="Y7" s="1272"/>
      <c r="Z7" s="1272"/>
      <c r="AA7" s="1272"/>
      <c r="AB7" s="1272"/>
      <c r="AC7" s="1272"/>
      <c r="AD7" s="1272"/>
      <c r="AE7" s="1272"/>
      <c r="AF7" s="1272"/>
      <c r="AG7" s="1272"/>
      <c r="AH7" s="1272"/>
      <c r="AI7" s="1272"/>
      <c r="AJ7" s="1272"/>
      <c r="AK7" s="1272"/>
      <c r="AL7" s="1272"/>
      <c r="AM7" s="1272"/>
      <c r="AN7" s="1272"/>
      <c r="AO7" s="1272"/>
      <c r="AP7" s="1272"/>
      <c r="AQ7" s="1272"/>
      <c r="AR7" s="1272"/>
      <c r="AS7" s="1272"/>
    </row>
    <row r="8" spans="1:45" s="1188" customFormat="1">
      <c r="A8" s="1037"/>
      <c r="B8" s="1212"/>
      <c r="C8" s="1213">
        <v>100</v>
      </c>
      <c r="D8" s="1214">
        <f>C8-$T7</f>
        <v>100</v>
      </c>
      <c r="E8" s="1214">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1273"/>
      <c r="U8" s="1272"/>
      <c r="V8" s="1272"/>
      <c r="W8" s="1272"/>
      <c r="X8" s="1272"/>
      <c r="Y8" s="1272"/>
      <c r="Z8" s="1272"/>
      <c r="AA8" s="1272"/>
      <c r="AB8" s="1272"/>
      <c r="AC8" s="1272"/>
      <c r="AD8" s="1272"/>
      <c r="AE8" s="1272"/>
      <c r="AF8" s="1272"/>
      <c r="AG8" s="1272"/>
      <c r="AH8" s="1272"/>
      <c r="AI8" s="1272"/>
      <c r="AJ8" s="1272"/>
      <c r="AK8" s="1272"/>
      <c r="AL8" s="1272"/>
      <c r="AM8" s="1272"/>
      <c r="AN8" s="1272"/>
      <c r="AO8" s="1272"/>
      <c r="AP8" s="1272"/>
      <c r="AQ8" s="1272"/>
      <c r="AR8" s="1272"/>
      <c r="AS8" s="1272"/>
    </row>
    <row r="9" spans="1:45" s="1188" customFormat="1">
      <c r="A9" s="1037"/>
      <c r="B9" s="1216" t="s">
        <v>2311</v>
      </c>
      <c r="C9" s="1217"/>
      <c r="D9" s="1218"/>
      <c r="E9" s="1218"/>
      <c r="F9" s="1219"/>
      <c r="G9" s="1219"/>
      <c r="H9" s="1219"/>
      <c r="I9" s="1219"/>
      <c r="J9" s="1219"/>
      <c r="K9" s="1219"/>
      <c r="L9" s="1253"/>
      <c r="M9" s="1250"/>
      <c r="N9" s="1251"/>
      <c r="O9" s="1252"/>
      <c r="P9" s="1252"/>
      <c r="Q9" s="1274"/>
      <c r="R9" s="1275"/>
      <c r="S9" s="1276"/>
      <c r="T9" s="1277"/>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row>
    <row r="10" spans="1:45" s="1188" customFormat="1">
      <c r="A10" s="1037"/>
      <c r="B10" s="1204"/>
      <c r="C10" s="1220">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row>
    <row r="11" spans="1:45" s="1188" customFormat="1">
      <c r="A11" s="1037"/>
      <c r="B11" s="1208" t="s">
        <v>2312</v>
      </c>
      <c r="C11" s="1209"/>
      <c r="D11" s="1210"/>
      <c r="E11" s="1210"/>
      <c r="F11" s="1210"/>
      <c r="G11" s="1210"/>
      <c r="H11" s="1210"/>
      <c r="I11" s="1210"/>
      <c r="J11" s="1210"/>
      <c r="K11" s="1210"/>
      <c r="L11" s="1210"/>
      <c r="M11" s="1254"/>
      <c r="N11" s="1255"/>
      <c r="O11" s="1256"/>
      <c r="P11" s="1256"/>
      <c r="Q11" s="1278"/>
      <c r="R11" s="1279"/>
      <c r="S11" s="1280"/>
      <c r="T11" s="1271"/>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row>
    <row r="12" spans="1:45" s="1188" customFormat="1">
      <c r="A12" s="1037"/>
      <c r="B12" s="1212"/>
      <c r="C12" s="1213">
        <v>100</v>
      </c>
      <c r="D12" s="1214">
        <f>C12-$T11</f>
        <v>100</v>
      </c>
      <c r="E12" s="1214">
        <f t="shared" ref="E12:S12" si="10">D12-$T11</f>
        <v>100</v>
      </c>
      <c r="F12" s="1214">
        <f t="shared" si="10"/>
        <v>100</v>
      </c>
      <c r="G12" s="1214">
        <f t="shared" si="10"/>
        <v>100</v>
      </c>
      <c r="H12" s="1214">
        <f t="shared" si="10"/>
        <v>100</v>
      </c>
      <c r="I12" s="1214">
        <f t="shared" si="10"/>
        <v>100</v>
      </c>
      <c r="J12" s="1214">
        <f t="shared" si="10"/>
        <v>100</v>
      </c>
      <c r="K12" s="1214">
        <f t="shared" si="10"/>
        <v>100</v>
      </c>
      <c r="L12" s="1214">
        <f t="shared" si="10"/>
        <v>100</v>
      </c>
      <c r="M12" s="1214">
        <f t="shared" si="10"/>
        <v>100</v>
      </c>
      <c r="N12" s="1214">
        <f t="shared" si="10"/>
        <v>100</v>
      </c>
      <c r="O12" s="1214">
        <f t="shared" si="10"/>
        <v>100</v>
      </c>
      <c r="P12" s="1214">
        <f t="shared" si="10"/>
        <v>100</v>
      </c>
      <c r="Q12" s="1214">
        <f t="shared" si="10"/>
        <v>100</v>
      </c>
      <c r="R12" s="1214">
        <f t="shared" si="10"/>
        <v>100</v>
      </c>
      <c r="S12" s="1214">
        <f t="shared" si="10"/>
        <v>100</v>
      </c>
      <c r="T12" s="1273"/>
      <c r="U12" s="1272"/>
      <c r="V12" s="1272"/>
      <c r="W12" s="1272"/>
      <c r="X12" s="1272"/>
      <c r="Y12" s="1272"/>
      <c r="Z12" s="1272"/>
      <c r="AA12" s="1272"/>
      <c r="AB12" s="1272"/>
      <c r="AC12" s="1272"/>
      <c r="AD12" s="1272"/>
      <c r="AE12" s="1272"/>
      <c r="AF12" s="1272"/>
      <c r="AG12" s="1272"/>
      <c r="AH12" s="1272"/>
      <c r="AI12" s="1272"/>
      <c r="AJ12" s="1272"/>
      <c r="AK12" s="1272"/>
      <c r="AL12" s="1272"/>
      <c r="AM12" s="1272"/>
      <c r="AN12" s="1272"/>
      <c r="AO12" s="1272"/>
      <c r="AP12" s="1272"/>
      <c r="AQ12" s="1272"/>
      <c r="AR12" s="1272"/>
      <c r="AS12" s="1272"/>
    </row>
    <row r="13" spans="1:45" s="1188" customFormat="1">
      <c r="A13" s="1037"/>
      <c r="B13" s="1208" t="s">
        <v>2313</v>
      </c>
      <c r="C13" s="1209"/>
      <c r="D13" s="1210"/>
      <c r="E13" s="1210"/>
      <c r="F13" s="1210"/>
      <c r="G13" s="1210"/>
      <c r="H13" s="1210"/>
      <c r="I13" s="1210"/>
      <c r="J13" s="1210"/>
      <c r="K13" s="1210"/>
      <c r="L13" s="1210"/>
      <c r="M13" s="1254"/>
      <c r="N13" s="1255"/>
      <c r="O13" s="1256"/>
      <c r="P13" s="1256"/>
      <c r="Q13" s="1278"/>
      <c r="R13" s="1279"/>
      <c r="S13" s="1280"/>
      <c r="T13" s="1281"/>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row>
    <row r="14" spans="1:45" s="1188" customFormat="1">
      <c r="A14" s="1037"/>
      <c r="B14" s="1212"/>
      <c r="C14" s="1221"/>
      <c r="D14" s="1222"/>
      <c r="E14" s="1222"/>
      <c r="F14" s="1222"/>
      <c r="G14" s="1222"/>
      <c r="H14" s="1222"/>
      <c r="I14" s="1222"/>
      <c r="J14" s="1222"/>
      <c r="K14" s="1222"/>
      <c r="L14" s="1222"/>
      <c r="M14" s="1257"/>
      <c r="N14" s="1257"/>
      <c r="O14" s="1222"/>
      <c r="P14" s="1222"/>
      <c r="Q14" s="1222"/>
      <c r="R14" s="1222"/>
      <c r="S14" s="1282"/>
      <c r="T14" s="1273"/>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row>
    <row r="15" spans="1:45" s="1188" customFormat="1">
      <c r="A15" s="1037"/>
      <c r="B15" s="1208" t="s">
        <v>2314</v>
      </c>
      <c r="C15" s="1209"/>
      <c r="D15" s="1210"/>
      <c r="E15" s="1210"/>
      <c r="F15" s="1210"/>
      <c r="G15" s="1210"/>
      <c r="H15" s="1210"/>
      <c r="I15" s="1210"/>
      <c r="J15" s="1210"/>
      <c r="K15" s="1210"/>
      <c r="L15" s="1210"/>
      <c r="M15" s="1254"/>
      <c r="N15" s="1255"/>
      <c r="O15" s="1256"/>
      <c r="P15" s="1256"/>
      <c r="Q15" s="1278"/>
      <c r="R15" s="1279"/>
      <c r="S15" s="1280"/>
      <c r="T15" s="1281"/>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1272"/>
    </row>
    <row r="16" spans="1:45" s="1188" customFormat="1">
      <c r="A16" s="1037"/>
      <c r="B16" s="1204"/>
      <c r="C16" s="1205"/>
      <c r="D16" s="1206"/>
      <c r="E16" s="1206"/>
      <c r="F16" s="1206"/>
      <c r="G16" s="1206"/>
      <c r="H16" s="1206"/>
      <c r="I16" s="1206"/>
      <c r="J16" s="1206"/>
      <c r="K16" s="1206"/>
      <c r="L16" s="1206"/>
      <c r="M16" s="1258"/>
      <c r="N16" s="1258"/>
      <c r="O16" s="1206"/>
      <c r="P16" s="1206"/>
      <c r="Q16" s="1206"/>
      <c r="R16" s="1206"/>
      <c r="S16" s="1283"/>
      <c r="T16" s="785"/>
      <c r="U16" s="1272"/>
      <c r="V16" s="1272"/>
      <c r="W16" s="1272"/>
      <c r="X16" s="1272"/>
      <c r="Y16" s="1272"/>
      <c r="Z16" s="1272"/>
      <c r="AA16" s="1272"/>
      <c r="AB16" s="1272"/>
      <c r="AC16" s="1272"/>
      <c r="AD16" s="1272"/>
      <c r="AE16" s="1272"/>
      <c r="AF16" s="1272"/>
      <c r="AG16" s="1272"/>
      <c r="AH16" s="1272"/>
      <c r="AI16" s="1272"/>
      <c r="AJ16" s="1272"/>
      <c r="AK16" s="1272"/>
      <c r="AL16" s="1272"/>
      <c r="AM16" s="1272"/>
      <c r="AN16" s="1272"/>
      <c r="AO16" s="1272"/>
      <c r="AP16" s="1272"/>
      <c r="AQ16" s="1272"/>
      <c r="AR16" s="1272"/>
      <c r="AS16" s="1272"/>
    </row>
    <row r="17" spans="1:45" s="892" customFormat="1">
      <c r="A17" s="1223" t="s">
        <v>2315</v>
      </c>
      <c r="B17" s="1224" t="s">
        <v>2316</v>
      </c>
      <c r="C17" s="1225"/>
      <c r="D17" s="1226"/>
      <c r="E17" s="1226"/>
      <c r="F17" s="1226"/>
      <c r="G17" s="1226"/>
      <c r="H17" s="1226"/>
      <c r="I17" s="1226"/>
      <c r="J17" s="1226"/>
      <c r="K17" s="1226"/>
      <c r="L17" s="1259"/>
      <c r="M17" s="1260"/>
      <c r="N17" s="1261"/>
      <c r="O17" s="1262"/>
      <c r="P17" s="1262"/>
      <c r="Q17" s="1284"/>
      <c r="R17" s="1285"/>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098"/>
      <c r="AS17" s="1098"/>
    </row>
    <row r="18" spans="1:45" s="892" customFormat="1">
      <c r="A18" s="1227"/>
      <c r="B18" s="1228"/>
      <c r="C18" s="1229"/>
      <c r="D18" s="1230"/>
      <c r="E18" s="1230"/>
      <c r="F18" s="1230"/>
      <c r="G18" s="1230"/>
      <c r="H18" s="1230"/>
      <c r="I18" s="1230"/>
      <c r="J18" s="1230"/>
      <c r="K18" s="1230"/>
      <c r="L18" s="1230"/>
      <c r="M18" s="1263"/>
      <c r="N18" s="1263"/>
      <c r="O18" s="1230"/>
      <c r="P18" s="1230"/>
      <c r="Q18" s="1230"/>
      <c r="R18" s="1230"/>
      <c r="S18" s="1287"/>
      <c r="T18" s="1287"/>
      <c r="U18" s="1287"/>
      <c r="V18" s="1287"/>
      <c r="W18" s="1287"/>
      <c r="X18" s="1287"/>
      <c r="Y18" s="1287"/>
      <c r="Z18" s="1287"/>
      <c r="AA18" s="1287"/>
      <c r="AB18" s="1287"/>
      <c r="AC18" s="1287"/>
      <c r="AD18" s="1287"/>
      <c r="AE18" s="1287"/>
      <c r="AF18" s="1287"/>
      <c r="AG18" s="1287"/>
      <c r="AH18" s="1287"/>
      <c r="AI18" s="1287"/>
      <c r="AJ18" s="1287"/>
      <c r="AK18" s="1287"/>
      <c r="AL18" s="1287"/>
      <c r="AM18" s="1287"/>
      <c r="AN18" s="1287"/>
      <c r="AO18" s="1287"/>
      <c r="AP18" s="1287"/>
      <c r="AQ18" s="1287"/>
      <c r="AR18" s="1098"/>
      <c r="AS18" s="1098"/>
    </row>
    <row r="19" spans="1:45">
      <c r="A19" s="1006"/>
      <c r="B19" s="1231"/>
      <c r="C19" s="1231"/>
      <c r="D19" s="1232" t="s">
        <v>2317</v>
      </c>
      <c r="E19" s="1233"/>
      <c r="F19" s="1233"/>
      <c r="G19" s="1233"/>
      <c r="H19" s="1022"/>
      <c r="I19" s="1231"/>
      <c r="J19" s="1231"/>
      <c r="K19" s="1231"/>
      <c r="L19" s="1231"/>
      <c r="M19" s="1231"/>
      <c r="N19" s="1231"/>
      <c r="O19" s="1231"/>
      <c r="P19" s="1231"/>
      <c r="Q19" s="1231"/>
      <c r="R19" s="1231"/>
      <c r="S19" s="1006"/>
    </row>
    <row r="20" spans="1:45" ht="15.75">
      <c r="A20" s="1234" t="s">
        <v>2318</v>
      </c>
      <c r="B20" s="1235" t="e">
        <f ca="1">IF(D20="——",S22,S22-F20)</f>
        <v>#REF!</v>
      </c>
      <c r="C20" s="1231"/>
      <c r="D20" s="1236"/>
      <c r="E20" s="1237"/>
      <c r="F20" s="1193" t="e">
        <f ca="1">SUMIF(INDIRECT("'"&amp;H20&amp;"'"&amp;"!A:A"),"承租人权益价值",INDIRECT("'"&amp;H20&amp;"'"&amp;"!c:c"))</f>
        <v>#REF!</v>
      </c>
      <c r="G20" s="1193" t="s">
        <v>850</v>
      </c>
      <c r="H20" s="1238"/>
      <c r="I20" s="1231"/>
      <c r="J20" s="1231"/>
      <c r="K20" s="1231"/>
      <c r="L20" s="1231"/>
      <c r="M20" s="1231"/>
      <c r="N20" s="1231"/>
      <c r="O20" s="1231"/>
      <c r="P20" s="1231"/>
      <c r="Q20" s="1231"/>
      <c r="R20" s="1231"/>
      <c r="S20" s="1006"/>
    </row>
    <row r="21" spans="1:45" ht="15.75">
      <c r="A21" s="1234" t="s">
        <v>2319</v>
      </c>
      <c r="B21" s="1235" t="e">
        <f ca="1">ROUND(B20*10000/B22,0)</f>
        <v>#REF!</v>
      </c>
      <c r="C21" s="1231"/>
      <c r="D21" s="1231"/>
      <c r="E21" s="1231"/>
      <c r="F21" s="1231"/>
      <c r="G21" s="1231"/>
      <c r="H21" s="1231"/>
      <c r="I21" s="1231"/>
      <c r="J21" s="1231"/>
      <c r="K21" s="1231"/>
      <c r="L21" s="1231"/>
      <c r="M21" s="1231"/>
      <c r="N21" s="1231"/>
      <c r="O21" s="1231"/>
      <c r="P21" s="1231"/>
      <c r="Q21" s="1231"/>
      <c r="R21" s="1231"/>
      <c r="S21" s="1006"/>
    </row>
    <row r="22" spans="1:45">
      <c r="A22" s="935" t="s">
        <v>2320</v>
      </c>
      <c r="B22" s="961">
        <f>SUM(B24:B10000)</f>
        <v>0</v>
      </c>
      <c r="C22" s="3529" t="s">
        <v>124</v>
      </c>
      <c r="D22" s="3530"/>
      <c r="E22" s="3530"/>
      <c r="F22" s="3530"/>
      <c r="G22" s="3530"/>
      <c r="H22" s="3530"/>
      <c r="I22" s="3530"/>
      <c r="J22" s="3530"/>
      <c r="K22" s="3530"/>
      <c r="L22" s="3530"/>
      <c r="M22" s="3530"/>
      <c r="N22" s="3530"/>
      <c r="O22" s="3530"/>
      <c r="P22" s="3530"/>
      <c r="Q22" s="3531"/>
      <c r="R22" s="961" t="e">
        <f>ROUND(S22*10000/B22,0)</f>
        <v>#DIV/0!</v>
      </c>
      <c r="S22" s="961">
        <f>SUM(S24:S10000)</f>
        <v>0</v>
      </c>
    </row>
    <row r="23" spans="1:45" s="1189" customFormat="1" ht="24">
      <c r="A23" s="1239" t="s">
        <v>2321</v>
      </c>
      <c r="B23" s="1239" t="s">
        <v>508</v>
      </c>
      <c r="C23" s="1239" t="s">
        <v>2308</v>
      </c>
      <c r="D23" s="1239" t="str">
        <f>B5</f>
        <v>修正项2</v>
      </c>
      <c r="E23" s="1239" t="s">
        <v>2308</v>
      </c>
      <c r="F23" s="1239" t="str">
        <f>B7</f>
        <v>修正项3</v>
      </c>
      <c r="G23" s="1239" t="s">
        <v>2308</v>
      </c>
      <c r="H23" s="1239" t="str">
        <f>B9</f>
        <v>修正项4</v>
      </c>
      <c r="I23" s="1239" t="s">
        <v>2308</v>
      </c>
      <c r="J23" s="1239" t="str">
        <f>B11</f>
        <v>修正项5</v>
      </c>
      <c r="K23" s="1239" t="s">
        <v>2308</v>
      </c>
      <c r="L23" s="1239" t="str">
        <f>B13</f>
        <v>修正项6</v>
      </c>
      <c r="M23" s="1239" t="s">
        <v>2308</v>
      </c>
      <c r="N23" s="1239" t="str">
        <f>B15</f>
        <v>修正项7</v>
      </c>
      <c r="O23" s="1239" t="s">
        <v>2308</v>
      </c>
      <c r="P23" s="1239" t="str">
        <f>B17</f>
        <v>楼层</v>
      </c>
      <c r="Q23" s="1239" t="s">
        <v>2308</v>
      </c>
      <c r="R23" s="1239" t="s">
        <v>2322</v>
      </c>
      <c r="S23" s="1239" t="s">
        <v>2323</v>
      </c>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row>
    <row r="24" spans="1:45" s="1190" customFormat="1">
      <c r="A24" s="1240" t="s">
        <v>2324</v>
      </c>
      <c r="B24" s="1240"/>
      <c r="C24" s="1241">
        <v>1</v>
      </c>
      <c r="D24" s="1242"/>
      <c r="E24" s="1241">
        <v>1</v>
      </c>
      <c r="F24" s="1242"/>
      <c r="G24" s="1241">
        <v>1</v>
      </c>
      <c r="H24" s="1242"/>
      <c r="I24" s="1241">
        <v>1</v>
      </c>
      <c r="J24" s="1242"/>
      <c r="K24" s="1241">
        <v>1</v>
      </c>
      <c r="L24" s="1242"/>
      <c r="M24" s="1241">
        <v>1</v>
      </c>
      <c r="N24" s="1242"/>
      <c r="O24" s="1241">
        <v>1</v>
      </c>
      <c r="P24" s="1242"/>
      <c r="Q24" s="1241">
        <v>1</v>
      </c>
      <c r="R24" s="1240"/>
      <c r="S24" s="1290">
        <f t="shared" ref="S24:S54" si="11">ROUND(R24*B24/10000,0)</f>
        <v>0</v>
      </c>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row>
    <row r="25" spans="1:45">
      <c r="A25" s="1243"/>
      <c r="B25" s="1244"/>
      <c r="C25" s="961">
        <f>IF(B25="",1,(LOOKUP(B25,$3:$3,$4:$4)-LOOKUP($B$24,$3:$3,$4:$4)+100)/100)</f>
        <v>1</v>
      </c>
      <c r="D25" s="1245"/>
      <c r="E25" s="961">
        <f>(SUMIF($5:$5,D25,$6:$6)-SUMIF($5:$5,$D$24,$6:$6)+100)/100</f>
        <v>1</v>
      </c>
      <c r="F25" s="1245"/>
      <c r="G25" s="961">
        <f>(SUMIF($7:$7,F25,$8:$8)-SUMIF($7:$7,$F$24,$8:$8)+100)/100</f>
        <v>1</v>
      </c>
      <c r="H25" s="1245"/>
      <c r="I25" s="961">
        <f>(SUMIF($9:$9,H25,$10:$10)-SUMIF($9:$9,$H$24,$10:$10)+100)/100</f>
        <v>1</v>
      </c>
      <c r="J25" s="1245"/>
      <c r="K25" s="961">
        <f>(SUMIF($11:$11,J25,$12:$12)-SUMIF($11:$11,$J$24,$12:$12)+100)/100</f>
        <v>1</v>
      </c>
      <c r="L25" s="1245"/>
      <c r="M25" s="961">
        <f>(SUMIF($13:$13,L25,$14:$14)-SUMIF($13:$13,$L$24,$14:$14)+100)/100</f>
        <v>1</v>
      </c>
      <c r="N25" s="1245"/>
      <c r="O25" s="961">
        <f>(SUMIF($15:$15,N25,$16:$16)-SUMIF($15:$15,$N$24,$16:$16)+100)/100</f>
        <v>1</v>
      </c>
      <c r="P25" s="1245"/>
      <c r="Q25" s="961">
        <f>(SUMIF($17:$17,P25,$18:$18)-SUMIF($17:$17,$P$24,$18:$18)+100)/100</f>
        <v>1</v>
      </c>
      <c r="R25" s="961">
        <f>IF(B25="",0,ROUND($R$24*C25*E25*G25*I25*K25*M25*O25*Q25,0))</f>
        <v>0</v>
      </c>
      <c r="S25" s="935">
        <f t="shared" si="11"/>
        <v>0</v>
      </c>
    </row>
    <row r="26" spans="1:45">
      <c r="A26" s="1243"/>
      <c r="B26" s="1244"/>
      <c r="C26" s="961">
        <f t="shared" ref="C26:C89" si="12">IF(B26="",1,(LOOKUP(B26,$3:$3,$4:$4)-LOOKUP($B$24,$3:$3,$4:$4)+100)/100)</f>
        <v>1</v>
      </c>
      <c r="D26" s="1245"/>
      <c r="E26" s="961">
        <f t="shared" ref="E26:E89" si="13">(SUMIF($5:$5,D26,$6:$6)-SUMIF($5:$5,$D$24,$6:$6)+100)/100</f>
        <v>1</v>
      </c>
      <c r="F26" s="1245"/>
      <c r="G26" s="961">
        <f t="shared" ref="G26:G89" si="14">(SUMIF($7:$7,F26,$8:$8)-SUMIF($7:$7,$F$24,$8:$8)+100)/100</f>
        <v>1</v>
      </c>
      <c r="H26" s="1245"/>
      <c r="I26" s="961">
        <f t="shared" ref="I26:I89" si="15">(SUMIF($9:$9,H26,$10:$10)-SUMIF($9:$9,$H$24,$10:$10)+100)/100</f>
        <v>1</v>
      </c>
      <c r="J26" s="1245"/>
      <c r="K26" s="961">
        <f t="shared" ref="K26:K89" si="16">(SUMIF($11:$11,J26,$12:$12)-SUMIF($11:$11,$J$24,$12:$12)+100)/100</f>
        <v>1</v>
      </c>
      <c r="L26" s="1245"/>
      <c r="M26" s="961">
        <f t="shared" ref="M26:M89" si="17">(SUMIF($13:$13,L26,$14:$14)-SUMIF($13:$13,$L$24,$14:$14)+100)/100</f>
        <v>1</v>
      </c>
      <c r="N26" s="1245"/>
      <c r="O26" s="961">
        <f t="shared" ref="O26:O89" si="18">(SUMIF($15:$15,N26,$16:$16)-SUMIF($15:$15,$N$24,$16:$16)+100)/100</f>
        <v>1</v>
      </c>
      <c r="P26" s="1245"/>
      <c r="Q26" s="961">
        <f t="shared" ref="Q26:Q89" si="19">(SUMIF($17:$17,P26,$18:$18)-SUMIF($17:$17,$P$24,$18:$18)+100)/100</f>
        <v>1</v>
      </c>
      <c r="R26" s="961">
        <f t="shared" ref="R26:R89" si="20">IF(B26="",0,ROUND($R$24*C26*E26*G26*I26*K26*M26*O26*Q26,0))</f>
        <v>0</v>
      </c>
      <c r="S26" s="935">
        <f t="shared" si="11"/>
        <v>0</v>
      </c>
    </row>
    <row r="27" spans="1:45">
      <c r="A27" s="1243"/>
      <c r="B27" s="1244"/>
      <c r="C27" s="961">
        <f t="shared" si="12"/>
        <v>1</v>
      </c>
      <c r="D27" s="1245"/>
      <c r="E27" s="961">
        <f t="shared" si="13"/>
        <v>1</v>
      </c>
      <c r="F27" s="1245"/>
      <c r="G27" s="961">
        <f t="shared" si="14"/>
        <v>1</v>
      </c>
      <c r="H27" s="1245"/>
      <c r="I27" s="961">
        <f t="shared" si="15"/>
        <v>1</v>
      </c>
      <c r="J27" s="1245"/>
      <c r="K27" s="961">
        <f t="shared" si="16"/>
        <v>1</v>
      </c>
      <c r="L27" s="1245"/>
      <c r="M27" s="961">
        <f t="shared" si="17"/>
        <v>1</v>
      </c>
      <c r="N27" s="1245"/>
      <c r="O27" s="961">
        <f t="shared" si="18"/>
        <v>1</v>
      </c>
      <c r="P27" s="1245"/>
      <c r="Q27" s="961">
        <f t="shared" si="19"/>
        <v>1</v>
      </c>
      <c r="R27" s="961">
        <f t="shared" si="20"/>
        <v>0</v>
      </c>
      <c r="S27" s="935">
        <f t="shared" si="11"/>
        <v>0</v>
      </c>
    </row>
    <row r="28" spans="1:45">
      <c r="A28" s="1243"/>
      <c r="B28" s="1244"/>
      <c r="C28" s="961">
        <f t="shared" si="12"/>
        <v>1</v>
      </c>
      <c r="D28" s="1245"/>
      <c r="E28" s="961">
        <f t="shared" si="13"/>
        <v>1</v>
      </c>
      <c r="F28" s="1245"/>
      <c r="G28" s="961">
        <f t="shared" si="14"/>
        <v>1</v>
      </c>
      <c r="H28" s="1245"/>
      <c r="I28" s="961">
        <f t="shared" si="15"/>
        <v>1</v>
      </c>
      <c r="J28" s="1245"/>
      <c r="K28" s="961">
        <f t="shared" si="16"/>
        <v>1</v>
      </c>
      <c r="L28" s="1245"/>
      <c r="M28" s="961">
        <f t="shared" si="17"/>
        <v>1</v>
      </c>
      <c r="N28" s="1245"/>
      <c r="O28" s="961">
        <f t="shared" si="18"/>
        <v>1</v>
      </c>
      <c r="P28" s="1245"/>
      <c r="Q28" s="961">
        <f t="shared" si="19"/>
        <v>1</v>
      </c>
      <c r="R28" s="961">
        <f t="shared" si="20"/>
        <v>0</v>
      </c>
      <c r="S28" s="935">
        <f t="shared" si="11"/>
        <v>0</v>
      </c>
    </row>
    <row r="29" spans="1:45">
      <c r="A29" s="1243"/>
      <c r="B29" s="1244"/>
      <c r="C29" s="961">
        <f t="shared" si="12"/>
        <v>1</v>
      </c>
      <c r="D29" s="1245"/>
      <c r="E29" s="961">
        <f t="shared" si="13"/>
        <v>1</v>
      </c>
      <c r="F29" s="1245"/>
      <c r="G29" s="961">
        <f t="shared" si="14"/>
        <v>1</v>
      </c>
      <c r="H29" s="1245"/>
      <c r="I29" s="961">
        <f t="shared" si="15"/>
        <v>1</v>
      </c>
      <c r="J29" s="1245"/>
      <c r="K29" s="961">
        <f t="shared" si="16"/>
        <v>1</v>
      </c>
      <c r="L29" s="1245"/>
      <c r="M29" s="961">
        <f t="shared" si="17"/>
        <v>1</v>
      </c>
      <c r="N29" s="1245"/>
      <c r="O29" s="961">
        <f t="shared" si="18"/>
        <v>1</v>
      </c>
      <c r="P29" s="1245"/>
      <c r="Q29" s="961">
        <f t="shared" si="19"/>
        <v>1</v>
      </c>
      <c r="R29" s="961">
        <f t="shared" si="20"/>
        <v>0</v>
      </c>
      <c r="S29" s="935">
        <f t="shared" si="11"/>
        <v>0</v>
      </c>
    </row>
    <row r="30" spans="1:45">
      <c r="A30" s="1243"/>
      <c r="B30" s="1244"/>
      <c r="C30" s="961">
        <f t="shared" si="12"/>
        <v>1</v>
      </c>
      <c r="D30" s="1245"/>
      <c r="E30" s="961">
        <f t="shared" si="13"/>
        <v>1</v>
      </c>
      <c r="F30" s="1245"/>
      <c r="G30" s="961">
        <f t="shared" si="14"/>
        <v>1</v>
      </c>
      <c r="H30" s="1245"/>
      <c r="I30" s="961">
        <f t="shared" si="15"/>
        <v>1</v>
      </c>
      <c r="J30" s="1245"/>
      <c r="K30" s="961">
        <f t="shared" si="16"/>
        <v>1</v>
      </c>
      <c r="L30" s="1245"/>
      <c r="M30" s="961">
        <f t="shared" si="17"/>
        <v>1</v>
      </c>
      <c r="N30" s="1245"/>
      <c r="O30" s="961">
        <f t="shared" si="18"/>
        <v>1</v>
      </c>
      <c r="P30" s="1245"/>
      <c r="Q30" s="961">
        <f t="shared" si="19"/>
        <v>1</v>
      </c>
      <c r="R30" s="961">
        <f t="shared" si="20"/>
        <v>0</v>
      </c>
      <c r="S30" s="935">
        <f t="shared" si="11"/>
        <v>0</v>
      </c>
    </row>
    <row r="31" spans="1:45">
      <c r="A31" s="1243"/>
      <c r="B31" s="1244"/>
      <c r="C31" s="961">
        <f t="shared" si="12"/>
        <v>1</v>
      </c>
      <c r="D31" s="1245"/>
      <c r="E31" s="961">
        <f t="shared" si="13"/>
        <v>1</v>
      </c>
      <c r="F31" s="1245"/>
      <c r="G31" s="961">
        <f t="shared" si="14"/>
        <v>1</v>
      </c>
      <c r="H31" s="1245"/>
      <c r="I31" s="961">
        <f t="shared" si="15"/>
        <v>1</v>
      </c>
      <c r="J31" s="1245"/>
      <c r="K31" s="961">
        <f t="shared" si="16"/>
        <v>1</v>
      </c>
      <c r="L31" s="1245"/>
      <c r="M31" s="961">
        <f t="shared" si="17"/>
        <v>1</v>
      </c>
      <c r="N31" s="1245"/>
      <c r="O31" s="961">
        <f t="shared" si="18"/>
        <v>1</v>
      </c>
      <c r="P31" s="1245"/>
      <c r="Q31" s="961">
        <f t="shared" si="19"/>
        <v>1</v>
      </c>
      <c r="R31" s="961">
        <f t="shared" si="20"/>
        <v>0</v>
      </c>
      <c r="S31" s="935">
        <f t="shared" si="11"/>
        <v>0</v>
      </c>
    </row>
    <row r="32" spans="1:45">
      <c r="A32" s="1243"/>
      <c r="B32" s="1244"/>
      <c r="C32" s="961">
        <f t="shared" si="12"/>
        <v>1</v>
      </c>
      <c r="D32" s="1245"/>
      <c r="E32" s="961">
        <f t="shared" si="13"/>
        <v>1</v>
      </c>
      <c r="F32" s="1245"/>
      <c r="G32" s="961">
        <f t="shared" si="14"/>
        <v>1</v>
      </c>
      <c r="H32" s="1245"/>
      <c r="I32" s="961">
        <f t="shared" si="15"/>
        <v>1</v>
      </c>
      <c r="J32" s="1245"/>
      <c r="K32" s="961">
        <f t="shared" si="16"/>
        <v>1</v>
      </c>
      <c r="L32" s="1245"/>
      <c r="M32" s="961">
        <f t="shared" si="17"/>
        <v>1</v>
      </c>
      <c r="N32" s="1245"/>
      <c r="O32" s="961">
        <f t="shared" si="18"/>
        <v>1</v>
      </c>
      <c r="P32" s="1245"/>
      <c r="Q32" s="961">
        <f t="shared" si="19"/>
        <v>1</v>
      </c>
      <c r="R32" s="961">
        <f t="shared" si="20"/>
        <v>0</v>
      </c>
      <c r="S32" s="935">
        <f t="shared" si="11"/>
        <v>0</v>
      </c>
    </row>
    <row r="33" spans="1:19">
      <c r="A33" s="1243"/>
      <c r="B33" s="1244"/>
      <c r="C33" s="961">
        <f t="shared" si="12"/>
        <v>1</v>
      </c>
      <c r="D33" s="1245"/>
      <c r="E33" s="961">
        <f t="shared" si="13"/>
        <v>1</v>
      </c>
      <c r="F33" s="1245"/>
      <c r="G33" s="961">
        <f t="shared" si="14"/>
        <v>1</v>
      </c>
      <c r="H33" s="1245"/>
      <c r="I33" s="961">
        <f t="shared" si="15"/>
        <v>1</v>
      </c>
      <c r="J33" s="1245"/>
      <c r="K33" s="961">
        <f t="shared" si="16"/>
        <v>1</v>
      </c>
      <c r="L33" s="1245"/>
      <c r="M33" s="961">
        <f t="shared" si="17"/>
        <v>1</v>
      </c>
      <c r="N33" s="1245"/>
      <c r="O33" s="961">
        <f t="shared" si="18"/>
        <v>1</v>
      </c>
      <c r="P33" s="1245"/>
      <c r="Q33" s="961">
        <f t="shared" si="19"/>
        <v>1</v>
      </c>
      <c r="R33" s="961">
        <f t="shared" si="20"/>
        <v>0</v>
      </c>
      <c r="S33" s="935">
        <f t="shared" si="11"/>
        <v>0</v>
      </c>
    </row>
    <row r="34" spans="1:19">
      <c r="A34" s="1243"/>
      <c r="B34" s="1244"/>
      <c r="C34" s="961">
        <f t="shared" si="12"/>
        <v>1</v>
      </c>
      <c r="D34" s="1245"/>
      <c r="E34" s="961">
        <f t="shared" si="13"/>
        <v>1</v>
      </c>
      <c r="F34" s="1245"/>
      <c r="G34" s="961">
        <f t="shared" si="14"/>
        <v>1</v>
      </c>
      <c r="H34" s="1245"/>
      <c r="I34" s="961">
        <f t="shared" si="15"/>
        <v>1</v>
      </c>
      <c r="J34" s="1245"/>
      <c r="K34" s="961">
        <f t="shared" si="16"/>
        <v>1</v>
      </c>
      <c r="L34" s="1245"/>
      <c r="M34" s="961">
        <f t="shared" si="17"/>
        <v>1</v>
      </c>
      <c r="N34" s="1245"/>
      <c r="O34" s="961">
        <f t="shared" si="18"/>
        <v>1</v>
      </c>
      <c r="P34" s="1245"/>
      <c r="Q34" s="961">
        <f t="shared" si="19"/>
        <v>1</v>
      </c>
      <c r="R34" s="961">
        <f t="shared" si="20"/>
        <v>0</v>
      </c>
      <c r="S34" s="935">
        <f t="shared" si="11"/>
        <v>0</v>
      </c>
    </row>
    <row r="35" spans="1:19">
      <c r="A35" s="1243"/>
      <c r="B35" s="1244"/>
      <c r="C35" s="961">
        <f t="shared" si="12"/>
        <v>1</v>
      </c>
      <c r="D35" s="1245"/>
      <c r="E35" s="961">
        <f t="shared" si="13"/>
        <v>1</v>
      </c>
      <c r="F35" s="1245"/>
      <c r="G35" s="961">
        <f t="shared" si="14"/>
        <v>1</v>
      </c>
      <c r="H35" s="1245"/>
      <c r="I35" s="961">
        <f t="shared" si="15"/>
        <v>1</v>
      </c>
      <c r="J35" s="1245"/>
      <c r="K35" s="961">
        <f t="shared" si="16"/>
        <v>1</v>
      </c>
      <c r="L35" s="1245"/>
      <c r="M35" s="961">
        <f t="shared" si="17"/>
        <v>1</v>
      </c>
      <c r="N35" s="1245"/>
      <c r="O35" s="961">
        <f t="shared" si="18"/>
        <v>1</v>
      </c>
      <c r="P35" s="1245"/>
      <c r="Q35" s="961">
        <f t="shared" si="19"/>
        <v>1</v>
      </c>
      <c r="R35" s="961">
        <f t="shared" si="20"/>
        <v>0</v>
      </c>
      <c r="S35" s="935">
        <f t="shared" si="11"/>
        <v>0</v>
      </c>
    </row>
    <row r="36" spans="1:19">
      <c r="A36" s="1243"/>
      <c r="B36" s="1244"/>
      <c r="C36" s="961">
        <f t="shared" si="12"/>
        <v>1</v>
      </c>
      <c r="D36" s="1245"/>
      <c r="E36" s="961">
        <f t="shared" si="13"/>
        <v>1</v>
      </c>
      <c r="F36" s="1245"/>
      <c r="G36" s="961">
        <f t="shared" si="14"/>
        <v>1</v>
      </c>
      <c r="H36" s="1245"/>
      <c r="I36" s="961">
        <f t="shared" si="15"/>
        <v>1</v>
      </c>
      <c r="J36" s="1245"/>
      <c r="K36" s="961">
        <f t="shared" si="16"/>
        <v>1</v>
      </c>
      <c r="L36" s="1245"/>
      <c r="M36" s="961">
        <f t="shared" si="17"/>
        <v>1</v>
      </c>
      <c r="N36" s="1245"/>
      <c r="O36" s="961">
        <f t="shared" si="18"/>
        <v>1</v>
      </c>
      <c r="P36" s="1245"/>
      <c r="Q36" s="961">
        <f t="shared" si="19"/>
        <v>1</v>
      </c>
      <c r="R36" s="961">
        <f t="shared" si="20"/>
        <v>0</v>
      </c>
      <c r="S36" s="935">
        <f t="shared" si="11"/>
        <v>0</v>
      </c>
    </row>
    <row r="37" spans="1:19">
      <c r="A37" s="1243"/>
      <c r="B37" s="1244"/>
      <c r="C37" s="961">
        <f t="shared" si="12"/>
        <v>1</v>
      </c>
      <c r="D37" s="1245"/>
      <c r="E37" s="961">
        <f t="shared" si="13"/>
        <v>1</v>
      </c>
      <c r="F37" s="1245"/>
      <c r="G37" s="961">
        <f t="shared" si="14"/>
        <v>1</v>
      </c>
      <c r="H37" s="1245"/>
      <c r="I37" s="961">
        <f t="shared" si="15"/>
        <v>1</v>
      </c>
      <c r="J37" s="1245"/>
      <c r="K37" s="961">
        <f t="shared" si="16"/>
        <v>1</v>
      </c>
      <c r="L37" s="1245"/>
      <c r="M37" s="961">
        <f t="shared" si="17"/>
        <v>1</v>
      </c>
      <c r="N37" s="1245"/>
      <c r="O37" s="961">
        <f t="shared" si="18"/>
        <v>1</v>
      </c>
      <c r="P37" s="1245"/>
      <c r="Q37" s="961">
        <f t="shared" si="19"/>
        <v>1</v>
      </c>
      <c r="R37" s="961">
        <f t="shared" si="20"/>
        <v>0</v>
      </c>
      <c r="S37" s="935">
        <f t="shared" si="11"/>
        <v>0</v>
      </c>
    </row>
    <row r="38" spans="1:19">
      <c r="A38" s="1243"/>
      <c r="B38" s="1244"/>
      <c r="C38" s="961">
        <f t="shared" si="12"/>
        <v>1</v>
      </c>
      <c r="D38" s="1245"/>
      <c r="E38" s="961">
        <f t="shared" si="13"/>
        <v>1</v>
      </c>
      <c r="F38" s="1245"/>
      <c r="G38" s="961">
        <f t="shared" si="14"/>
        <v>1</v>
      </c>
      <c r="H38" s="1245"/>
      <c r="I38" s="961">
        <f t="shared" si="15"/>
        <v>1</v>
      </c>
      <c r="J38" s="1245"/>
      <c r="K38" s="961">
        <f t="shared" si="16"/>
        <v>1</v>
      </c>
      <c r="L38" s="1245"/>
      <c r="M38" s="961">
        <f t="shared" si="17"/>
        <v>1</v>
      </c>
      <c r="N38" s="1245"/>
      <c r="O38" s="961">
        <f t="shared" si="18"/>
        <v>1</v>
      </c>
      <c r="P38" s="1245"/>
      <c r="Q38" s="961">
        <f t="shared" si="19"/>
        <v>1</v>
      </c>
      <c r="R38" s="961">
        <f t="shared" si="20"/>
        <v>0</v>
      </c>
      <c r="S38" s="935">
        <f t="shared" si="11"/>
        <v>0</v>
      </c>
    </row>
    <row r="39" spans="1:19">
      <c r="A39" s="1243"/>
      <c r="B39" s="1244"/>
      <c r="C39" s="961">
        <f t="shared" si="12"/>
        <v>1</v>
      </c>
      <c r="D39" s="1245"/>
      <c r="E39" s="961">
        <f t="shared" si="13"/>
        <v>1</v>
      </c>
      <c r="F39" s="1245"/>
      <c r="G39" s="961">
        <f t="shared" si="14"/>
        <v>1</v>
      </c>
      <c r="H39" s="1245"/>
      <c r="I39" s="961">
        <f t="shared" si="15"/>
        <v>1</v>
      </c>
      <c r="J39" s="1245"/>
      <c r="K39" s="961">
        <f t="shared" si="16"/>
        <v>1</v>
      </c>
      <c r="L39" s="1245"/>
      <c r="M39" s="961">
        <f t="shared" si="17"/>
        <v>1</v>
      </c>
      <c r="N39" s="1245"/>
      <c r="O39" s="961">
        <f t="shared" si="18"/>
        <v>1</v>
      </c>
      <c r="P39" s="1245"/>
      <c r="Q39" s="961">
        <f t="shared" si="19"/>
        <v>1</v>
      </c>
      <c r="R39" s="961">
        <f t="shared" si="20"/>
        <v>0</v>
      </c>
      <c r="S39" s="935">
        <f t="shared" si="11"/>
        <v>0</v>
      </c>
    </row>
    <row r="40" spans="1:19">
      <c r="A40" s="1243"/>
      <c r="B40" s="1244"/>
      <c r="C40" s="961">
        <f t="shared" si="12"/>
        <v>1</v>
      </c>
      <c r="D40" s="1245"/>
      <c r="E40" s="961">
        <f t="shared" si="13"/>
        <v>1</v>
      </c>
      <c r="F40" s="1245"/>
      <c r="G40" s="961">
        <f t="shared" si="14"/>
        <v>1</v>
      </c>
      <c r="H40" s="1245"/>
      <c r="I40" s="961">
        <f t="shared" si="15"/>
        <v>1</v>
      </c>
      <c r="J40" s="1245"/>
      <c r="K40" s="961">
        <f t="shared" si="16"/>
        <v>1</v>
      </c>
      <c r="L40" s="1245"/>
      <c r="M40" s="961">
        <f t="shared" si="17"/>
        <v>1</v>
      </c>
      <c r="N40" s="1245"/>
      <c r="O40" s="961">
        <f t="shared" si="18"/>
        <v>1</v>
      </c>
      <c r="P40" s="1245"/>
      <c r="Q40" s="961">
        <f t="shared" si="19"/>
        <v>1</v>
      </c>
      <c r="R40" s="961">
        <f t="shared" si="20"/>
        <v>0</v>
      </c>
      <c r="S40" s="935">
        <f t="shared" si="11"/>
        <v>0</v>
      </c>
    </row>
    <row r="41" spans="1:19">
      <c r="A41" s="1243"/>
      <c r="B41" s="1244"/>
      <c r="C41" s="961">
        <f t="shared" si="12"/>
        <v>1</v>
      </c>
      <c r="D41" s="1245"/>
      <c r="E41" s="961">
        <f t="shared" si="13"/>
        <v>1</v>
      </c>
      <c r="F41" s="1245"/>
      <c r="G41" s="961">
        <f t="shared" si="14"/>
        <v>1</v>
      </c>
      <c r="H41" s="1245"/>
      <c r="I41" s="961">
        <f t="shared" si="15"/>
        <v>1</v>
      </c>
      <c r="J41" s="1245"/>
      <c r="K41" s="961">
        <f t="shared" si="16"/>
        <v>1</v>
      </c>
      <c r="L41" s="1245"/>
      <c r="M41" s="961">
        <f t="shared" si="17"/>
        <v>1</v>
      </c>
      <c r="N41" s="1245"/>
      <c r="O41" s="961">
        <f t="shared" si="18"/>
        <v>1</v>
      </c>
      <c r="P41" s="1245"/>
      <c r="Q41" s="961">
        <f t="shared" si="19"/>
        <v>1</v>
      </c>
      <c r="R41" s="961">
        <f t="shared" si="20"/>
        <v>0</v>
      </c>
      <c r="S41" s="935">
        <f t="shared" si="11"/>
        <v>0</v>
      </c>
    </row>
    <row r="42" spans="1:19">
      <c r="A42" s="1243"/>
      <c r="B42" s="1244"/>
      <c r="C42" s="961">
        <f t="shared" si="12"/>
        <v>1</v>
      </c>
      <c r="D42" s="1245"/>
      <c r="E42" s="961">
        <f t="shared" si="13"/>
        <v>1</v>
      </c>
      <c r="F42" s="1245"/>
      <c r="G42" s="961">
        <f t="shared" si="14"/>
        <v>1</v>
      </c>
      <c r="H42" s="1245"/>
      <c r="I42" s="961">
        <f t="shared" si="15"/>
        <v>1</v>
      </c>
      <c r="J42" s="1245"/>
      <c r="K42" s="961">
        <f t="shared" si="16"/>
        <v>1</v>
      </c>
      <c r="L42" s="1245"/>
      <c r="M42" s="961">
        <f t="shared" si="17"/>
        <v>1</v>
      </c>
      <c r="N42" s="1245"/>
      <c r="O42" s="961">
        <f t="shared" si="18"/>
        <v>1</v>
      </c>
      <c r="P42" s="1245"/>
      <c r="Q42" s="961">
        <f t="shared" si="19"/>
        <v>1</v>
      </c>
      <c r="R42" s="961">
        <f t="shared" si="20"/>
        <v>0</v>
      </c>
      <c r="S42" s="935">
        <f t="shared" si="11"/>
        <v>0</v>
      </c>
    </row>
    <row r="43" spans="1:19">
      <c r="A43" s="1243"/>
      <c r="B43" s="1244"/>
      <c r="C43" s="961">
        <f t="shared" si="12"/>
        <v>1</v>
      </c>
      <c r="D43" s="1245"/>
      <c r="E43" s="961">
        <f t="shared" si="13"/>
        <v>1</v>
      </c>
      <c r="F43" s="1245"/>
      <c r="G43" s="961">
        <f t="shared" si="14"/>
        <v>1</v>
      </c>
      <c r="H43" s="1245"/>
      <c r="I43" s="961">
        <f t="shared" si="15"/>
        <v>1</v>
      </c>
      <c r="J43" s="1245"/>
      <c r="K43" s="961">
        <f t="shared" si="16"/>
        <v>1</v>
      </c>
      <c r="L43" s="1245"/>
      <c r="M43" s="961">
        <f t="shared" si="17"/>
        <v>1</v>
      </c>
      <c r="N43" s="1245"/>
      <c r="O43" s="961">
        <f t="shared" si="18"/>
        <v>1</v>
      </c>
      <c r="P43" s="1245"/>
      <c r="Q43" s="961">
        <f t="shared" si="19"/>
        <v>1</v>
      </c>
      <c r="R43" s="961">
        <f t="shared" si="20"/>
        <v>0</v>
      </c>
      <c r="S43" s="935">
        <f t="shared" si="11"/>
        <v>0</v>
      </c>
    </row>
    <row r="44" spans="1:19">
      <c r="A44" s="1243"/>
      <c r="B44" s="1244"/>
      <c r="C44" s="961">
        <f t="shared" si="12"/>
        <v>1</v>
      </c>
      <c r="D44" s="1245"/>
      <c r="E44" s="961">
        <f t="shared" si="13"/>
        <v>1</v>
      </c>
      <c r="F44" s="1245"/>
      <c r="G44" s="961">
        <f t="shared" si="14"/>
        <v>1</v>
      </c>
      <c r="H44" s="1245"/>
      <c r="I44" s="961">
        <f t="shared" si="15"/>
        <v>1</v>
      </c>
      <c r="J44" s="1245"/>
      <c r="K44" s="961">
        <f t="shared" si="16"/>
        <v>1</v>
      </c>
      <c r="L44" s="1245"/>
      <c r="M44" s="961">
        <f t="shared" si="17"/>
        <v>1</v>
      </c>
      <c r="N44" s="1245"/>
      <c r="O44" s="961">
        <f t="shared" si="18"/>
        <v>1</v>
      </c>
      <c r="P44" s="1245"/>
      <c r="Q44" s="961">
        <f t="shared" si="19"/>
        <v>1</v>
      </c>
      <c r="R44" s="961">
        <f t="shared" si="20"/>
        <v>0</v>
      </c>
      <c r="S44" s="935">
        <f t="shared" si="11"/>
        <v>0</v>
      </c>
    </row>
    <row r="45" spans="1:19">
      <c r="A45" s="1243"/>
      <c r="B45" s="1244"/>
      <c r="C45" s="961">
        <f t="shared" si="12"/>
        <v>1</v>
      </c>
      <c r="D45" s="1245"/>
      <c r="E45" s="961">
        <f t="shared" si="13"/>
        <v>1</v>
      </c>
      <c r="F45" s="1245"/>
      <c r="G45" s="961">
        <f t="shared" si="14"/>
        <v>1</v>
      </c>
      <c r="H45" s="1245"/>
      <c r="I45" s="961">
        <f t="shared" si="15"/>
        <v>1</v>
      </c>
      <c r="J45" s="1245"/>
      <c r="K45" s="961">
        <f t="shared" si="16"/>
        <v>1</v>
      </c>
      <c r="L45" s="1245"/>
      <c r="M45" s="961">
        <f t="shared" si="17"/>
        <v>1</v>
      </c>
      <c r="N45" s="1245"/>
      <c r="O45" s="961">
        <f t="shared" si="18"/>
        <v>1</v>
      </c>
      <c r="P45" s="1245"/>
      <c r="Q45" s="961">
        <f t="shared" si="19"/>
        <v>1</v>
      </c>
      <c r="R45" s="961">
        <f t="shared" si="20"/>
        <v>0</v>
      </c>
      <c r="S45" s="935">
        <f t="shared" si="11"/>
        <v>0</v>
      </c>
    </row>
    <row r="46" spans="1:19">
      <c r="A46" s="1243"/>
      <c r="B46" s="1244"/>
      <c r="C46" s="961">
        <f t="shared" si="12"/>
        <v>1</v>
      </c>
      <c r="D46" s="1245"/>
      <c r="E46" s="961">
        <f t="shared" si="13"/>
        <v>1</v>
      </c>
      <c r="F46" s="1245"/>
      <c r="G46" s="961">
        <f t="shared" si="14"/>
        <v>1</v>
      </c>
      <c r="H46" s="1245"/>
      <c r="I46" s="961">
        <f t="shared" si="15"/>
        <v>1</v>
      </c>
      <c r="J46" s="1245"/>
      <c r="K46" s="961">
        <f t="shared" si="16"/>
        <v>1</v>
      </c>
      <c r="L46" s="1245"/>
      <c r="M46" s="961">
        <f t="shared" si="17"/>
        <v>1</v>
      </c>
      <c r="N46" s="1245"/>
      <c r="O46" s="961">
        <f t="shared" si="18"/>
        <v>1</v>
      </c>
      <c r="P46" s="1245"/>
      <c r="Q46" s="961">
        <f t="shared" si="19"/>
        <v>1</v>
      </c>
      <c r="R46" s="961">
        <f t="shared" si="20"/>
        <v>0</v>
      </c>
      <c r="S46" s="935">
        <f t="shared" si="11"/>
        <v>0</v>
      </c>
    </row>
    <row r="47" spans="1:19">
      <c r="A47" s="1243"/>
      <c r="B47" s="1244"/>
      <c r="C47" s="961">
        <f t="shared" si="12"/>
        <v>1</v>
      </c>
      <c r="D47" s="1245"/>
      <c r="E47" s="961">
        <f t="shared" si="13"/>
        <v>1</v>
      </c>
      <c r="F47" s="1245"/>
      <c r="G47" s="961">
        <f t="shared" si="14"/>
        <v>1</v>
      </c>
      <c r="H47" s="1245"/>
      <c r="I47" s="961">
        <f t="shared" si="15"/>
        <v>1</v>
      </c>
      <c r="J47" s="1245"/>
      <c r="K47" s="961">
        <f t="shared" si="16"/>
        <v>1</v>
      </c>
      <c r="L47" s="1245"/>
      <c r="M47" s="961">
        <f t="shared" si="17"/>
        <v>1</v>
      </c>
      <c r="N47" s="1245"/>
      <c r="O47" s="961">
        <f t="shared" si="18"/>
        <v>1</v>
      </c>
      <c r="P47" s="1245"/>
      <c r="Q47" s="961">
        <f t="shared" si="19"/>
        <v>1</v>
      </c>
      <c r="R47" s="961">
        <f t="shared" si="20"/>
        <v>0</v>
      </c>
      <c r="S47" s="935">
        <f t="shared" si="11"/>
        <v>0</v>
      </c>
    </row>
    <row r="48" spans="1:19">
      <c r="A48" s="1243"/>
      <c r="B48" s="1244"/>
      <c r="C48" s="961">
        <f t="shared" si="12"/>
        <v>1</v>
      </c>
      <c r="D48" s="1245"/>
      <c r="E48" s="961">
        <f t="shared" si="13"/>
        <v>1</v>
      </c>
      <c r="F48" s="1245"/>
      <c r="G48" s="961">
        <f t="shared" si="14"/>
        <v>1</v>
      </c>
      <c r="H48" s="1245"/>
      <c r="I48" s="961">
        <f t="shared" si="15"/>
        <v>1</v>
      </c>
      <c r="J48" s="1245"/>
      <c r="K48" s="961">
        <f t="shared" si="16"/>
        <v>1</v>
      </c>
      <c r="L48" s="1245"/>
      <c r="M48" s="961">
        <f t="shared" si="17"/>
        <v>1</v>
      </c>
      <c r="N48" s="1245"/>
      <c r="O48" s="961">
        <f t="shared" si="18"/>
        <v>1</v>
      </c>
      <c r="P48" s="1245"/>
      <c r="Q48" s="961">
        <f t="shared" si="19"/>
        <v>1</v>
      </c>
      <c r="R48" s="961">
        <f t="shared" si="20"/>
        <v>0</v>
      </c>
      <c r="S48" s="935">
        <f t="shared" si="11"/>
        <v>0</v>
      </c>
    </row>
    <row r="49" spans="1:19">
      <c r="A49" s="1243"/>
      <c r="B49" s="1244"/>
      <c r="C49" s="961">
        <f t="shared" si="12"/>
        <v>1</v>
      </c>
      <c r="D49" s="1245"/>
      <c r="E49" s="961">
        <f t="shared" si="13"/>
        <v>1</v>
      </c>
      <c r="F49" s="1245"/>
      <c r="G49" s="961">
        <f t="shared" si="14"/>
        <v>1</v>
      </c>
      <c r="H49" s="1245"/>
      <c r="I49" s="961">
        <f t="shared" si="15"/>
        <v>1</v>
      </c>
      <c r="J49" s="1245"/>
      <c r="K49" s="961">
        <f t="shared" si="16"/>
        <v>1</v>
      </c>
      <c r="L49" s="1245"/>
      <c r="M49" s="961">
        <f t="shared" si="17"/>
        <v>1</v>
      </c>
      <c r="N49" s="1245"/>
      <c r="O49" s="961">
        <f t="shared" si="18"/>
        <v>1</v>
      </c>
      <c r="P49" s="1245"/>
      <c r="Q49" s="961">
        <f t="shared" si="19"/>
        <v>1</v>
      </c>
      <c r="R49" s="961">
        <f t="shared" si="20"/>
        <v>0</v>
      </c>
      <c r="S49" s="935">
        <f t="shared" si="11"/>
        <v>0</v>
      </c>
    </row>
    <row r="50" spans="1:19">
      <c r="A50" s="1243"/>
      <c r="B50" s="1244"/>
      <c r="C50" s="961">
        <f t="shared" si="12"/>
        <v>1</v>
      </c>
      <c r="D50" s="1245"/>
      <c r="E50" s="961">
        <f t="shared" si="13"/>
        <v>1</v>
      </c>
      <c r="F50" s="1245"/>
      <c r="G50" s="961">
        <f t="shared" si="14"/>
        <v>1</v>
      </c>
      <c r="H50" s="1245"/>
      <c r="I50" s="961">
        <f t="shared" si="15"/>
        <v>1</v>
      </c>
      <c r="J50" s="1245"/>
      <c r="K50" s="961">
        <f t="shared" si="16"/>
        <v>1</v>
      </c>
      <c r="L50" s="1245"/>
      <c r="M50" s="961">
        <f t="shared" si="17"/>
        <v>1</v>
      </c>
      <c r="N50" s="1245"/>
      <c r="O50" s="961">
        <f t="shared" si="18"/>
        <v>1</v>
      </c>
      <c r="P50" s="1245"/>
      <c r="Q50" s="961">
        <f t="shared" si="19"/>
        <v>1</v>
      </c>
      <c r="R50" s="961">
        <f t="shared" si="20"/>
        <v>0</v>
      </c>
      <c r="S50" s="935">
        <f t="shared" si="11"/>
        <v>0</v>
      </c>
    </row>
    <row r="51" spans="1:19">
      <c r="A51" s="1243"/>
      <c r="B51" s="1244"/>
      <c r="C51" s="961">
        <f t="shared" si="12"/>
        <v>1</v>
      </c>
      <c r="D51" s="1245"/>
      <c r="E51" s="961">
        <f t="shared" si="13"/>
        <v>1</v>
      </c>
      <c r="F51" s="1245"/>
      <c r="G51" s="961">
        <f t="shared" si="14"/>
        <v>1</v>
      </c>
      <c r="H51" s="1245"/>
      <c r="I51" s="961">
        <f t="shared" si="15"/>
        <v>1</v>
      </c>
      <c r="J51" s="1245"/>
      <c r="K51" s="961">
        <f t="shared" si="16"/>
        <v>1</v>
      </c>
      <c r="L51" s="1245"/>
      <c r="M51" s="961">
        <f t="shared" si="17"/>
        <v>1</v>
      </c>
      <c r="N51" s="1245"/>
      <c r="O51" s="961">
        <f t="shared" si="18"/>
        <v>1</v>
      </c>
      <c r="P51" s="1245"/>
      <c r="Q51" s="961">
        <f t="shared" si="19"/>
        <v>1</v>
      </c>
      <c r="R51" s="961">
        <f t="shared" si="20"/>
        <v>0</v>
      </c>
      <c r="S51" s="935">
        <f t="shared" si="11"/>
        <v>0</v>
      </c>
    </row>
    <row r="52" spans="1:19">
      <c r="A52" s="1243"/>
      <c r="B52" s="1244"/>
      <c r="C52" s="961">
        <f t="shared" si="12"/>
        <v>1</v>
      </c>
      <c r="D52" s="1245"/>
      <c r="E52" s="961">
        <f t="shared" si="13"/>
        <v>1</v>
      </c>
      <c r="F52" s="1245"/>
      <c r="G52" s="961">
        <f t="shared" si="14"/>
        <v>1</v>
      </c>
      <c r="H52" s="1245"/>
      <c r="I52" s="961">
        <f t="shared" si="15"/>
        <v>1</v>
      </c>
      <c r="J52" s="1245"/>
      <c r="K52" s="961">
        <f t="shared" si="16"/>
        <v>1</v>
      </c>
      <c r="L52" s="1245"/>
      <c r="M52" s="961">
        <f t="shared" si="17"/>
        <v>1</v>
      </c>
      <c r="N52" s="1245"/>
      <c r="O52" s="961">
        <f t="shared" si="18"/>
        <v>1</v>
      </c>
      <c r="P52" s="1245"/>
      <c r="Q52" s="961">
        <f t="shared" si="19"/>
        <v>1</v>
      </c>
      <c r="R52" s="961">
        <f t="shared" si="20"/>
        <v>0</v>
      </c>
      <c r="S52" s="935">
        <f t="shared" si="11"/>
        <v>0</v>
      </c>
    </row>
    <row r="53" spans="1:19">
      <c r="A53" s="1243"/>
      <c r="B53" s="1244"/>
      <c r="C53" s="961">
        <f t="shared" si="12"/>
        <v>1</v>
      </c>
      <c r="D53" s="1245"/>
      <c r="E53" s="961">
        <f t="shared" si="13"/>
        <v>1</v>
      </c>
      <c r="F53" s="1245"/>
      <c r="G53" s="961">
        <f t="shared" si="14"/>
        <v>1</v>
      </c>
      <c r="H53" s="1245"/>
      <c r="I53" s="961">
        <f t="shared" si="15"/>
        <v>1</v>
      </c>
      <c r="J53" s="1245"/>
      <c r="K53" s="961">
        <f t="shared" si="16"/>
        <v>1</v>
      </c>
      <c r="L53" s="1245"/>
      <c r="M53" s="961">
        <f t="shared" si="17"/>
        <v>1</v>
      </c>
      <c r="N53" s="1245"/>
      <c r="O53" s="961">
        <f t="shared" si="18"/>
        <v>1</v>
      </c>
      <c r="P53" s="1245"/>
      <c r="Q53" s="961">
        <f t="shared" si="19"/>
        <v>1</v>
      </c>
      <c r="R53" s="961">
        <f t="shared" si="20"/>
        <v>0</v>
      </c>
      <c r="S53" s="935">
        <f t="shared" si="11"/>
        <v>0</v>
      </c>
    </row>
    <row r="54" spans="1:19">
      <c r="A54" s="1243"/>
      <c r="B54" s="1244"/>
      <c r="C54" s="961">
        <f t="shared" si="12"/>
        <v>1</v>
      </c>
      <c r="D54" s="1245"/>
      <c r="E54" s="961">
        <f t="shared" si="13"/>
        <v>1</v>
      </c>
      <c r="F54" s="1245"/>
      <c r="G54" s="961">
        <f t="shared" si="14"/>
        <v>1</v>
      </c>
      <c r="H54" s="1245"/>
      <c r="I54" s="961">
        <f t="shared" si="15"/>
        <v>1</v>
      </c>
      <c r="J54" s="1245"/>
      <c r="K54" s="961">
        <f t="shared" si="16"/>
        <v>1</v>
      </c>
      <c r="L54" s="1245"/>
      <c r="M54" s="961">
        <f t="shared" si="17"/>
        <v>1</v>
      </c>
      <c r="N54" s="1245"/>
      <c r="O54" s="961">
        <f t="shared" si="18"/>
        <v>1</v>
      </c>
      <c r="P54" s="1245"/>
      <c r="Q54" s="961">
        <f t="shared" si="19"/>
        <v>1</v>
      </c>
      <c r="R54" s="961">
        <f t="shared" si="20"/>
        <v>0</v>
      </c>
      <c r="S54" s="935">
        <f t="shared" si="11"/>
        <v>0</v>
      </c>
    </row>
    <row r="55" spans="1:19">
      <c r="A55" s="1243"/>
      <c r="B55" s="1244"/>
      <c r="C55" s="961">
        <f t="shared" si="12"/>
        <v>1</v>
      </c>
      <c r="D55" s="1245"/>
      <c r="E55" s="961">
        <f t="shared" si="13"/>
        <v>1</v>
      </c>
      <c r="F55" s="1245"/>
      <c r="G55" s="961">
        <f t="shared" si="14"/>
        <v>1</v>
      </c>
      <c r="H55" s="1245"/>
      <c r="I55" s="961">
        <f t="shared" si="15"/>
        <v>1</v>
      </c>
      <c r="J55" s="1245"/>
      <c r="K55" s="961">
        <f t="shared" si="16"/>
        <v>1</v>
      </c>
      <c r="L55" s="1245"/>
      <c r="M55" s="961">
        <f t="shared" si="17"/>
        <v>1</v>
      </c>
      <c r="N55" s="1245"/>
      <c r="O55" s="961">
        <f t="shared" si="18"/>
        <v>1</v>
      </c>
      <c r="P55" s="1245"/>
      <c r="Q55" s="961">
        <f t="shared" si="19"/>
        <v>1</v>
      </c>
      <c r="R55" s="961">
        <f t="shared" si="20"/>
        <v>0</v>
      </c>
      <c r="S55" s="935">
        <f t="shared" ref="S55:S77" si="21">ROUND(R55*B55/10000,0)</f>
        <v>0</v>
      </c>
    </row>
    <row r="56" spans="1:19">
      <c r="A56" s="1243"/>
      <c r="B56" s="1244"/>
      <c r="C56" s="961">
        <f t="shared" si="12"/>
        <v>1</v>
      </c>
      <c r="D56" s="1245"/>
      <c r="E56" s="961">
        <f t="shared" si="13"/>
        <v>1</v>
      </c>
      <c r="F56" s="1245"/>
      <c r="G56" s="961">
        <f t="shared" si="14"/>
        <v>1</v>
      </c>
      <c r="H56" s="1245"/>
      <c r="I56" s="961">
        <f t="shared" si="15"/>
        <v>1</v>
      </c>
      <c r="J56" s="1245"/>
      <c r="K56" s="961">
        <f t="shared" si="16"/>
        <v>1</v>
      </c>
      <c r="L56" s="1245"/>
      <c r="M56" s="961">
        <f t="shared" si="17"/>
        <v>1</v>
      </c>
      <c r="N56" s="1245"/>
      <c r="O56" s="961">
        <f t="shared" si="18"/>
        <v>1</v>
      </c>
      <c r="P56" s="1245"/>
      <c r="Q56" s="961">
        <f t="shared" si="19"/>
        <v>1</v>
      </c>
      <c r="R56" s="961">
        <f t="shared" si="20"/>
        <v>0</v>
      </c>
      <c r="S56" s="935">
        <f t="shared" si="21"/>
        <v>0</v>
      </c>
    </row>
    <row r="57" spans="1:19">
      <c r="A57" s="1243"/>
      <c r="B57" s="1244"/>
      <c r="C57" s="961">
        <f t="shared" si="12"/>
        <v>1</v>
      </c>
      <c r="D57" s="1245"/>
      <c r="E57" s="961">
        <f t="shared" si="13"/>
        <v>1</v>
      </c>
      <c r="F57" s="1245"/>
      <c r="G57" s="961">
        <f t="shared" si="14"/>
        <v>1</v>
      </c>
      <c r="H57" s="1245"/>
      <c r="I57" s="961">
        <f t="shared" si="15"/>
        <v>1</v>
      </c>
      <c r="J57" s="1245"/>
      <c r="K57" s="961">
        <f t="shared" si="16"/>
        <v>1</v>
      </c>
      <c r="L57" s="1245"/>
      <c r="M57" s="961">
        <f t="shared" si="17"/>
        <v>1</v>
      </c>
      <c r="N57" s="1245"/>
      <c r="O57" s="961">
        <f t="shared" si="18"/>
        <v>1</v>
      </c>
      <c r="P57" s="1245"/>
      <c r="Q57" s="961">
        <f t="shared" si="19"/>
        <v>1</v>
      </c>
      <c r="R57" s="961">
        <f t="shared" si="20"/>
        <v>0</v>
      </c>
      <c r="S57" s="935">
        <f t="shared" si="21"/>
        <v>0</v>
      </c>
    </row>
    <row r="58" spans="1:19">
      <c r="A58" s="1243"/>
      <c r="B58" s="1244"/>
      <c r="C58" s="961">
        <f t="shared" si="12"/>
        <v>1</v>
      </c>
      <c r="D58" s="1245"/>
      <c r="E58" s="961">
        <f t="shared" si="13"/>
        <v>1</v>
      </c>
      <c r="F58" s="1245"/>
      <c r="G58" s="961">
        <f t="shared" si="14"/>
        <v>1</v>
      </c>
      <c r="H58" s="1245"/>
      <c r="I58" s="961">
        <f t="shared" si="15"/>
        <v>1</v>
      </c>
      <c r="J58" s="1245"/>
      <c r="K58" s="961">
        <f t="shared" si="16"/>
        <v>1</v>
      </c>
      <c r="L58" s="1245"/>
      <c r="M58" s="961">
        <f t="shared" si="17"/>
        <v>1</v>
      </c>
      <c r="N58" s="1245"/>
      <c r="O58" s="961">
        <f t="shared" si="18"/>
        <v>1</v>
      </c>
      <c r="P58" s="1245"/>
      <c r="Q58" s="961">
        <f t="shared" si="19"/>
        <v>1</v>
      </c>
      <c r="R58" s="961">
        <f t="shared" si="20"/>
        <v>0</v>
      </c>
      <c r="S58" s="935">
        <f t="shared" si="21"/>
        <v>0</v>
      </c>
    </row>
    <row r="59" spans="1:19">
      <c r="A59" s="1243"/>
      <c r="B59" s="1244"/>
      <c r="C59" s="961">
        <f t="shared" si="12"/>
        <v>1</v>
      </c>
      <c r="D59" s="1245"/>
      <c r="E59" s="961">
        <f t="shared" si="13"/>
        <v>1</v>
      </c>
      <c r="F59" s="1245"/>
      <c r="G59" s="961">
        <f t="shared" si="14"/>
        <v>1</v>
      </c>
      <c r="H59" s="1245"/>
      <c r="I59" s="961">
        <f t="shared" si="15"/>
        <v>1</v>
      </c>
      <c r="J59" s="1245"/>
      <c r="K59" s="961">
        <f t="shared" si="16"/>
        <v>1</v>
      </c>
      <c r="L59" s="1245"/>
      <c r="M59" s="961">
        <f t="shared" si="17"/>
        <v>1</v>
      </c>
      <c r="N59" s="1245"/>
      <c r="O59" s="961">
        <f t="shared" si="18"/>
        <v>1</v>
      </c>
      <c r="P59" s="1245"/>
      <c r="Q59" s="961">
        <f t="shared" si="19"/>
        <v>1</v>
      </c>
      <c r="R59" s="961">
        <f t="shared" si="20"/>
        <v>0</v>
      </c>
      <c r="S59" s="935">
        <f t="shared" si="21"/>
        <v>0</v>
      </c>
    </row>
    <row r="60" spans="1:19">
      <c r="A60" s="1243"/>
      <c r="B60" s="1244"/>
      <c r="C60" s="961">
        <f t="shared" si="12"/>
        <v>1</v>
      </c>
      <c r="D60" s="1245"/>
      <c r="E60" s="961">
        <f t="shared" si="13"/>
        <v>1</v>
      </c>
      <c r="F60" s="1245"/>
      <c r="G60" s="961">
        <f t="shared" si="14"/>
        <v>1</v>
      </c>
      <c r="H60" s="1245"/>
      <c r="I60" s="961">
        <f t="shared" si="15"/>
        <v>1</v>
      </c>
      <c r="J60" s="1245"/>
      <c r="K60" s="961">
        <f t="shared" si="16"/>
        <v>1</v>
      </c>
      <c r="L60" s="1245"/>
      <c r="M60" s="961">
        <f t="shared" si="17"/>
        <v>1</v>
      </c>
      <c r="N60" s="1245"/>
      <c r="O60" s="961">
        <f t="shared" si="18"/>
        <v>1</v>
      </c>
      <c r="P60" s="1245"/>
      <c r="Q60" s="961">
        <f t="shared" si="19"/>
        <v>1</v>
      </c>
      <c r="R60" s="961">
        <f t="shared" si="20"/>
        <v>0</v>
      </c>
      <c r="S60" s="935">
        <f t="shared" si="21"/>
        <v>0</v>
      </c>
    </row>
    <row r="61" spans="1:19">
      <c r="A61" s="1243"/>
      <c r="B61" s="1244"/>
      <c r="C61" s="961">
        <f t="shared" si="12"/>
        <v>1</v>
      </c>
      <c r="D61" s="1245"/>
      <c r="E61" s="961">
        <f t="shared" si="13"/>
        <v>1</v>
      </c>
      <c r="F61" s="1245"/>
      <c r="G61" s="961">
        <f t="shared" si="14"/>
        <v>1</v>
      </c>
      <c r="H61" s="1245"/>
      <c r="I61" s="961">
        <f t="shared" si="15"/>
        <v>1</v>
      </c>
      <c r="J61" s="1245"/>
      <c r="K61" s="961">
        <f t="shared" si="16"/>
        <v>1</v>
      </c>
      <c r="L61" s="1245"/>
      <c r="M61" s="961">
        <f t="shared" si="17"/>
        <v>1</v>
      </c>
      <c r="N61" s="1245"/>
      <c r="O61" s="961">
        <f t="shared" si="18"/>
        <v>1</v>
      </c>
      <c r="P61" s="1245"/>
      <c r="Q61" s="961">
        <f t="shared" si="19"/>
        <v>1</v>
      </c>
      <c r="R61" s="961">
        <f t="shared" si="20"/>
        <v>0</v>
      </c>
      <c r="S61" s="935">
        <f t="shared" si="21"/>
        <v>0</v>
      </c>
    </row>
    <row r="62" spans="1:19">
      <c r="A62" s="1243"/>
      <c r="B62" s="1244"/>
      <c r="C62" s="961">
        <f t="shared" si="12"/>
        <v>1</v>
      </c>
      <c r="D62" s="1245"/>
      <c r="E62" s="961">
        <f t="shared" si="13"/>
        <v>1</v>
      </c>
      <c r="F62" s="1245"/>
      <c r="G62" s="961">
        <f t="shared" si="14"/>
        <v>1</v>
      </c>
      <c r="H62" s="1245"/>
      <c r="I62" s="961">
        <f t="shared" si="15"/>
        <v>1</v>
      </c>
      <c r="J62" s="1245"/>
      <c r="K62" s="961">
        <f t="shared" si="16"/>
        <v>1</v>
      </c>
      <c r="L62" s="1245"/>
      <c r="M62" s="961">
        <f t="shared" si="17"/>
        <v>1</v>
      </c>
      <c r="N62" s="1245"/>
      <c r="O62" s="961">
        <f t="shared" si="18"/>
        <v>1</v>
      </c>
      <c r="P62" s="1245"/>
      <c r="Q62" s="961">
        <f t="shared" si="19"/>
        <v>1</v>
      </c>
      <c r="R62" s="961">
        <f t="shared" si="20"/>
        <v>0</v>
      </c>
      <c r="S62" s="935">
        <f t="shared" si="21"/>
        <v>0</v>
      </c>
    </row>
    <row r="63" spans="1:19">
      <c r="A63" s="1243"/>
      <c r="B63" s="1244"/>
      <c r="C63" s="961">
        <f t="shared" si="12"/>
        <v>1</v>
      </c>
      <c r="D63" s="1245"/>
      <c r="E63" s="961">
        <f t="shared" si="13"/>
        <v>1</v>
      </c>
      <c r="F63" s="1245"/>
      <c r="G63" s="961">
        <f t="shared" si="14"/>
        <v>1</v>
      </c>
      <c r="H63" s="1245"/>
      <c r="I63" s="961">
        <f t="shared" si="15"/>
        <v>1</v>
      </c>
      <c r="J63" s="1245"/>
      <c r="K63" s="961">
        <f t="shared" si="16"/>
        <v>1</v>
      </c>
      <c r="L63" s="1245"/>
      <c r="M63" s="961">
        <f t="shared" si="17"/>
        <v>1</v>
      </c>
      <c r="N63" s="1245"/>
      <c r="O63" s="961">
        <f t="shared" si="18"/>
        <v>1</v>
      </c>
      <c r="P63" s="1245"/>
      <c r="Q63" s="961">
        <f t="shared" si="19"/>
        <v>1</v>
      </c>
      <c r="R63" s="961">
        <f t="shared" si="20"/>
        <v>0</v>
      </c>
      <c r="S63" s="935">
        <f t="shared" si="21"/>
        <v>0</v>
      </c>
    </row>
    <row r="64" spans="1:19">
      <c r="A64" s="1243"/>
      <c r="B64" s="1244"/>
      <c r="C64" s="961">
        <f t="shared" si="12"/>
        <v>1</v>
      </c>
      <c r="D64" s="1245"/>
      <c r="E64" s="961">
        <f t="shared" si="13"/>
        <v>1</v>
      </c>
      <c r="F64" s="1245"/>
      <c r="G64" s="961">
        <f t="shared" si="14"/>
        <v>1</v>
      </c>
      <c r="H64" s="1245"/>
      <c r="I64" s="961">
        <f t="shared" si="15"/>
        <v>1</v>
      </c>
      <c r="J64" s="1245"/>
      <c r="K64" s="961">
        <f t="shared" si="16"/>
        <v>1</v>
      </c>
      <c r="L64" s="1245"/>
      <c r="M64" s="961">
        <f t="shared" si="17"/>
        <v>1</v>
      </c>
      <c r="N64" s="1245"/>
      <c r="O64" s="961">
        <f t="shared" si="18"/>
        <v>1</v>
      </c>
      <c r="P64" s="1245"/>
      <c r="Q64" s="961">
        <f t="shared" si="19"/>
        <v>1</v>
      </c>
      <c r="R64" s="961">
        <f t="shared" si="20"/>
        <v>0</v>
      </c>
      <c r="S64" s="935">
        <f t="shared" si="21"/>
        <v>0</v>
      </c>
    </row>
    <row r="65" spans="1:19">
      <c r="A65" s="1243"/>
      <c r="B65" s="1244"/>
      <c r="C65" s="961">
        <f t="shared" si="12"/>
        <v>1</v>
      </c>
      <c r="D65" s="1245"/>
      <c r="E65" s="961">
        <f t="shared" si="13"/>
        <v>1</v>
      </c>
      <c r="F65" s="1245"/>
      <c r="G65" s="961">
        <f t="shared" si="14"/>
        <v>1</v>
      </c>
      <c r="H65" s="1245"/>
      <c r="I65" s="961">
        <f t="shared" si="15"/>
        <v>1</v>
      </c>
      <c r="J65" s="1245"/>
      <c r="K65" s="961">
        <f t="shared" si="16"/>
        <v>1</v>
      </c>
      <c r="L65" s="1245"/>
      <c r="M65" s="961">
        <f t="shared" si="17"/>
        <v>1</v>
      </c>
      <c r="N65" s="1245"/>
      <c r="O65" s="961">
        <f t="shared" si="18"/>
        <v>1</v>
      </c>
      <c r="P65" s="1245"/>
      <c r="Q65" s="961">
        <f t="shared" si="19"/>
        <v>1</v>
      </c>
      <c r="R65" s="961">
        <f t="shared" si="20"/>
        <v>0</v>
      </c>
      <c r="S65" s="935">
        <f t="shared" si="21"/>
        <v>0</v>
      </c>
    </row>
    <row r="66" spans="1:19">
      <c r="A66" s="1243"/>
      <c r="B66" s="1244"/>
      <c r="C66" s="961">
        <f t="shared" si="12"/>
        <v>1</v>
      </c>
      <c r="D66" s="1245"/>
      <c r="E66" s="961">
        <f t="shared" si="13"/>
        <v>1</v>
      </c>
      <c r="F66" s="1245"/>
      <c r="G66" s="961">
        <f t="shared" si="14"/>
        <v>1</v>
      </c>
      <c r="H66" s="1245"/>
      <c r="I66" s="961">
        <f t="shared" si="15"/>
        <v>1</v>
      </c>
      <c r="J66" s="1245"/>
      <c r="K66" s="961">
        <f t="shared" si="16"/>
        <v>1</v>
      </c>
      <c r="L66" s="1245"/>
      <c r="M66" s="961">
        <f t="shared" si="17"/>
        <v>1</v>
      </c>
      <c r="N66" s="1245"/>
      <c r="O66" s="961">
        <f t="shared" si="18"/>
        <v>1</v>
      </c>
      <c r="P66" s="1245"/>
      <c r="Q66" s="961">
        <f t="shared" si="19"/>
        <v>1</v>
      </c>
      <c r="R66" s="961">
        <f t="shared" si="20"/>
        <v>0</v>
      </c>
      <c r="S66" s="935">
        <f t="shared" si="21"/>
        <v>0</v>
      </c>
    </row>
    <row r="67" spans="1:19">
      <c r="A67" s="1243"/>
      <c r="B67" s="1244"/>
      <c r="C67" s="961">
        <f t="shared" si="12"/>
        <v>1</v>
      </c>
      <c r="D67" s="1245"/>
      <c r="E67" s="961">
        <f t="shared" si="13"/>
        <v>1</v>
      </c>
      <c r="F67" s="1245"/>
      <c r="G67" s="961">
        <f t="shared" si="14"/>
        <v>1</v>
      </c>
      <c r="H67" s="1245"/>
      <c r="I67" s="961">
        <f t="shared" si="15"/>
        <v>1</v>
      </c>
      <c r="J67" s="1245"/>
      <c r="K67" s="961">
        <f t="shared" si="16"/>
        <v>1</v>
      </c>
      <c r="L67" s="1245"/>
      <c r="M67" s="961">
        <f t="shared" si="17"/>
        <v>1</v>
      </c>
      <c r="N67" s="1245"/>
      <c r="O67" s="961">
        <f t="shared" si="18"/>
        <v>1</v>
      </c>
      <c r="P67" s="1245"/>
      <c r="Q67" s="961">
        <f t="shared" si="19"/>
        <v>1</v>
      </c>
      <c r="R67" s="961">
        <f t="shared" si="20"/>
        <v>0</v>
      </c>
      <c r="S67" s="935">
        <f t="shared" si="21"/>
        <v>0</v>
      </c>
    </row>
    <row r="68" spans="1:19">
      <c r="A68" s="1243"/>
      <c r="B68" s="1244"/>
      <c r="C68" s="961">
        <f t="shared" si="12"/>
        <v>1</v>
      </c>
      <c r="D68" s="1245"/>
      <c r="E68" s="961">
        <f t="shared" si="13"/>
        <v>1</v>
      </c>
      <c r="F68" s="1245"/>
      <c r="G68" s="961">
        <f t="shared" si="14"/>
        <v>1</v>
      </c>
      <c r="H68" s="1245"/>
      <c r="I68" s="961">
        <f t="shared" si="15"/>
        <v>1</v>
      </c>
      <c r="J68" s="1245"/>
      <c r="K68" s="961">
        <f t="shared" si="16"/>
        <v>1</v>
      </c>
      <c r="L68" s="1245"/>
      <c r="M68" s="961">
        <f t="shared" si="17"/>
        <v>1</v>
      </c>
      <c r="N68" s="1245"/>
      <c r="O68" s="961">
        <f t="shared" si="18"/>
        <v>1</v>
      </c>
      <c r="P68" s="1245"/>
      <c r="Q68" s="961">
        <f t="shared" si="19"/>
        <v>1</v>
      </c>
      <c r="R68" s="961">
        <f t="shared" si="20"/>
        <v>0</v>
      </c>
      <c r="S68" s="935">
        <f t="shared" si="21"/>
        <v>0</v>
      </c>
    </row>
    <row r="69" spans="1:19">
      <c r="A69" s="1243"/>
      <c r="B69" s="1244"/>
      <c r="C69" s="961">
        <f t="shared" si="12"/>
        <v>1</v>
      </c>
      <c r="D69" s="1245"/>
      <c r="E69" s="961">
        <f t="shared" si="13"/>
        <v>1</v>
      </c>
      <c r="F69" s="1245"/>
      <c r="G69" s="961">
        <f t="shared" si="14"/>
        <v>1</v>
      </c>
      <c r="H69" s="1245"/>
      <c r="I69" s="961">
        <f t="shared" si="15"/>
        <v>1</v>
      </c>
      <c r="J69" s="1245"/>
      <c r="K69" s="961">
        <f t="shared" si="16"/>
        <v>1</v>
      </c>
      <c r="L69" s="1245"/>
      <c r="M69" s="961">
        <f t="shared" si="17"/>
        <v>1</v>
      </c>
      <c r="N69" s="1245"/>
      <c r="O69" s="961">
        <f t="shared" si="18"/>
        <v>1</v>
      </c>
      <c r="P69" s="1245"/>
      <c r="Q69" s="961">
        <f t="shared" si="19"/>
        <v>1</v>
      </c>
      <c r="R69" s="961">
        <f t="shared" si="20"/>
        <v>0</v>
      </c>
      <c r="S69" s="935">
        <f t="shared" si="21"/>
        <v>0</v>
      </c>
    </row>
    <row r="70" spans="1:19">
      <c r="A70" s="1243"/>
      <c r="B70" s="1244"/>
      <c r="C70" s="961">
        <f t="shared" si="12"/>
        <v>1</v>
      </c>
      <c r="D70" s="1245"/>
      <c r="E70" s="961">
        <f t="shared" si="13"/>
        <v>1</v>
      </c>
      <c r="F70" s="1245"/>
      <c r="G70" s="961">
        <f t="shared" si="14"/>
        <v>1</v>
      </c>
      <c r="H70" s="1245"/>
      <c r="I70" s="961">
        <f t="shared" si="15"/>
        <v>1</v>
      </c>
      <c r="J70" s="1245"/>
      <c r="K70" s="961">
        <f t="shared" si="16"/>
        <v>1</v>
      </c>
      <c r="L70" s="1245"/>
      <c r="M70" s="961">
        <f t="shared" si="17"/>
        <v>1</v>
      </c>
      <c r="N70" s="1245"/>
      <c r="O70" s="961">
        <f t="shared" si="18"/>
        <v>1</v>
      </c>
      <c r="P70" s="1245"/>
      <c r="Q70" s="961">
        <f t="shared" si="19"/>
        <v>1</v>
      </c>
      <c r="R70" s="961">
        <f t="shared" si="20"/>
        <v>0</v>
      </c>
      <c r="S70" s="935">
        <f t="shared" si="21"/>
        <v>0</v>
      </c>
    </row>
    <row r="71" spans="1:19">
      <c r="A71" s="1243"/>
      <c r="B71" s="1244"/>
      <c r="C71" s="961">
        <f t="shared" si="12"/>
        <v>1</v>
      </c>
      <c r="D71" s="1245"/>
      <c r="E71" s="961">
        <f t="shared" si="13"/>
        <v>1</v>
      </c>
      <c r="F71" s="1245"/>
      <c r="G71" s="961">
        <f t="shared" si="14"/>
        <v>1</v>
      </c>
      <c r="H71" s="1245"/>
      <c r="I71" s="961">
        <f t="shared" si="15"/>
        <v>1</v>
      </c>
      <c r="J71" s="1245"/>
      <c r="K71" s="961">
        <f t="shared" si="16"/>
        <v>1</v>
      </c>
      <c r="L71" s="1245"/>
      <c r="M71" s="961">
        <f t="shared" si="17"/>
        <v>1</v>
      </c>
      <c r="N71" s="1245"/>
      <c r="O71" s="961">
        <f t="shared" si="18"/>
        <v>1</v>
      </c>
      <c r="P71" s="1245"/>
      <c r="Q71" s="961">
        <f t="shared" si="19"/>
        <v>1</v>
      </c>
      <c r="R71" s="961">
        <f t="shared" si="20"/>
        <v>0</v>
      </c>
      <c r="S71" s="935">
        <f t="shared" si="21"/>
        <v>0</v>
      </c>
    </row>
    <row r="72" spans="1:19">
      <c r="A72" s="1243"/>
      <c r="B72" s="1244"/>
      <c r="C72" s="961">
        <f t="shared" si="12"/>
        <v>1</v>
      </c>
      <c r="D72" s="1245"/>
      <c r="E72" s="961">
        <f t="shared" si="13"/>
        <v>1</v>
      </c>
      <c r="F72" s="1245"/>
      <c r="G72" s="961">
        <f t="shared" si="14"/>
        <v>1</v>
      </c>
      <c r="H72" s="1245"/>
      <c r="I72" s="961">
        <f t="shared" si="15"/>
        <v>1</v>
      </c>
      <c r="J72" s="1245"/>
      <c r="K72" s="961">
        <f t="shared" si="16"/>
        <v>1</v>
      </c>
      <c r="L72" s="1245"/>
      <c r="M72" s="961">
        <f t="shared" si="17"/>
        <v>1</v>
      </c>
      <c r="N72" s="1245"/>
      <c r="O72" s="961">
        <f t="shared" si="18"/>
        <v>1</v>
      </c>
      <c r="P72" s="1245"/>
      <c r="Q72" s="961">
        <f t="shared" si="19"/>
        <v>1</v>
      </c>
      <c r="R72" s="961">
        <f t="shared" si="20"/>
        <v>0</v>
      </c>
      <c r="S72" s="935">
        <f t="shared" si="21"/>
        <v>0</v>
      </c>
    </row>
    <row r="73" spans="1:19">
      <c r="A73" s="1243"/>
      <c r="B73" s="1244"/>
      <c r="C73" s="961">
        <f t="shared" si="12"/>
        <v>1</v>
      </c>
      <c r="D73" s="1245"/>
      <c r="E73" s="961">
        <f t="shared" si="13"/>
        <v>1</v>
      </c>
      <c r="F73" s="1245"/>
      <c r="G73" s="961">
        <f t="shared" si="14"/>
        <v>1</v>
      </c>
      <c r="H73" s="1245"/>
      <c r="I73" s="961">
        <f t="shared" si="15"/>
        <v>1</v>
      </c>
      <c r="J73" s="1245"/>
      <c r="K73" s="961">
        <f t="shared" si="16"/>
        <v>1</v>
      </c>
      <c r="L73" s="1245"/>
      <c r="M73" s="961">
        <f t="shared" si="17"/>
        <v>1</v>
      </c>
      <c r="N73" s="1245"/>
      <c r="O73" s="961">
        <f t="shared" si="18"/>
        <v>1</v>
      </c>
      <c r="P73" s="1245"/>
      <c r="Q73" s="961">
        <f t="shared" si="19"/>
        <v>1</v>
      </c>
      <c r="R73" s="961">
        <f t="shared" si="20"/>
        <v>0</v>
      </c>
      <c r="S73" s="935">
        <f t="shared" si="21"/>
        <v>0</v>
      </c>
    </row>
    <row r="74" spans="1:19">
      <c r="A74" s="1243"/>
      <c r="B74" s="1244"/>
      <c r="C74" s="961">
        <f t="shared" si="12"/>
        <v>1</v>
      </c>
      <c r="D74" s="1245"/>
      <c r="E74" s="961">
        <f t="shared" si="13"/>
        <v>1</v>
      </c>
      <c r="F74" s="1245"/>
      <c r="G74" s="961">
        <f t="shared" si="14"/>
        <v>1</v>
      </c>
      <c r="H74" s="1245"/>
      <c r="I74" s="961">
        <f t="shared" si="15"/>
        <v>1</v>
      </c>
      <c r="J74" s="1245"/>
      <c r="K74" s="961">
        <f t="shared" si="16"/>
        <v>1</v>
      </c>
      <c r="L74" s="1245"/>
      <c r="M74" s="961">
        <f t="shared" si="17"/>
        <v>1</v>
      </c>
      <c r="N74" s="1245"/>
      <c r="O74" s="961">
        <f t="shared" si="18"/>
        <v>1</v>
      </c>
      <c r="P74" s="1245"/>
      <c r="Q74" s="961">
        <f t="shared" si="19"/>
        <v>1</v>
      </c>
      <c r="R74" s="961">
        <f t="shared" si="20"/>
        <v>0</v>
      </c>
      <c r="S74" s="935">
        <f t="shared" si="21"/>
        <v>0</v>
      </c>
    </row>
    <row r="75" spans="1:19">
      <c r="A75" s="1243"/>
      <c r="B75" s="1244"/>
      <c r="C75" s="961">
        <f t="shared" si="12"/>
        <v>1</v>
      </c>
      <c r="D75" s="1245"/>
      <c r="E75" s="961">
        <f t="shared" si="13"/>
        <v>1</v>
      </c>
      <c r="F75" s="1245"/>
      <c r="G75" s="961">
        <f t="shared" si="14"/>
        <v>1</v>
      </c>
      <c r="H75" s="1245"/>
      <c r="I75" s="961">
        <f t="shared" si="15"/>
        <v>1</v>
      </c>
      <c r="J75" s="1245"/>
      <c r="K75" s="961">
        <f t="shared" si="16"/>
        <v>1</v>
      </c>
      <c r="L75" s="1245"/>
      <c r="M75" s="961">
        <f t="shared" si="17"/>
        <v>1</v>
      </c>
      <c r="N75" s="1245"/>
      <c r="O75" s="961">
        <f t="shared" si="18"/>
        <v>1</v>
      </c>
      <c r="P75" s="1245"/>
      <c r="Q75" s="961">
        <f t="shared" si="19"/>
        <v>1</v>
      </c>
      <c r="R75" s="961">
        <f t="shared" si="20"/>
        <v>0</v>
      </c>
      <c r="S75" s="935">
        <f t="shared" si="21"/>
        <v>0</v>
      </c>
    </row>
    <row r="76" spans="1:19">
      <c r="A76" s="1243"/>
      <c r="B76" s="1244"/>
      <c r="C76" s="961">
        <f t="shared" si="12"/>
        <v>1</v>
      </c>
      <c r="D76" s="1245"/>
      <c r="E76" s="961">
        <f t="shared" si="13"/>
        <v>1</v>
      </c>
      <c r="F76" s="1245"/>
      <c r="G76" s="961">
        <f t="shared" si="14"/>
        <v>1</v>
      </c>
      <c r="H76" s="1245"/>
      <c r="I76" s="961">
        <f t="shared" si="15"/>
        <v>1</v>
      </c>
      <c r="J76" s="1245"/>
      <c r="K76" s="961">
        <f t="shared" si="16"/>
        <v>1</v>
      </c>
      <c r="L76" s="1245"/>
      <c r="M76" s="961">
        <f t="shared" si="17"/>
        <v>1</v>
      </c>
      <c r="N76" s="1245"/>
      <c r="O76" s="961">
        <f t="shared" si="18"/>
        <v>1</v>
      </c>
      <c r="P76" s="1245"/>
      <c r="Q76" s="961">
        <f t="shared" si="19"/>
        <v>1</v>
      </c>
      <c r="R76" s="961">
        <f t="shared" si="20"/>
        <v>0</v>
      </c>
      <c r="S76" s="935">
        <f t="shared" si="21"/>
        <v>0</v>
      </c>
    </row>
    <row r="77" spans="1:19">
      <c r="A77" s="1243"/>
      <c r="B77" s="1244"/>
      <c r="C77" s="961">
        <f t="shared" si="12"/>
        <v>1</v>
      </c>
      <c r="D77" s="1245"/>
      <c r="E77" s="961">
        <f t="shared" si="13"/>
        <v>1</v>
      </c>
      <c r="F77" s="1245"/>
      <c r="G77" s="961">
        <f t="shared" si="14"/>
        <v>1</v>
      </c>
      <c r="H77" s="1245"/>
      <c r="I77" s="961">
        <f t="shared" si="15"/>
        <v>1</v>
      </c>
      <c r="J77" s="1245"/>
      <c r="K77" s="961">
        <f t="shared" si="16"/>
        <v>1</v>
      </c>
      <c r="L77" s="1245"/>
      <c r="M77" s="961">
        <f t="shared" si="17"/>
        <v>1</v>
      </c>
      <c r="N77" s="1245"/>
      <c r="O77" s="961">
        <f t="shared" si="18"/>
        <v>1</v>
      </c>
      <c r="P77" s="1245"/>
      <c r="Q77" s="961">
        <f t="shared" si="19"/>
        <v>1</v>
      </c>
      <c r="R77" s="961">
        <f t="shared" si="20"/>
        <v>0</v>
      </c>
      <c r="S77" s="935">
        <f t="shared" si="21"/>
        <v>0</v>
      </c>
    </row>
    <row r="78" spans="1:19">
      <c r="A78" s="1243"/>
      <c r="B78" s="1244"/>
      <c r="C78" s="961">
        <f t="shared" si="12"/>
        <v>1</v>
      </c>
      <c r="D78" s="1245"/>
      <c r="E78" s="961">
        <f t="shared" si="13"/>
        <v>1</v>
      </c>
      <c r="F78" s="1245"/>
      <c r="G78" s="961">
        <f t="shared" si="14"/>
        <v>1</v>
      </c>
      <c r="H78" s="1245"/>
      <c r="I78" s="961">
        <f t="shared" si="15"/>
        <v>1</v>
      </c>
      <c r="J78" s="1245"/>
      <c r="K78" s="961">
        <f t="shared" si="16"/>
        <v>1</v>
      </c>
      <c r="L78" s="1245"/>
      <c r="M78" s="961">
        <f t="shared" si="17"/>
        <v>1</v>
      </c>
      <c r="N78" s="1245"/>
      <c r="O78" s="961">
        <f t="shared" si="18"/>
        <v>1</v>
      </c>
      <c r="P78" s="1245"/>
      <c r="Q78" s="961">
        <f t="shared" si="19"/>
        <v>1</v>
      </c>
      <c r="R78" s="961">
        <f t="shared" si="20"/>
        <v>0</v>
      </c>
      <c r="S78" s="935">
        <f t="shared" ref="S78:S122" si="22">ROUND(R78*B78/10000,0)</f>
        <v>0</v>
      </c>
    </row>
    <row r="79" spans="1:19">
      <c r="A79" s="1243"/>
      <c r="B79" s="1244"/>
      <c r="C79" s="961">
        <f t="shared" si="12"/>
        <v>1</v>
      </c>
      <c r="D79" s="1245"/>
      <c r="E79" s="961">
        <f t="shared" si="13"/>
        <v>1</v>
      </c>
      <c r="F79" s="1245"/>
      <c r="G79" s="961">
        <f t="shared" si="14"/>
        <v>1</v>
      </c>
      <c r="H79" s="1245"/>
      <c r="I79" s="961">
        <f t="shared" si="15"/>
        <v>1</v>
      </c>
      <c r="J79" s="1245"/>
      <c r="K79" s="961">
        <f t="shared" si="16"/>
        <v>1</v>
      </c>
      <c r="L79" s="1245"/>
      <c r="M79" s="961">
        <f t="shared" si="17"/>
        <v>1</v>
      </c>
      <c r="N79" s="1245"/>
      <c r="O79" s="961">
        <f t="shared" si="18"/>
        <v>1</v>
      </c>
      <c r="P79" s="1245"/>
      <c r="Q79" s="961">
        <f t="shared" si="19"/>
        <v>1</v>
      </c>
      <c r="R79" s="961">
        <f t="shared" si="20"/>
        <v>0</v>
      </c>
      <c r="S79" s="935">
        <f t="shared" si="22"/>
        <v>0</v>
      </c>
    </row>
    <row r="80" spans="1:19">
      <c r="A80" s="1243"/>
      <c r="B80" s="1244"/>
      <c r="C80" s="961">
        <f t="shared" si="12"/>
        <v>1</v>
      </c>
      <c r="D80" s="1245"/>
      <c r="E80" s="961">
        <f t="shared" si="13"/>
        <v>1</v>
      </c>
      <c r="F80" s="1245"/>
      <c r="G80" s="961">
        <f t="shared" si="14"/>
        <v>1</v>
      </c>
      <c r="H80" s="1245"/>
      <c r="I80" s="961">
        <f t="shared" si="15"/>
        <v>1</v>
      </c>
      <c r="J80" s="1245"/>
      <c r="K80" s="961">
        <f t="shared" si="16"/>
        <v>1</v>
      </c>
      <c r="L80" s="1245"/>
      <c r="M80" s="961">
        <f t="shared" si="17"/>
        <v>1</v>
      </c>
      <c r="N80" s="1245"/>
      <c r="O80" s="961">
        <f t="shared" si="18"/>
        <v>1</v>
      </c>
      <c r="P80" s="1245"/>
      <c r="Q80" s="961">
        <f t="shared" si="19"/>
        <v>1</v>
      </c>
      <c r="R80" s="961">
        <f t="shared" si="20"/>
        <v>0</v>
      </c>
      <c r="S80" s="935">
        <f t="shared" si="22"/>
        <v>0</v>
      </c>
    </row>
    <row r="81" spans="1:19">
      <c r="A81" s="1243"/>
      <c r="B81" s="1244"/>
      <c r="C81" s="961">
        <f t="shared" si="12"/>
        <v>1</v>
      </c>
      <c r="D81" s="1245"/>
      <c r="E81" s="961">
        <f t="shared" si="13"/>
        <v>1</v>
      </c>
      <c r="F81" s="1245"/>
      <c r="G81" s="961">
        <f t="shared" si="14"/>
        <v>1</v>
      </c>
      <c r="H81" s="1245"/>
      <c r="I81" s="961">
        <f t="shared" si="15"/>
        <v>1</v>
      </c>
      <c r="J81" s="1245"/>
      <c r="K81" s="961">
        <f t="shared" si="16"/>
        <v>1</v>
      </c>
      <c r="L81" s="1245"/>
      <c r="M81" s="961">
        <f t="shared" si="17"/>
        <v>1</v>
      </c>
      <c r="N81" s="1245"/>
      <c r="O81" s="961">
        <f t="shared" si="18"/>
        <v>1</v>
      </c>
      <c r="P81" s="1245"/>
      <c r="Q81" s="961">
        <f t="shared" si="19"/>
        <v>1</v>
      </c>
      <c r="R81" s="961">
        <f t="shared" si="20"/>
        <v>0</v>
      </c>
      <c r="S81" s="935">
        <f t="shared" si="22"/>
        <v>0</v>
      </c>
    </row>
    <row r="82" spans="1:19">
      <c r="A82" s="1243"/>
      <c r="B82" s="1244"/>
      <c r="C82" s="961">
        <f t="shared" si="12"/>
        <v>1</v>
      </c>
      <c r="D82" s="1245"/>
      <c r="E82" s="961">
        <f t="shared" si="13"/>
        <v>1</v>
      </c>
      <c r="F82" s="1245"/>
      <c r="G82" s="961">
        <f t="shared" si="14"/>
        <v>1</v>
      </c>
      <c r="H82" s="1245"/>
      <c r="I82" s="961">
        <f t="shared" si="15"/>
        <v>1</v>
      </c>
      <c r="J82" s="1245"/>
      <c r="K82" s="961">
        <f t="shared" si="16"/>
        <v>1</v>
      </c>
      <c r="L82" s="1245"/>
      <c r="M82" s="961">
        <f t="shared" si="17"/>
        <v>1</v>
      </c>
      <c r="N82" s="1245"/>
      <c r="O82" s="961">
        <f t="shared" si="18"/>
        <v>1</v>
      </c>
      <c r="P82" s="1245"/>
      <c r="Q82" s="961">
        <f t="shared" si="19"/>
        <v>1</v>
      </c>
      <c r="R82" s="961">
        <f t="shared" si="20"/>
        <v>0</v>
      </c>
      <c r="S82" s="935">
        <f t="shared" si="22"/>
        <v>0</v>
      </c>
    </row>
    <row r="83" spans="1:19">
      <c r="A83" s="1243"/>
      <c r="B83" s="1244"/>
      <c r="C83" s="961">
        <f t="shared" si="12"/>
        <v>1</v>
      </c>
      <c r="D83" s="1245"/>
      <c r="E83" s="961">
        <f t="shared" si="13"/>
        <v>1</v>
      </c>
      <c r="F83" s="1245"/>
      <c r="G83" s="961">
        <f t="shared" si="14"/>
        <v>1</v>
      </c>
      <c r="H83" s="1245"/>
      <c r="I83" s="961">
        <f t="shared" si="15"/>
        <v>1</v>
      </c>
      <c r="J83" s="1245"/>
      <c r="K83" s="961">
        <f t="shared" si="16"/>
        <v>1</v>
      </c>
      <c r="L83" s="1245"/>
      <c r="M83" s="961">
        <f t="shared" si="17"/>
        <v>1</v>
      </c>
      <c r="N83" s="1245"/>
      <c r="O83" s="961">
        <f t="shared" si="18"/>
        <v>1</v>
      </c>
      <c r="P83" s="1245"/>
      <c r="Q83" s="961">
        <f t="shared" si="19"/>
        <v>1</v>
      </c>
      <c r="R83" s="961">
        <f t="shared" si="20"/>
        <v>0</v>
      </c>
      <c r="S83" s="935">
        <f t="shared" si="22"/>
        <v>0</v>
      </c>
    </row>
    <row r="84" spans="1:19">
      <c r="A84" s="1243"/>
      <c r="B84" s="1244"/>
      <c r="C84" s="961">
        <f t="shared" si="12"/>
        <v>1</v>
      </c>
      <c r="D84" s="1245"/>
      <c r="E84" s="961">
        <f t="shared" si="13"/>
        <v>1</v>
      </c>
      <c r="F84" s="1245"/>
      <c r="G84" s="961">
        <f t="shared" si="14"/>
        <v>1</v>
      </c>
      <c r="H84" s="1245"/>
      <c r="I84" s="961">
        <f t="shared" si="15"/>
        <v>1</v>
      </c>
      <c r="J84" s="1245"/>
      <c r="K84" s="961">
        <f t="shared" si="16"/>
        <v>1</v>
      </c>
      <c r="L84" s="1245"/>
      <c r="M84" s="961">
        <f t="shared" si="17"/>
        <v>1</v>
      </c>
      <c r="N84" s="1245"/>
      <c r="O84" s="961">
        <f t="shared" si="18"/>
        <v>1</v>
      </c>
      <c r="P84" s="1245"/>
      <c r="Q84" s="961">
        <f t="shared" si="19"/>
        <v>1</v>
      </c>
      <c r="R84" s="961">
        <f t="shared" si="20"/>
        <v>0</v>
      </c>
      <c r="S84" s="935">
        <f t="shared" si="22"/>
        <v>0</v>
      </c>
    </row>
    <row r="85" spans="1:19">
      <c r="A85" s="1243"/>
      <c r="B85" s="1244"/>
      <c r="C85" s="961">
        <f t="shared" si="12"/>
        <v>1</v>
      </c>
      <c r="D85" s="1245"/>
      <c r="E85" s="961">
        <f t="shared" si="13"/>
        <v>1</v>
      </c>
      <c r="F85" s="1245"/>
      <c r="G85" s="961">
        <f t="shared" si="14"/>
        <v>1</v>
      </c>
      <c r="H85" s="1245"/>
      <c r="I85" s="961">
        <f t="shared" si="15"/>
        <v>1</v>
      </c>
      <c r="J85" s="1245"/>
      <c r="K85" s="961">
        <f t="shared" si="16"/>
        <v>1</v>
      </c>
      <c r="L85" s="1245"/>
      <c r="M85" s="961">
        <f t="shared" si="17"/>
        <v>1</v>
      </c>
      <c r="N85" s="1245"/>
      <c r="O85" s="961">
        <f t="shared" si="18"/>
        <v>1</v>
      </c>
      <c r="P85" s="1245"/>
      <c r="Q85" s="961">
        <f t="shared" si="19"/>
        <v>1</v>
      </c>
      <c r="R85" s="961">
        <f t="shared" si="20"/>
        <v>0</v>
      </c>
      <c r="S85" s="935">
        <f t="shared" si="22"/>
        <v>0</v>
      </c>
    </row>
    <row r="86" spans="1:19">
      <c r="A86" s="1243"/>
      <c r="B86" s="1244"/>
      <c r="C86" s="961">
        <f t="shared" si="12"/>
        <v>1</v>
      </c>
      <c r="D86" s="1245"/>
      <c r="E86" s="961">
        <f t="shared" si="13"/>
        <v>1</v>
      </c>
      <c r="F86" s="1245"/>
      <c r="G86" s="961">
        <f t="shared" si="14"/>
        <v>1</v>
      </c>
      <c r="H86" s="1245"/>
      <c r="I86" s="961">
        <f t="shared" si="15"/>
        <v>1</v>
      </c>
      <c r="J86" s="1245"/>
      <c r="K86" s="961">
        <f t="shared" si="16"/>
        <v>1</v>
      </c>
      <c r="L86" s="1245"/>
      <c r="M86" s="961">
        <f t="shared" si="17"/>
        <v>1</v>
      </c>
      <c r="N86" s="1245"/>
      <c r="O86" s="961">
        <f t="shared" si="18"/>
        <v>1</v>
      </c>
      <c r="P86" s="1245"/>
      <c r="Q86" s="961">
        <f t="shared" si="19"/>
        <v>1</v>
      </c>
      <c r="R86" s="961">
        <f t="shared" si="20"/>
        <v>0</v>
      </c>
      <c r="S86" s="935">
        <f t="shared" si="22"/>
        <v>0</v>
      </c>
    </row>
    <row r="87" spans="1:19">
      <c r="A87" s="1243"/>
      <c r="B87" s="1244"/>
      <c r="C87" s="961">
        <f t="shared" si="12"/>
        <v>1</v>
      </c>
      <c r="D87" s="1245"/>
      <c r="E87" s="961">
        <f t="shared" si="13"/>
        <v>1</v>
      </c>
      <c r="F87" s="1245"/>
      <c r="G87" s="961">
        <f t="shared" si="14"/>
        <v>1</v>
      </c>
      <c r="H87" s="1245"/>
      <c r="I87" s="961">
        <f t="shared" si="15"/>
        <v>1</v>
      </c>
      <c r="J87" s="1245"/>
      <c r="K87" s="961">
        <f t="shared" si="16"/>
        <v>1</v>
      </c>
      <c r="L87" s="1245"/>
      <c r="M87" s="961">
        <f t="shared" si="17"/>
        <v>1</v>
      </c>
      <c r="N87" s="1245"/>
      <c r="O87" s="961">
        <f t="shared" si="18"/>
        <v>1</v>
      </c>
      <c r="P87" s="1245"/>
      <c r="Q87" s="961">
        <f t="shared" si="19"/>
        <v>1</v>
      </c>
      <c r="R87" s="961">
        <f t="shared" si="20"/>
        <v>0</v>
      </c>
      <c r="S87" s="935">
        <f t="shared" si="22"/>
        <v>0</v>
      </c>
    </row>
    <row r="88" spans="1:19">
      <c r="A88" s="1243"/>
      <c r="B88" s="1244"/>
      <c r="C88" s="961">
        <f t="shared" si="12"/>
        <v>1</v>
      </c>
      <c r="D88" s="1245"/>
      <c r="E88" s="961">
        <f t="shared" si="13"/>
        <v>1</v>
      </c>
      <c r="F88" s="1245"/>
      <c r="G88" s="961">
        <f t="shared" si="14"/>
        <v>1</v>
      </c>
      <c r="H88" s="1245"/>
      <c r="I88" s="961">
        <f t="shared" si="15"/>
        <v>1</v>
      </c>
      <c r="J88" s="1245"/>
      <c r="K88" s="961">
        <f t="shared" si="16"/>
        <v>1</v>
      </c>
      <c r="L88" s="1245"/>
      <c r="M88" s="961">
        <f t="shared" si="17"/>
        <v>1</v>
      </c>
      <c r="N88" s="1245"/>
      <c r="O88" s="961">
        <f t="shared" si="18"/>
        <v>1</v>
      </c>
      <c r="P88" s="1245"/>
      <c r="Q88" s="961">
        <f t="shared" si="19"/>
        <v>1</v>
      </c>
      <c r="R88" s="961">
        <f t="shared" si="20"/>
        <v>0</v>
      </c>
      <c r="S88" s="935">
        <f t="shared" si="22"/>
        <v>0</v>
      </c>
    </row>
    <row r="89" spans="1:19">
      <c r="A89" s="1243"/>
      <c r="B89" s="1244"/>
      <c r="C89" s="961">
        <f t="shared" si="12"/>
        <v>1</v>
      </c>
      <c r="D89" s="1245"/>
      <c r="E89" s="961">
        <f t="shared" si="13"/>
        <v>1</v>
      </c>
      <c r="F89" s="1245"/>
      <c r="G89" s="961">
        <f t="shared" si="14"/>
        <v>1</v>
      </c>
      <c r="H89" s="1245"/>
      <c r="I89" s="961">
        <f t="shared" si="15"/>
        <v>1</v>
      </c>
      <c r="J89" s="1245"/>
      <c r="K89" s="961">
        <f t="shared" si="16"/>
        <v>1</v>
      </c>
      <c r="L89" s="1245"/>
      <c r="M89" s="961">
        <f t="shared" si="17"/>
        <v>1</v>
      </c>
      <c r="N89" s="1245"/>
      <c r="O89" s="961">
        <f t="shared" si="18"/>
        <v>1</v>
      </c>
      <c r="P89" s="1245"/>
      <c r="Q89" s="961">
        <f t="shared" si="19"/>
        <v>1</v>
      </c>
      <c r="R89" s="961">
        <f t="shared" si="20"/>
        <v>0</v>
      </c>
      <c r="S89" s="935">
        <f t="shared" si="22"/>
        <v>0</v>
      </c>
    </row>
    <row r="90" spans="1:19">
      <c r="A90" s="1243"/>
      <c r="B90" s="1244"/>
      <c r="C90" s="961">
        <f t="shared" ref="C90:C153" si="23">IF(B90="",1,(LOOKUP(B90,$3:$3,$4:$4)-LOOKUP($B$24,$3:$3,$4:$4)+100)/100)</f>
        <v>1</v>
      </c>
      <c r="D90" s="1245"/>
      <c r="E90" s="961">
        <f t="shared" ref="E90:E153" si="24">(SUMIF($5:$5,D90,$6:$6)-SUMIF($5:$5,$D$24,$6:$6)+100)/100</f>
        <v>1</v>
      </c>
      <c r="F90" s="1245"/>
      <c r="G90" s="961">
        <f t="shared" ref="G90:G153" si="25">(SUMIF($7:$7,F90,$8:$8)-SUMIF($7:$7,$F$24,$8:$8)+100)/100</f>
        <v>1</v>
      </c>
      <c r="H90" s="1245"/>
      <c r="I90" s="961">
        <f t="shared" ref="I90:I153" si="26">(SUMIF($9:$9,H90,$10:$10)-SUMIF($9:$9,$H$24,$10:$10)+100)/100</f>
        <v>1</v>
      </c>
      <c r="J90" s="1245"/>
      <c r="K90" s="961">
        <f t="shared" ref="K90:K153" si="27">(SUMIF($11:$11,J90,$12:$12)-SUMIF($11:$11,$J$24,$12:$12)+100)/100</f>
        <v>1</v>
      </c>
      <c r="L90" s="1245"/>
      <c r="M90" s="961">
        <f t="shared" ref="M90:M153" si="28">(SUMIF($13:$13,L90,$14:$14)-SUMIF($13:$13,$L$24,$14:$14)+100)/100</f>
        <v>1</v>
      </c>
      <c r="N90" s="1245"/>
      <c r="O90" s="961">
        <f t="shared" ref="O90:O153" si="29">(SUMIF($15:$15,N90,$16:$16)-SUMIF($15:$15,$N$24,$16:$16)+100)/100</f>
        <v>1</v>
      </c>
      <c r="P90" s="1245"/>
      <c r="Q90" s="961">
        <f t="shared" ref="Q90:Q153" si="30">(SUMIF($17:$17,P90,$18:$18)-SUMIF($17:$17,$P$24,$18:$18)+100)/100</f>
        <v>1</v>
      </c>
      <c r="R90" s="961">
        <f t="shared" ref="R90:R153" si="31">IF(B90="",0,ROUND($R$24*C90*E90*G90*I90*K90*M90*O90*Q90,0))</f>
        <v>0</v>
      </c>
      <c r="S90" s="935">
        <f t="shared" si="22"/>
        <v>0</v>
      </c>
    </row>
    <row r="91" spans="1:19">
      <c r="A91" s="1243"/>
      <c r="B91" s="1244"/>
      <c r="C91" s="961">
        <f t="shared" si="23"/>
        <v>1</v>
      </c>
      <c r="D91" s="1245"/>
      <c r="E91" s="961">
        <f t="shared" si="24"/>
        <v>1</v>
      </c>
      <c r="F91" s="1245"/>
      <c r="G91" s="961">
        <f t="shared" si="25"/>
        <v>1</v>
      </c>
      <c r="H91" s="1245"/>
      <c r="I91" s="961">
        <f t="shared" si="26"/>
        <v>1</v>
      </c>
      <c r="J91" s="1245"/>
      <c r="K91" s="961">
        <f t="shared" si="27"/>
        <v>1</v>
      </c>
      <c r="L91" s="1245"/>
      <c r="M91" s="961">
        <f t="shared" si="28"/>
        <v>1</v>
      </c>
      <c r="N91" s="1245"/>
      <c r="O91" s="961">
        <f t="shared" si="29"/>
        <v>1</v>
      </c>
      <c r="P91" s="1245"/>
      <c r="Q91" s="961">
        <f t="shared" si="30"/>
        <v>1</v>
      </c>
      <c r="R91" s="961">
        <f t="shared" si="31"/>
        <v>0</v>
      </c>
      <c r="S91" s="935">
        <f t="shared" si="22"/>
        <v>0</v>
      </c>
    </row>
    <row r="92" spans="1:19">
      <c r="A92" s="1243"/>
      <c r="B92" s="1244"/>
      <c r="C92" s="961">
        <f t="shared" si="23"/>
        <v>1</v>
      </c>
      <c r="D92" s="1245"/>
      <c r="E92" s="961">
        <f t="shared" si="24"/>
        <v>1</v>
      </c>
      <c r="F92" s="1245"/>
      <c r="G92" s="961">
        <f t="shared" si="25"/>
        <v>1</v>
      </c>
      <c r="H92" s="1245"/>
      <c r="I92" s="961">
        <f t="shared" si="26"/>
        <v>1</v>
      </c>
      <c r="J92" s="1245"/>
      <c r="K92" s="961">
        <f t="shared" si="27"/>
        <v>1</v>
      </c>
      <c r="L92" s="1245"/>
      <c r="M92" s="961">
        <f t="shared" si="28"/>
        <v>1</v>
      </c>
      <c r="N92" s="1245"/>
      <c r="O92" s="961">
        <f t="shared" si="29"/>
        <v>1</v>
      </c>
      <c r="P92" s="1245"/>
      <c r="Q92" s="961">
        <f t="shared" si="30"/>
        <v>1</v>
      </c>
      <c r="R92" s="961">
        <f t="shared" si="31"/>
        <v>0</v>
      </c>
      <c r="S92" s="935">
        <f t="shared" si="22"/>
        <v>0</v>
      </c>
    </row>
    <row r="93" spans="1:19">
      <c r="A93" s="1243"/>
      <c r="B93" s="1244"/>
      <c r="C93" s="961">
        <f t="shared" si="23"/>
        <v>1</v>
      </c>
      <c r="D93" s="1245"/>
      <c r="E93" s="961">
        <f t="shared" si="24"/>
        <v>1</v>
      </c>
      <c r="F93" s="1245"/>
      <c r="G93" s="961">
        <f t="shared" si="25"/>
        <v>1</v>
      </c>
      <c r="H93" s="1245"/>
      <c r="I93" s="961">
        <f t="shared" si="26"/>
        <v>1</v>
      </c>
      <c r="J93" s="1245"/>
      <c r="K93" s="961">
        <f t="shared" si="27"/>
        <v>1</v>
      </c>
      <c r="L93" s="1245"/>
      <c r="M93" s="961">
        <f t="shared" si="28"/>
        <v>1</v>
      </c>
      <c r="N93" s="1245"/>
      <c r="O93" s="961">
        <f t="shared" si="29"/>
        <v>1</v>
      </c>
      <c r="P93" s="1245"/>
      <c r="Q93" s="961">
        <f t="shared" si="30"/>
        <v>1</v>
      </c>
      <c r="R93" s="961">
        <f t="shared" si="31"/>
        <v>0</v>
      </c>
      <c r="S93" s="935">
        <f t="shared" si="22"/>
        <v>0</v>
      </c>
    </row>
    <row r="94" spans="1:19">
      <c r="A94" s="1243"/>
      <c r="B94" s="1244"/>
      <c r="C94" s="961">
        <f t="shared" si="23"/>
        <v>1</v>
      </c>
      <c r="D94" s="1245"/>
      <c r="E94" s="961">
        <f t="shared" si="24"/>
        <v>1</v>
      </c>
      <c r="F94" s="1245"/>
      <c r="G94" s="961">
        <f t="shared" si="25"/>
        <v>1</v>
      </c>
      <c r="H94" s="1245"/>
      <c r="I94" s="961">
        <f t="shared" si="26"/>
        <v>1</v>
      </c>
      <c r="J94" s="1245"/>
      <c r="K94" s="961">
        <f t="shared" si="27"/>
        <v>1</v>
      </c>
      <c r="L94" s="1245"/>
      <c r="M94" s="961">
        <f t="shared" si="28"/>
        <v>1</v>
      </c>
      <c r="N94" s="1245"/>
      <c r="O94" s="961">
        <f t="shared" si="29"/>
        <v>1</v>
      </c>
      <c r="P94" s="1245"/>
      <c r="Q94" s="961">
        <f t="shared" si="30"/>
        <v>1</v>
      </c>
      <c r="R94" s="961">
        <f t="shared" si="31"/>
        <v>0</v>
      </c>
      <c r="S94" s="935">
        <f t="shared" si="22"/>
        <v>0</v>
      </c>
    </row>
    <row r="95" spans="1:19">
      <c r="A95" s="1243"/>
      <c r="B95" s="1244"/>
      <c r="C95" s="961">
        <f t="shared" si="23"/>
        <v>1</v>
      </c>
      <c r="D95" s="1245"/>
      <c r="E95" s="961">
        <f t="shared" si="24"/>
        <v>1</v>
      </c>
      <c r="F95" s="1245"/>
      <c r="G95" s="961">
        <f t="shared" si="25"/>
        <v>1</v>
      </c>
      <c r="H95" s="1245"/>
      <c r="I95" s="961">
        <f t="shared" si="26"/>
        <v>1</v>
      </c>
      <c r="J95" s="1245"/>
      <c r="K95" s="961">
        <f t="shared" si="27"/>
        <v>1</v>
      </c>
      <c r="L95" s="1245"/>
      <c r="M95" s="961">
        <f t="shared" si="28"/>
        <v>1</v>
      </c>
      <c r="N95" s="1245"/>
      <c r="O95" s="961">
        <f t="shared" si="29"/>
        <v>1</v>
      </c>
      <c r="P95" s="1245"/>
      <c r="Q95" s="961">
        <f t="shared" si="30"/>
        <v>1</v>
      </c>
      <c r="R95" s="961">
        <f t="shared" si="31"/>
        <v>0</v>
      </c>
      <c r="S95" s="935">
        <f t="shared" si="22"/>
        <v>0</v>
      </c>
    </row>
    <row r="96" spans="1:19">
      <c r="A96" s="1243"/>
      <c r="B96" s="1244"/>
      <c r="C96" s="961">
        <f t="shared" si="23"/>
        <v>1</v>
      </c>
      <c r="D96" s="1245"/>
      <c r="E96" s="961">
        <f t="shared" si="24"/>
        <v>1</v>
      </c>
      <c r="F96" s="1245"/>
      <c r="G96" s="961">
        <f t="shared" si="25"/>
        <v>1</v>
      </c>
      <c r="H96" s="1245"/>
      <c r="I96" s="961">
        <f t="shared" si="26"/>
        <v>1</v>
      </c>
      <c r="J96" s="1245"/>
      <c r="K96" s="961">
        <f t="shared" si="27"/>
        <v>1</v>
      </c>
      <c r="L96" s="1245"/>
      <c r="M96" s="961">
        <f t="shared" si="28"/>
        <v>1</v>
      </c>
      <c r="N96" s="1245"/>
      <c r="O96" s="961">
        <f t="shared" si="29"/>
        <v>1</v>
      </c>
      <c r="P96" s="1245"/>
      <c r="Q96" s="961">
        <f t="shared" si="30"/>
        <v>1</v>
      </c>
      <c r="R96" s="961">
        <f t="shared" si="31"/>
        <v>0</v>
      </c>
      <c r="S96" s="935">
        <f t="shared" si="22"/>
        <v>0</v>
      </c>
    </row>
    <row r="97" spans="1:19">
      <c r="A97" s="1243"/>
      <c r="B97" s="1244"/>
      <c r="C97" s="961">
        <f t="shared" si="23"/>
        <v>1</v>
      </c>
      <c r="D97" s="1245"/>
      <c r="E97" s="961">
        <f t="shared" si="24"/>
        <v>1</v>
      </c>
      <c r="F97" s="1245"/>
      <c r="G97" s="961">
        <f t="shared" si="25"/>
        <v>1</v>
      </c>
      <c r="H97" s="1245"/>
      <c r="I97" s="961">
        <f t="shared" si="26"/>
        <v>1</v>
      </c>
      <c r="J97" s="1245"/>
      <c r="K97" s="961">
        <f t="shared" si="27"/>
        <v>1</v>
      </c>
      <c r="L97" s="1245"/>
      <c r="M97" s="961">
        <f t="shared" si="28"/>
        <v>1</v>
      </c>
      <c r="N97" s="1245"/>
      <c r="O97" s="961">
        <f t="shared" si="29"/>
        <v>1</v>
      </c>
      <c r="P97" s="1245"/>
      <c r="Q97" s="961">
        <f t="shared" si="30"/>
        <v>1</v>
      </c>
      <c r="R97" s="961">
        <f t="shared" si="31"/>
        <v>0</v>
      </c>
      <c r="S97" s="935">
        <f t="shared" si="22"/>
        <v>0</v>
      </c>
    </row>
    <row r="98" spans="1:19">
      <c r="A98" s="1243"/>
      <c r="B98" s="1244"/>
      <c r="C98" s="961">
        <f t="shared" si="23"/>
        <v>1</v>
      </c>
      <c r="D98" s="1245"/>
      <c r="E98" s="961">
        <f t="shared" si="24"/>
        <v>1</v>
      </c>
      <c r="F98" s="1245"/>
      <c r="G98" s="961">
        <f t="shared" si="25"/>
        <v>1</v>
      </c>
      <c r="H98" s="1245"/>
      <c r="I98" s="961">
        <f t="shared" si="26"/>
        <v>1</v>
      </c>
      <c r="J98" s="1245"/>
      <c r="K98" s="961">
        <f t="shared" si="27"/>
        <v>1</v>
      </c>
      <c r="L98" s="1245"/>
      <c r="M98" s="961">
        <f t="shared" si="28"/>
        <v>1</v>
      </c>
      <c r="N98" s="1245"/>
      <c r="O98" s="961">
        <f t="shared" si="29"/>
        <v>1</v>
      </c>
      <c r="P98" s="1245"/>
      <c r="Q98" s="961">
        <f t="shared" si="30"/>
        <v>1</v>
      </c>
      <c r="R98" s="961">
        <f t="shared" si="31"/>
        <v>0</v>
      </c>
      <c r="S98" s="935">
        <f t="shared" si="22"/>
        <v>0</v>
      </c>
    </row>
    <row r="99" spans="1:19">
      <c r="A99" s="1243"/>
      <c r="B99" s="1244"/>
      <c r="C99" s="961">
        <f t="shared" si="23"/>
        <v>1</v>
      </c>
      <c r="D99" s="1245"/>
      <c r="E99" s="961">
        <f t="shared" si="24"/>
        <v>1</v>
      </c>
      <c r="F99" s="1245"/>
      <c r="G99" s="961">
        <f t="shared" si="25"/>
        <v>1</v>
      </c>
      <c r="H99" s="1245"/>
      <c r="I99" s="961">
        <f t="shared" si="26"/>
        <v>1</v>
      </c>
      <c r="J99" s="1245"/>
      <c r="K99" s="961">
        <f t="shared" si="27"/>
        <v>1</v>
      </c>
      <c r="L99" s="1245"/>
      <c r="M99" s="961">
        <f t="shared" si="28"/>
        <v>1</v>
      </c>
      <c r="N99" s="1245"/>
      <c r="O99" s="961">
        <f t="shared" si="29"/>
        <v>1</v>
      </c>
      <c r="P99" s="1245"/>
      <c r="Q99" s="961">
        <f t="shared" si="30"/>
        <v>1</v>
      </c>
      <c r="R99" s="961">
        <f t="shared" si="31"/>
        <v>0</v>
      </c>
      <c r="S99" s="935">
        <f t="shared" si="22"/>
        <v>0</v>
      </c>
    </row>
    <row r="100" spans="1:19">
      <c r="A100" s="1243"/>
      <c r="B100" s="1244"/>
      <c r="C100" s="961">
        <f t="shared" si="23"/>
        <v>1</v>
      </c>
      <c r="D100" s="1245"/>
      <c r="E100" s="961">
        <f t="shared" si="24"/>
        <v>1</v>
      </c>
      <c r="F100" s="1245"/>
      <c r="G100" s="961">
        <f t="shared" si="25"/>
        <v>1</v>
      </c>
      <c r="H100" s="1245"/>
      <c r="I100" s="961">
        <f t="shared" si="26"/>
        <v>1</v>
      </c>
      <c r="J100" s="1245"/>
      <c r="K100" s="961">
        <f t="shared" si="27"/>
        <v>1</v>
      </c>
      <c r="L100" s="1245"/>
      <c r="M100" s="961">
        <f t="shared" si="28"/>
        <v>1</v>
      </c>
      <c r="N100" s="1245"/>
      <c r="O100" s="961">
        <f t="shared" si="29"/>
        <v>1</v>
      </c>
      <c r="P100" s="1245"/>
      <c r="Q100" s="961">
        <f t="shared" si="30"/>
        <v>1</v>
      </c>
      <c r="R100" s="961">
        <f t="shared" si="31"/>
        <v>0</v>
      </c>
      <c r="S100" s="935">
        <f t="shared" si="22"/>
        <v>0</v>
      </c>
    </row>
    <row r="101" spans="1:19">
      <c r="A101" s="1243"/>
      <c r="B101" s="1244"/>
      <c r="C101" s="961">
        <f t="shared" si="23"/>
        <v>1</v>
      </c>
      <c r="D101" s="1245"/>
      <c r="E101" s="961">
        <f t="shared" si="24"/>
        <v>1</v>
      </c>
      <c r="F101" s="1245"/>
      <c r="G101" s="961">
        <f t="shared" si="25"/>
        <v>1</v>
      </c>
      <c r="H101" s="1245"/>
      <c r="I101" s="961">
        <f t="shared" si="26"/>
        <v>1</v>
      </c>
      <c r="J101" s="1245"/>
      <c r="K101" s="961">
        <f t="shared" si="27"/>
        <v>1</v>
      </c>
      <c r="L101" s="1245"/>
      <c r="M101" s="961">
        <f t="shared" si="28"/>
        <v>1</v>
      </c>
      <c r="N101" s="1245"/>
      <c r="O101" s="961">
        <f t="shared" si="29"/>
        <v>1</v>
      </c>
      <c r="P101" s="1245"/>
      <c r="Q101" s="961">
        <f t="shared" si="30"/>
        <v>1</v>
      </c>
      <c r="R101" s="961">
        <f t="shared" si="31"/>
        <v>0</v>
      </c>
      <c r="S101" s="935">
        <f t="shared" si="22"/>
        <v>0</v>
      </c>
    </row>
    <row r="102" spans="1:19">
      <c r="A102" s="1243"/>
      <c r="B102" s="1244"/>
      <c r="C102" s="961">
        <f t="shared" si="23"/>
        <v>1</v>
      </c>
      <c r="D102" s="1245"/>
      <c r="E102" s="961">
        <f t="shared" si="24"/>
        <v>1</v>
      </c>
      <c r="F102" s="1245"/>
      <c r="G102" s="961">
        <f t="shared" si="25"/>
        <v>1</v>
      </c>
      <c r="H102" s="1245"/>
      <c r="I102" s="961">
        <f t="shared" si="26"/>
        <v>1</v>
      </c>
      <c r="J102" s="1245"/>
      <c r="K102" s="961">
        <f t="shared" si="27"/>
        <v>1</v>
      </c>
      <c r="L102" s="1245"/>
      <c r="M102" s="961">
        <f t="shared" si="28"/>
        <v>1</v>
      </c>
      <c r="N102" s="1245"/>
      <c r="O102" s="961">
        <f t="shared" si="29"/>
        <v>1</v>
      </c>
      <c r="P102" s="1245"/>
      <c r="Q102" s="961">
        <f t="shared" si="30"/>
        <v>1</v>
      </c>
      <c r="R102" s="961">
        <f t="shared" si="31"/>
        <v>0</v>
      </c>
      <c r="S102" s="935">
        <f t="shared" si="22"/>
        <v>0</v>
      </c>
    </row>
    <row r="103" spans="1:19">
      <c r="A103" s="1243"/>
      <c r="B103" s="1244"/>
      <c r="C103" s="961">
        <f t="shared" si="23"/>
        <v>1</v>
      </c>
      <c r="D103" s="1245"/>
      <c r="E103" s="961">
        <f t="shared" si="24"/>
        <v>1</v>
      </c>
      <c r="F103" s="1245"/>
      <c r="G103" s="961">
        <f t="shared" si="25"/>
        <v>1</v>
      </c>
      <c r="H103" s="1245"/>
      <c r="I103" s="961">
        <f t="shared" si="26"/>
        <v>1</v>
      </c>
      <c r="J103" s="1245"/>
      <c r="K103" s="961">
        <f t="shared" si="27"/>
        <v>1</v>
      </c>
      <c r="L103" s="1245"/>
      <c r="M103" s="961">
        <f t="shared" si="28"/>
        <v>1</v>
      </c>
      <c r="N103" s="1245"/>
      <c r="O103" s="961">
        <f t="shared" si="29"/>
        <v>1</v>
      </c>
      <c r="P103" s="1245"/>
      <c r="Q103" s="961">
        <f t="shared" si="30"/>
        <v>1</v>
      </c>
      <c r="R103" s="961">
        <f t="shared" si="31"/>
        <v>0</v>
      </c>
      <c r="S103" s="935">
        <f t="shared" si="22"/>
        <v>0</v>
      </c>
    </row>
    <row r="104" spans="1:19">
      <c r="A104" s="1243"/>
      <c r="B104" s="1244"/>
      <c r="C104" s="961">
        <f t="shared" si="23"/>
        <v>1</v>
      </c>
      <c r="D104" s="1245"/>
      <c r="E104" s="961">
        <f t="shared" si="24"/>
        <v>1</v>
      </c>
      <c r="F104" s="1245"/>
      <c r="G104" s="961">
        <f t="shared" si="25"/>
        <v>1</v>
      </c>
      <c r="H104" s="1245"/>
      <c r="I104" s="961">
        <f t="shared" si="26"/>
        <v>1</v>
      </c>
      <c r="J104" s="1245"/>
      <c r="K104" s="961">
        <f t="shared" si="27"/>
        <v>1</v>
      </c>
      <c r="L104" s="1245"/>
      <c r="M104" s="961">
        <f t="shared" si="28"/>
        <v>1</v>
      </c>
      <c r="N104" s="1245"/>
      <c r="O104" s="961">
        <f t="shared" si="29"/>
        <v>1</v>
      </c>
      <c r="P104" s="1245"/>
      <c r="Q104" s="961">
        <f t="shared" si="30"/>
        <v>1</v>
      </c>
      <c r="R104" s="961">
        <f t="shared" si="31"/>
        <v>0</v>
      </c>
      <c r="S104" s="935">
        <f t="shared" si="22"/>
        <v>0</v>
      </c>
    </row>
    <row r="105" spans="1:19">
      <c r="A105" s="1243"/>
      <c r="B105" s="1244"/>
      <c r="C105" s="961">
        <f t="shared" si="23"/>
        <v>1</v>
      </c>
      <c r="D105" s="1245"/>
      <c r="E105" s="961">
        <f t="shared" si="24"/>
        <v>1</v>
      </c>
      <c r="F105" s="1245"/>
      <c r="G105" s="961">
        <f t="shared" si="25"/>
        <v>1</v>
      </c>
      <c r="H105" s="1245"/>
      <c r="I105" s="961">
        <f t="shared" si="26"/>
        <v>1</v>
      </c>
      <c r="J105" s="1245"/>
      <c r="K105" s="961">
        <f t="shared" si="27"/>
        <v>1</v>
      </c>
      <c r="L105" s="1245"/>
      <c r="M105" s="961">
        <f t="shared" si="28"/>
        <v>1</v>
      </c>
      <c r="N105" s="1245"/>
      <c r="O105" s="961">
        <f t="shared" si="29"/>
        <v>1</v>
      </c>
      <c r="P105" s="1245"/>
      <c r="Q105" s="961">
        <f t="shared" si="30"/>
        <v>1</v>
      </c>
      <c r="R105" s="961">
        <f t="shared" si="31"/>
        <v>0</v>
      </c>
      <c r="S105" s="935">
        <f t="shared" si="22"/>
        <v>0</v>
      </c>
    </row>
    <row r="106" spans="1:19">
      <c r="A106" s="1243"/>
      <c r="B106" s="1244"/>
      <c r="C106" s="961">
        <f t="shared" si="23"/>
        <v>1</v>
      </c>
      <c r="D106" s="1245"/>
      <c r="E106" s="961">
        <f t="shared" si="24"/>
        <v>1</v>
      </c>
      <c r="F106" s="1245"/>
      <c r="G106" s="961">
        <f t="shared" si="25"/>
        <v>1</v>
      </c>
      <c r="H106" s="1245"/>
      <c r="I106" s="961">
        <f t="shared" si="26"/>
        <v>1</v>
      </c>
      <c r="J106" s="1245"/>
      <c r="K106" s="961">
        <f t="shared" si="27"/>
        <v>1</v>
      </c>
      <c r="L106" s="1245"/>
      <c r="M106" s="961">
        <f t="shared" si="28"/>
        <v>1</v>
      </c>
      <c r="N106" s="1245"/>
      <c r="O106" s="961">
        <f t="shared" si="29"/>
        <v>1</v>
      </c>
      <c r="P106" s="1245"/>
      <c r="Q106" s="961">
        <f t="shared" si="30"/>
        <v>1</v>
      </c>
      <c r="R106" s="961">
        <f t="shared" si="31"/>
        <v>0</v>
      </c>
      <c r="S106" s="935">
        <f t="shared" si="22"/>
        <v>0</v>
      </c>
    </row>
    <row r="107" spans="1:19">
      <c r="A107" s="1243"/>
      <c r="B107" s="1244"/>
      <c r="C107" s="961">
        <f t="shared" si="23"/>
        <v>1</v>
      </c>
      <c r="D107" s="1245"/>
      <c r="E107" s="961">
        <f t="shared" si="24"/>
        <v>1</v>
      </c>
      <c r="F107" s="1245"/>
      <c r="G107" s="961">
        <f t="shared" si="25"/>
        <v>1</v>
      </c>
      <c r="H107" s="1245"/>
      <c r="I107" s="961">
        <f t="shared" si="26"/>
        <v>1</v>
      </c>
      <c r="J107" s="1245"/>
      <c r="K107" s="961">
        <f t="shared" si="27"/>
        <v>1</v>
      </c>
      <c r="L107" s="1245"/>
      <c r="M107" s="961">
        <f t="shared" si="28"/>
        <v>1</v>
      </c>
      <c r="N107" s="1245"/>
      <c r="O107" s="961">
        <f t="shared" si="29"/>
        <v>1</v>
      </c>
      <c r="P107" s="1245"/>
      <c r="Q107" s="961">
        <f t="shared" si="30"/>
        <v>1</v>
      </c>
      <c r="R107" s="961">
        <f t="shared" si="31"/>
        <v>0</v>
      </c>
      <c r="S107" s="935">
        <f t="shared" si="22"/>
        <v>0</v>
      </c>
    </row>
    <row r="108" spans="1:19">
      <c r="A108" s="1243"/>
      <c r="B108" s="1244"/>
      <c r="C108" s="961">
        <f t="shared" si="23"/>
        <v>1</v>
      </c>
      <c r="D108" s="1245"/>
      <c r="E108" s="961">
        <f t="shared" si="24"/>
        <v>1</v>
      </c>
      <c r="F108" s="1245"/>
      <c r="G108" s="961">
        <f t="shared" si="25"/>
        <v>1</v>
      </c>
      <c r="H108" s="1245"/>
      <c r="I108" s="961">
        <f t="shared" si="26"/>
        <v>1</v>
      </c>
      <c r="J108" s="1245"/>
      <c r="K108" s="961">
        <f t="shared" si="27"/>
        <v>1</v>
      </c>
      <c r="L108" s="1245"/>
      <c r="M108" s="961">
        <f t="shared" si="28"/>
        <v>1</v>
      </c>
      <c r="N108" s="1245"/>
      <c r="O108" s="961">
        <f t="shared" si="29"/>
        <v>1</v>
      </c>
      <c r="P108" s="1245"/>
      <c r="Q108" s="961">
        <f t="shared" si="30"/>
        <v>1</v>
      </c>
      <c r="R108" s="961">
        <f t="shared" si="31"/>
        <v>0</v>
      </c>
      <c r="S108" s="935">
        <f t="shared" si="22"/>
        <v>0</v>
      </c>
    </row>
    <row r="109" spans="1:19">
      <c r="A109" s="1243"/>
      <c r="B109" s="1244"/>
      <c r="C109" s="961">
        <f t="shared" si="23"/>
        <v>1</v>
      </c>
      <c r="D109" s="1245"/>
      <c r="E109" s="961">
        <f t="shared" si="24"/>
        <v>1</v>
      </c>
      <c r="F109" s="1245"/>
      <c r="G109" s="961">
        <f t="shared" si="25"/>
        <v>1</v>
      </c>
      <c r="H109" s="1245"/>
      <c r="I109" s="961">
        <f t="shared" si="26"/>
        <v>1</v>
      </c>
      <c r="J109" s="1245"/>
      <c r="K109" s="961">
        <f t="shared" si="27"/>
        <v>1</v>
      </c>
      <c r="L109" s="1245"/>
      <c r="M109" s="961">
        <f t="shared" si="28"/>
        <v>1</v>
      </c>
      <c r="N109" s="1245"/>
      <c r="O109" s="961">
        <f t="shared" si="29"/>
        <v>1</v>
      </c>
      <c r="P109" s="1245"/>
      <c r="Q109" s="961">
        <f t="shared" si="30"/>
        <v>1</v>
      </c>
      <c r="R109" s="961">
        <f t="shared" si="31"/>
        <v>0</v>
      </c>
      <c r="S109" s="935">
        <f t="shared" si="22"/>
        <v>0</v>
      </c>
    </row>
    <row r="110" spans="1:19">
      <c r="A110" s="1243"/>
      <c r="B110" s="1244"/>
      <c r="C110" s="961">
        <f t="shared" si="23"/>
        <v>1</v>
      </c>
      <c r="D110" s="1245"/>
      <c r="E110" s="961">
        <f t="shared" si="24"/>
        <v>1</v>
      </c>
      <c r="F110" s="1245"/>
      <c r="G110" s="961">
        <f t="shared" si="25"/>
        <v>1</v>
      </c>
      <c r="H110" s="1245"/>
      <c r="I110" s="961">
        <f t="shared" si="26"/>
        <v>1</v>
      </c>
      <c r="J110" s="1245"/>
      <c r="K110" s="961">
        <f t="shared" si="27"/>
        <v>1</v>
      </c>
      <c r="L110" s="1245"/>
      <c r="M110" s="961">
        <f t="shared" si="28"/>
        <v>1</v>
      </c>
      <c r="N110" s="1245"/>
      <c r="O110" s="961">
        <f t="shared" si="29"/>
        <v>1</v>
      </c>
      <c r="P110" s="1245"/>
      <c r="Q110" s="961">
        <f t="shared" si="30"/>
        <v>1</v>
      </c>
      <c r="R110" s="961">
        <f t="shared" si="31"/>
        <v>0</v>
      </c>
      <c r="S110" s="935">
        <f t="shared" si="22"/>
        <v>0</v>
      </c>
    </row>
    <row r="111" spans="1:19">
      <c r="A111" s="1243"/>
      <c r="B111" s="1244"/>
      <c r="C111" s="961">
        <f t="shared" si="23"/>
        <v>1</v>
      </c>
      <c r="D111" s="1245"/>
      <c r="E111" s="961">
        <f t="shared" si="24"/>
        <v>1</v>
      </c>
      <c r="F111" s="1245"/>
      <c r="G111" s="961">
        <f t="shared" si="25"/>
        <v>1</v>
      </c>
      <c r="H111" s="1245"/>
      <c r="I111" s="961">
        <f t="shared" si="26"/>
        <v>1</v>
      </c>
      <c r="J111" s="1245"/>
      <c r="K111" s="961">
        <f t="shared" si="27"/>
        <v>1</v>
      </c>
      <c r="L111" s="1245"/>
      <c r="M111" s="961">
        <f t="shared" si="28"/>
        <v>1</v>
      </c>
      <c r="N111" s="1245"/>
      <c r="O111" s="961">
        <f t="shared" si="29"/>
        <v>1</v>
      </c>
      <c r="P111" s="1245"/>
      <c r="Q111" s="961">
        <f t="shared" si="30"/>
        <v>1</v>
      </c>
      <c r="R111" s="961">
        <f t="shared" si="31"/>
        <v>0</v>
      </c>
      <c r="S111" s="935">
        <f t="shared" si="22"/>
        <v>0</v>
      </c>
    </row>
    <row r="112" spans="1:19">
      <c r="A112" s="1243"/>
      <c r="B112" s="1244"/>
      <c r="C112" s="961">
        <f t="shared" si="23"/>
        <v>1</v>
      </c>
      <c r="D112" s="1245"/>
      <c r="E112" s="961">
        <f t="shared" si="24"/>
        <v>1</v>
      </c>
      <c r="F112" s="1245"/>
      <c r="G112" s="961">
        <f t="shared" si="25"/>
        <v>1</v>
      </c>
      <c r="H112" s="1245"/>
      <c r="I112" s="961">
        <f t="shared" si="26"/>
        <v>1</v>
      </c>
      <c r="J112" s="1245"/>
      <c r="K112" s="961">
        <f t="shared" si="27"/>
        <v>1</v>
      </c>
      <c r="L112" s="1245"/>
      <c r="M112" s="961">
        <f t="shared" si="28"/>
        <v>1</v>
      </c>
      <c r="N112" s="1245"/>
      <c r="O112" s="961">
        <f t="shared" si="29"/>
        <v>1</v>
      </c>
      <c r="P112" s="1245"/>
      <c r="Q112" s="961">
        <f t="shared" si="30"/>
        <v>1</v>
      </c>
      <c r="R112" s="961">
        <f t="shared" si="31"/>
        <v>0</v>
      </c>
      <c r="S112" s="935">
        <f t="shared" si="22"/>
        <v>0</v>
      </c>
    </row>
    <row r="113" spans="1:19">
      <c r="A113" s="1243"/>
      <c r="B113" s="1244"/>
      <c r="C113" s="961">
        <f t="shared" si="23"/>
        <v>1</v>
      </c>
      <c r="D113" s="1245"/>
      <c r="E113" s="961">
        <f t="shared" si="24"/>
        <v>1</v>
      </c>
      <c r="F113" s="1245"/>
      <c r="G113" s="961">
        <f t="shared" si="25"/>
        <v>1</v>
      </c>
      <c r="H113" s="1245"/>
      <c r="I113" s="961">
        <f t="shared" si="26"/>
        <v>1</v>
      </c>
      <c r="J113" s="1245"/>
      <c r="K113" s="961">
        <f t="shared" si="27"/>
        <v>1</v>
      </c>
      <c r="L113" s="1245"/>
      <c r="M113" s="961">
        <f t="shared" si="28"/>
        <v>1</v>
      </c>
      <c r="N113" s="1245"/>
      <c r="O113" s="961">
        <f t="shared" si="29"/>
        <v>1</v>
      </c>
      <c r="P113" s="1245"/>
      <c r="Q113" s="961">
        <f t="shared" si="30"/>
        <v>1</v>
      </c>
      <c r="R113" s="961">
        <f t="shared" si="31"/>
        <v>0</v>
      </c>
      <c r="S113" s="935">
        <f t="shared" si="22"/>
        <v>0</v>
      </c>
    </row>
    <row r="114" spans="1:19">
      <c r="A114" s="1243"/>
      <c r="B114" s="1244"/>
      <c r="C114" s="961">
        <f t="shared" si="23"/>
        <v>1</v>
      </c>
      <c r="D114" s="1245"/>
      <c r="E114" s="961">
        <f t="shared" si="24"/>
        <v>1</v>
      </c>
      <c r="F114" s="1245"/>
      <c r="G114" s="961">
        <f t="shared" si="25"/>
        <v>1</v>
      </c>
      <c r="H114" s="1245"/>
      <c r="I114" s="961">
        <f t="shared" si="26"/>
        <v>1</v>
      </c>
      <c r="J114" s="1245"/>
      <c r="K114" s="961">
        <f t="shared" si="27"/>
        <v>1</v>
      </c>
      <c r="L114" s="1245"/>
      <c r="M114" s="961">
        <f t="shared" si="28"/>
        <v>1</v>
      </c>
      <c r="N114" s="1245"/>
      <c r="O114" s="961">
        <f t="shared" si="29"/>
        <v>1</v>
      </c>
      <c r="P114" s="1245"/>
      <c r="Q114" s="961">
        <f t="shared" si="30"/>
        <v>1</v>
      </c>
      <c r="R114" s="961">
        <f t="shared" si="31"/>
        <v>0</v>
      </c>
      <c r="S114" s="935">
        <f t="shared" si="22"/>
        <v>0</v>
      </c>
    </row>
    <row r="115" spans="1:19">
      <c r="A115" s="1243"/>
      <c r="B115" s="1244"/>
      <c r="C115" s="961">
        <f t="shared" si="23"/>
        <v>1</v>
      </c>
      <c r="D115" s="1245"/>
      <c r="E115" s="961">
        <f t="shared" si="24"/>
        <v>1</v>
      </c>
      <c r="F115" s="1245"/>
      <c r="G115" s="961">
        <f t="shared" si="25"/>
        <v>1</v>
      </c>
      <c r="H115" s="1245"/>
      <c r="I115" s="961">
        <f t="shared" si="26"/>
        <v>1</v>
      </c>
      <c r="J115" s="1245"/>
      <c r="K115" s="961">
        <f t="shared" si="27"/>
        <v>1</v>
      </c>
      <c r="L115" s="1245"/>
      <c r="M115" s="961">
        <f t="shared" si="28"/>
        <v>1</v>
      </c>
      <c r="N115" s="1245"/>
      <c r="O115" s="961">
        <f t="shared" si="29"/>
        <v>1</v>
      </c>
      <c r="P115" s="1245"/>
      <c r="Q115" s="961">
        <f t="shared" si="30"/>
        <v>1</v>
      </c>
      <c r="R115" s="961">
        <f t="shared" si="31"/>
        <v>0</v>
      </c>
      <c r="S115" s="935">
        <f t="shared" si="22"/>
        <v>0</v>
      </c>
    </row>
    <row r="116" spans="1:19">
      <c r="A116" s="1243"/>
      <c r="B116" s="1244"/>
      <c r="C116" s="961">
        <f t="shared" si="23"/>
        <v>1</v>
      </c>
      <c r="D116" s="1245"/>
      <c r="E116" s="961">
        <f t="shared" si="24"/>
        <v>1</v>
      </c>
      <c r="F116" s="1245"/>
      <c r="G116" s="961">
        <f t="shared" si="25"/>
        <v>1</v>
      </c>
      <c r="H116" s="1245"/>
      <c r="I116" s="961">
        <f t="shared" si="26"/>
        <v>1</v>
      </c>
      <c r="J116" s="1245"/>
      <c r="K116" s="961">
        <f t="shared" si="27"/>
        <v>1</v>
      </c>
      <c r="L116" s="1245"/>
      <c r="M116" s="961">
        <f t="shared" si="28"/>
        <v>1</v>
      </c>
      <c r="N116" s="1245"/>
      <c r="O116" s="961">
        <f t="shared" si="29"/>
        <v>1</v>
      </c>
      <c r="P116" s="1245"/>
      <c r="Q116" s="961">
        <f t="shared" si="30"/>
        <v>1</v>
      </c>
      <c r="R116" s="961">
        <f t="shared" si="31"/>
        <v>0</v>
      </c>
      <c r="S116" s="935">
        <f t="shared" si="22"/>
        <v>0</v>
      </c>
    </row>
    <row r="117" spans="1:19">
      <c r="A117" s="1243"/>
      <c r="B117" s="1244"/>
      <c r="C117" s="961">
        <f t="shared" si="23"/>
        <v>1</v>
      </c>
      <c r="D117" s="1245"/>
      <c r="E117" s="961">
        <f t="shared" si="24"/>
        <v>1</v>
      </c>
      <c r="F117" s="1245"/>
      <c r="G117" s="961">
        <f t="shared" si="25"/>
        <v>1</v>
      </c>
      <c r="H117" s="1245"/>
      <c r="I117" s="961">
        <f t="shared" si="26"/>
        <v>1</v>
      </c>
      <c r="J117" s="1245"/>
      <c r="K117" s="961">
        <f t="shared" si="27"/>
        <v>1</v>
      </c>
      <c r="L117" s="1245"/>
      <c r="M117" s="961">
        <f t="shared" si="28"/>
        <v>1</v>
      </c>
      <c r="N117" s="1245"/>
      <c r="O117" s="961">
        <f t="shared" si="29"/>
        <v>1</v>
      </c>
      <c r="P117" s="1245"/>
      <c r="Q117" s="961">
        <f t="shared" si="30"/>
        <v>1</v>
      </c>
      <c r="R117" s="961">
        <f t="shared" si="31"/>
        <v>0</v>
      </c>
      <c r="S117" s="935">
        <f t="shared" si="22"/>
        <v>0</v>
      </c>
    </row>
    <row r="118" spans="1:19">
      <c r="A118" s="1243"/>
      <c r="B118" s="1244"/>
      <c r="C118" s="961">
        <f t="shared" si="23"/>
        <v>1</v>
      </c>
      <c r="D118" s="1245"/>
      <c r="E118" s="961">
        <f t="shared" si="24"/>
        <v>1</v>
      </c>
      <c r="F118" s="1245"/>
      <c r="G118" s="961">
        <f t="shared" si="25"/>
        <v>1</v>
      </c>
      <c r="H118" s="1245"/>
      <c r="I118" s="961">
        <f t="shared" si="26"/>
        <v>1</v>
      </c>
      <c r="J118" s="1245"/>
      <c r="K118" s="961">
        <f t="shared" si="27"/>
        <v>1</v>
      </c>
      <c r="L118" s="1245"/>
      <c r="M118" s="961">
        <f t="shared" si="28"/>
        <v>1</v>
      </c>
      <c r="N118" s="1245"/>
      <c r="O118" s="961">
        <f t="shared" si="29"/>
        <v>1</v>
      </c>
      <c r="P118" s="1245"/>
      <c r="Q118" s="961">
        <f t="shared" si="30"/>
        <v>1</v>
      </c>
      <c r="R118" s="961">
        <f t="shared" si="31"/>
        <v>0</v>
      </c>
      <c r="S118" s="935">
        <f t="shared" si="22"/>
        <v>0</v>
      </c>
    </row>
    <row r="119" spans="1:19">
      <c r="A119" s="1243"/>
      <c r="B119" s="1244"/>
      <c r="C119" s="961">
        <f t="shared" si="23"/>
        <v>1</v>
      </c>
      <c r="D119" s="1245"/>
      <c r="E119" s="961">
        <f t="shared" si="24"/>
        <v>1</v>
      </c>
      <c r="F119" s="1245"/>
      <c r="G119" s="961">
        <f t="shared" si="25"/>
        <v>1</v>
      </c>
      <c r="H119" s="1245"/>
      <c r="I119" s="961">
        <f t="shared" si="26"/>
        <v>1</v>
      </c>
      <c r="J119" s="1245"/>
      <c r="K119" s="961">
        <f t="shared" si="27"/>
        <v>1</v>
      </c>
      <c r="L119" s="1245"/>
      <c r="M119" s="961">
        <f t="shared" si="28"/>
        <v>1</v>
      </c>
      <c r="N119" s="1245"/>
      <c r="O119" s="961">
        <f t="shared" si="29"/>
        <v>1</v>
      </c>
      <c r="P119" s="1245"/>
      <c r="Q119" s="961">
        <f t="shared" si="30"/>
        <v>1</v>
      </c>
      <c r="R119" s="961">
        <f t="shared" si="31"/>
        <v>0</v>
      </c>
      <c r="S119" s="935">
        <f t="shared" si="22"/>
        <v>0</v>
      </c>
    </row>
    <row r="120" spans="1:19">
      <c r="A120" s="1243"/>
      <c r="B120" s="1244"/>
      <c r="C120" s="961">
        <f t="shared" si="23"/>
        <v>1</v>
      </c>
      <c r="D120" s="1245"/>
      <c r="E120" s="961">
        <f t="shared" si="24"/>
        <v>1</v>
      </c>
      <c r="F120" s="1245"/>
      <c r="G120" s="961">
        <f t="shared" si="25"/>
        <v>1</v>
      </c>
      <c r="H120" s="1245"/>
      <c r="I120" s="961">
        <f t="shared" si="26"/>
        <v>1</v>
      </c>
      <c r="J120" s="1245"/>
      <c r="K120" s="961">
        <f t="shared" si="27"/>
        <v>1</v>
      </c>
      <c r="L120" s="1245"/>
      <c r="M120" s="961">
        <f t="shared" si="28"/>
        <v>1</v>
      </c>
      <c r="N120" s="1245"/>
      <c r="O120" s="961">
        <f t="shared" si="29"/>
        <v>1</v>
      </c>
      <c r="P120" s="1245"/>
      <c r="Q120" s="961">
        <f t="shared" si="30"/>
        <v>1</v>
      </c>
      <c r="R120" s="961">
        <f t="shared" si="31"/>
        <v>0</v>
      </c>
      <c r="S120" s="935">
        <f t="shared" si="22"/>
        <v>0</v>
      </c>
    </row>
    <row r="121" spans="1:19">
      <c r="A121" s="1243"/>
      <c r="B121" s="1244"/>
      <c r="C121" s="961">
        <f t="shared" si="23"/>
        <v>1</v>
      </c>
      <c r="D121" s="1245"/>
      <c r="E121" s="961">
        <f t="shared" si="24"/>
        <v>1</v>
      </c>
      <c r="F121" s="1245"/>
      <c r="G121" s="961">
        <f t="shared" si="25"/>
        <v>1</v>
      </c>
      <c r="H121" s="1245"/>
      <c r="I121" s="961">
        <f t="shared" si="26"/>
        <v>1</v>
      </c>
      <c r="J121" s="1245"/>
      <c r="K121" s="961">
        <f t="shared" si="27"/>
        <v>1</v>
      </c>
      <c r="L121" s="1245"/>
      <c r="M121" s="961">
        <f t="shared" si="28"/>
        <v>1</v>
      </c>
      <c r="N121" s="1245"/>
      <c r="O121" s="961">
        <f t="shared" si="29"/>
        <v>1</v>
      </c>
      <c r="P121" s="1245"/>
      <c r="Q121" s="961">
        <f t="shared" si="30"/>
        <v>1</v>
      </c>
      <c r="R121" s="961">
        <f t="shared" si="31"/>
        <v>0</v>
      </c>
      <c r="S121" s="935">
        <f t="shared" si="22"/>
        <v>0</v>
      </c>
    </row>
    <row r="122" spans="1:19">
      <c r="A122" s="1243"/>
      <c r="B122" s="1244"/>
      <c r="C122" s="961">
        <f t="shared" si="23"/>
        <v>1</v>
      </c>
      <c r="D122" s="1245"/>
      <c r="E122" s="961">
        <f t="shared" si="24"/>
        <v>1</v>
      </c>
      <c r="F122" s="1245"/>
      <c r="G122" s="961">
        <f t="shared" si="25"/>
        <v>1</v>
      </c>
      <c r="H122" s="1245"/>
      <c r="I122" s="961">
        <f t="shared" si="26"/>
        <v>1</v>
      </c>
      <c r="J122" s="1245"/>
      <c r="K122" s="961">
        <f t="shared" si="27"/>
        <v>1</v>
      </c>
      <c r="L122" s="1245"/>
      <c r="M122" s="961">
        <f t="shared" si="28"/>
        <v>1</v>
      </c>
      <c r="N122" s="1245"/>
      <c r="O122" s="961">
        <f t="shared" si="29"/>
        <v>1</v>
      </c>
      <c r="P122" s="1245"/>
      <c r="Q122" s="961">
        <f t="shared" si="30"/>
        <v>1</v>
      </c>
      <c r="R122" s="961">
        <f t="shared" si="31"/>
        <v>0</v>
      </c>
      <c r="S122" s="935">
        <f t="shared" si="22"/>
        <v>0</v>
      </c>
    </row>
    <row r="123" spans="1:19">
      <c r="A123" s="1243"/>
      <c r="B123" s="1244"/>
      <c r="C123" s="961">
        <f t="shared" si="23"/>
        <v>1</v>
      </c>
      <c r="D123" s="1245"/>
      <c r="E123" s="961">
        <f t="shared" si="24"/>
        <v>1</v>
      </c>
      <c r="F123" s="1245"/>
      <c r="G123" s="961">
        <f t="shared" si="25"/>
        <v>1</v>
      </c>
      <c r="H123" s="1245"/>
      <c r="I123" s="961">
        <f t="shared" si="26"/>
        <v>1</v>
      </c>
      <c r="J123" s="1245"/>
      <c r="K123" s="961">
        <f t="shared" si="27"/>
        <v>1</v>
      </c>
      <c r="L123" s="1245"/>
      <c r="M123" s="961">
        <f t="shared" si="28"/>
        <v>1</v>
      </c>
      <c r="N123" s="1245"/>
      <c r="O123" s="961">
        <f t="shared" si="29"/>
        <v>1</v>
      </c>
      <c r="P123" s="1245"/>
      <c r="Q123" s="961">
        <f t="shared" si="30"/>
        <v>1</v>
      </c>
      <c r="R123" s="961">
        <f t="shared" si="31"/>
        <v>0</v>
      </c>
      <c r="S123" s="935">
        <f t="shared" ref="S123:S186" si="32">ROUND(R123*B123/10000,0)</f>
        <v>0</v>
      </c>
    </row>
    <row r="124" spans="1:19">
      <c r="A124" s="1243"/>
      <c r="B124" s="1244"/>
      <c r="C124" s="961">
        <f t="shared" si="23"/>
        <v>1</v>
      </c>
      <c r="D124" s="1245"/>
      <c r="E124" s="961">
        <f t="shared" si="24"/>
        <v>1</v>
      </c>
      <c r="F124" s="1245"/>
      <c r="G124" s="961">
        <f t="shared" si="25"/>
        <v>1</v>
      </c>
      <c r="H124" s="1245"/>
      <c r="I124" s="961">
        <f t="shared" si="26"/>
        <v>1</v>
      </c>
      <c r="J124" s="1245"/>
      <c r="K124" s="961">
        <f t="shared" si="27"/>
        <v>1</v>
      </c>
      <c r="L124" s="1245"/>
      <c r="M124" s="961">
        <f t="shared" si="28"/>
        <v>1</v>
      </c>
      <c r="N124" s="1245"/>
      <c r="O124" s="961">
        <f t="shared" si="29"/>
        <v>1</v>
      </c>
      <c r="P124" s="1245"/>
      <c r="Q124" s="961">
        <f t="shared" si="30"/>
        <v>1</v>
      </c>
      <c r="R124" s="961">
        <f t="shared" si="31"/>
        <v>0</v>
      </c>
      <c r="S124" s="935">
        <f t="shared" si="32"/>
        <v>0</v>
      </c>
    </row>
    <row r="125" spans="1:19">
      <c r="A125" s="1243"/>
      <c r="B125" s="1244"/>
      <c r="C125" s="961">
        <f t="shared" si="23"/>
        <v>1</v>
      </c>
      <c r="D125" s="1245"/>
      <c r="E125" s="961">
        <f t="shared" si="24"/>
        <v>1</v>
      </c>
      <c r="F125" s="1245"/>
      <c r="G125" s="961">
        <f t="shared" si="25"/>
        <v>1</v>
      </c>
      <c r="H125" s="1245"/>
      <c r="I125" s="961">
        <f t="shared" si="26"/>
        <v>1</v>
      </c>
      <c r="J125" s="1245"/>
      <c r="K125" s="961">
        <f t="shared" si="27"/>
        <v>1</v>
      </c>
      <c r="L125" s="1245"/>
      <c r="M125" s="961">
        <f t="shared" si="28"/>
        <v>1</v>
      </c>
      <c r="N125" s="1245"/>
      <c r="O125" s="961">
        <f t="shared" si="29"/>
        <v>1</v>
      </c>
      <c r="P125" s="1245"/>
      <c r="Q125" s="961">
        <f t="shared" si="30"/>
        <v>1</v>
      </c>
      <c r="R125" s="961">
        <f t="shared" si="31"/>
        <v>0</v>
      </c>
      <c r="S125" s="935">
        <f t="shared" si="32"/>
        <v>0</v>
      </c>
    </row>
    <row r="126" spans="1:19">
      <c r="A126" s="1243"/>
      <c r="B126" s="1244"/>
      <c r="C126" s="961">
        <f t="shared" si="23"/>
        <v>1</v>
      </c>
      <c r="D126" s="1245"/>
      <c r="E126" s="961">
        <f t="shared" si="24"/>
        <v>1</v>
      </c>
      <c r="F126" s="1245"/>
      <c r="G126" s="961">
        <f t="shared" si="25"/>
        <v>1</v>
      </c>
      <c r="H126" s="1245"/>
      <c r="I126" s="961">
        <f t="shared" si="26"/>
        <v>1</v>
      </c>
      <c r="J126" s="1245"/>
      <c r="K126" s="961">
        <f t="shared" si="27"/>
        <v>1</v>
      </c>
      <c r="L126" s="1245"/>
      <c r="M126" s="961">
        <f t="shared" si="28"/>
        <v>1</v>
      </c>
      <c r="N126" s="1245"/>
      <c r="O126" s="961">
        <f t="shared" si="29"/>
        <v>1</v>
      </c>
      <c r="P126" s="1245"/>
      <c r="Q126" s="961">
        <f t="shared" si="30"/>
        <v>1</v>
      </c>
      <c r="R126" s="961">
        <f t="shared" si="31"/>
        <v>0</v>
      </c>
      <c r="S126" s="935">
        <f t="shared" si="32"/>
        <v>0</v>
      </c>
    </row>
    <row r="127" spans="1:19">
      <c r="A127" s="1243"/>
      <c r="B127" s="1244"/>
      <c r="C127" s="961">
        <f t="shared" si="23"/>
        <v>1</v>
      </c>
      <c r="D127" s="1245"/>
      <c r="E127" s="961">
        <f t="shared" si="24"/>
        <v>1</v>
      </c>
      <c r="F127" s="1245"/>
      <c r="G127" s="961">
        <f t="shared" si="25"/>
        <v>1</v>
      </c>
      <c r="H127" s="1245"/>
      <c r="I127" s="961">
        <f t="shared" si="26"/>
        <v>1</v>
      </c>
      <c r="J127" s="1245"/>
      <c r="K127" s="961">
        <f t="shared" si="27"/>
        <v>1</v>
      </c>
      <c r="L127" s="1245"/>
      <c r="M127" s="961">
        <f t="shared" si="28"/>
        <v>1</v>
      </c>
      <c r="N127" s="1245"/>
      <c r="O127" s="961">
        <f t="shared" si="29"/>
        <v>1</v>
      </c>
      <c r="P127" s="1245"/>
      <c r="Q127" s="961">
        <f t="shared" si="30"/>
        <v>1</v>
      </c>
      <c r="R127" s="961">
        <f t="shared" si="31"/>
        <v>0</v>
      </c>
      <c r="S127" s="935">
        <f t="shared" si="32"/>
        <v>0</v>
      </c>
    </row>
    <row r="128" spans="1:19">
      <c r="A128" s="1243"/>
      <c r="B128" s="1244"/>
      <c r="C128" s="961">
        <f t="shared" si="23"/>
        <v>1</v>
      </c>
      <c r="D128" s="1245"/>
      <c r="E128" s="961">
        <f t="shared" si="24"/>
        <v>1</v>
      </c>
      <c r="F128" s="1245"/>
      <c r="G128" s="961">
        <f t="shared" si="25"/>
        <v>1</v>
      </c>
      <c r="H128" s="1245"/>
      <c r="I128" s="961">
        <f t="shared" si="26"/>
        <v>1</v>
      </c>
      <c r="J128" s="1245"/>
      <c r="K128" s="961">
        <f t="shared" si="27"/>
        <v>1</v>
      </c>
      <c r="L128" s="1245"/>
      <c r="M128" s="961">
        <f t="shared" si="28"/>
        <v>1</v>
      </c>
      <c r="N128" s="1245"/>
      <c r="O128" s="961">
        <f t="shared" si="29"/>
        <v>1</v>
      </c>
      <c r="P128" s="1245"/>
      <c r="Q128" s="961">
        <f t="shared" si="30"/>
        <v>1</v>
      </c>
      <c r="R128" s="961">
        <f t="shared" si="31"/>
        <v>0</v>
      </c>
      <c r="S128" s="935">
        <f t="shared" si="32"/>
        <v>0</v>
      </c>
    </row>
    <row r="129" spans="1:19">
      <c r="A129" s="1243"/>
      <c r="B129" s="1244"/>
      <c r="C129" s="961">
        <f t="shared" si="23"/>
        <v>1</v>
      </c>
      <c r="D129" s="1245"/>
      <c r="E129" s="961">
        <f t="shared" si="24"/>
        <v>1</v>
      </c>
      <c r="F129" s="1245"/>
      <c r="G129" s="961">
        <f t="shared" si="25"/>
        <v>1</v>
      </c>
      <c r="H129" s="1245"/>
      <c r="I129" s="961">
        <f t="shared" si="26"/>
        <v>1</v>
      </c>
      <c r="J129" s="1245"/>
      <c r="K129" s="961">
        <f t="shared" si="27"/>
        <v>1</v>
      </c>
      <c r="L129" s="1245"/>
      <c r="M129" s="961">
        <f t="shared" si="28"/>
        <v>1</v>
      </c>
      <c r="N129" s="1245"/>
      <c r="O129" s="961">
        <f t="shared" si="29"/>
        <v>1</v>
      </c>
      <c r="P129" s="1245"/>
      <c r="Q129" s="961">
        <f t="shared" si="30"/>
        <v>1</v>
      </c>
      <c r="R129" s="961">
        <f t="shared" si="31"/>
        <v>0</v>
      </c>
      <c r="S129" s="935">
        <f t="shared" si="32"/>
        <v>0</v>
      </c>
    </row>
    <row r="130" spans="1:19">
      <c r="A130" s="1243"/>
      <c r="B130" s="1244"/>
      <c r="C130" s="961">
        <f t="shared" si="23"/>
        <v>1</v>
      </c>
      <c r="D130" s="1245"/>
      <c r="E130" s="961">
        <f t="shared" si="24"/>
        <v>1</v>
      </c>
      <c r="F130" s="1245"/>
      <c r="G130" s="961">
        <f t="shared" si="25"/>
        <v>1</v>
      </c>
      <c r="H130" s="1245"/>
      <c r="I130" s="961">
        <f t="shared" si="26"/>
        <v>1</v>
      </c>
      <c r="J130" s="1245"/>
      <c r="K130" s="961">
        <f t="shared" si="27"/>
        <v>1</v>
      </c>
      <c r="L130" s="1245"/>
      <c r="M130" s="961">
        <f t="shared" si="28"/>
        <v>1</v>
      </c>
      <c r="N130" s="1245"/>
      <c r="O130" s="961">
        <f t="shared" si="29"/>
        <v>1</v>
      </c>
      <c r="P130" s="1245"/>
      <c r="Q130" s="961">
        <f t="shared" si="30"/>
        <v>1</v>
      </c>
      <c r="R130" s="961">
        <f t="shared" si="31"/>
        <v>0</v>
      </c>
      <c r="S130" s="935">
        <f t="shared" si="32"/>
        <v>0</v>
      </c>
    </row>
    <row r="131" spans="1:19">
      <c r="A131" s="1243"/>
      <c r="B131" s="1244"/>
      <c r="C131" s="961">
        <f t="shared" si="23"/>
        <v>1</v>
      </c>
      <c r="D131" s="1245"/>
      <c r="E131" s="961">
        <f t="shared" si="24"/>
        <v>1</v>
      </c>
      <c r="F131" s="1245"/>
      <c r="G131" s="961">
        <f t="shared" si="25"/>
        <v>1</v>
      </c>
      <c r="H131" s="1245"/>
      <c r="I131" s="961">
        <f t="shared" si="26"/>
        <v>1</v>
      </c>
      <c r="J131" s="1245"/>
      <c r="K131" s="961">
        <f t="shared" si="27"/>
        <v>1</v>
      </c>
      <c r="L131" s="1245"/>
      <c r="M131" s="961">
        <f t="shared" si="28"/>
        <v>1</v>
      </c>
      <c r="N131" s="1245"/>
      <c r="O131" s="961">
        <f t="shared" si="29"/>
        <v>1</v>
      </c>
      <c r="P131" s="1245"/>
      <c r="Q131" s="961">
        <f t="shared" si="30"/>
        <v>1</v>
      </c>
      <c r="R131" s="961">
        <f t="shared" si="31"/>
        <v>0</v>
      </c>
      <c r="S131" s="935">
        <f t="shared" si="32"/>
        <v>0</v>
      </c>
    </row>
    <row r="132" spans="1:19">
      <c r="A132" s="1243"/>
      <c r="B132" s="1244"/>
      <c r="C132" s="961">
        <f t="shared" si="23"/>
        <v>1</v>
      </c>
      <c r="D132" s="1245"/>
      <c r="E132" s="961">
        <f t="shared" si="24"/>
        <v>1</v>
      </c>
      <c r="F132" s="1245"/>
      <c r="G132" s="961">
        <f t="shared" si="25"/>
        <v>1</v>
      </c>
      <c r="H132" s="1245"/>
      <c r="I132" s="961">
        <f t="shared" si="26"/>
        <v>1</v>
      </c>
      <c r="J132" s="1245"/>
      <c r="K132" s="961">
        <f t="shared" si="27"/>
        <v>1</v>
      </c>
      <c r="L132" s="1245"/>
      <c r="M132" s="961">
        <f t="shared" si="28"/>
        <v>1</v>
      </c>
      <c r="N132" s="1245"/>
      <c r="O132" s="961">
        <f t="shared" si="29"/>
        <v>1</v>
      </c>
      <c r="P132" s="1245"/>
      <c r="Q132" s="961">
        <f t="shared" si="30"/>
        <v>1</v>
      </c>
      <c r="R132" s="961">
        <f t="shared" si="31"/>
        <v>0</v>
      </c>
      <c r="S132" s="935">
        <f t="shared" si="32"/>
        <v>0</v>
      </c>
    </row>
    <row r="133" spans="1:19">
      <c r="A133" s="1243"/>
      <c r="B133" s="1244"/>
      <c r="C133" s="961">
        <f t="shared" si="23"/>
        <v>1</v>
      </c>
      <c r="D133" s="1245"/>
      <c r="E133" s="961">
        <f t="shared" si="24"/>
        <v>1</v>
      </c>
      <c r="F133" s="1245"/>
      <c r="G133" s="961">
        <f t="shared" si="25"/>
        <v>1</v>
      </c>
      <c r="H133" s="1245"/>
      <c r="I133" s="961">
        <f t="shared" si="26"/>
        <v>1</v>
      </c>
      <c r="J133" s="1245"/>
      <c r="K133" s="961">
        <f t="shared" si="27"/>
        <v>1</v>
      </c>
      <c r="L133" s="1245"/>
      <c r="M133" s="961">
        <f t="shared" si="28"/>
        <v>1</v>
      </c>
      <c r="N133" s="1245"/>
      <c r="O133" s="961">
        <f t="shared" si="29"/>
        <v>1</v>
      </c>
      <c r="P133" s="1245"/>
      <c r="Q133" s="961">
        <f t="shared" si="30"/>
        <v>1</v>
      </c>
      <c r="R133" s="961">
        <f t="shared" si="31"/>
        <v>0</v>
      </c>
      <c r="S133" s="935">
        <f t="shared" si="32"/>
        <v>0</v>
      </c>
    </row>
    <row r="134" spans="1:19">
      <c r="A134" s="1243"/>
      <c r="B134" s="1244"/>
      <c r="C134" s="961">
        <f t="shared" si="23"/>
        <v>1</v>
      </c>
      <c r="D134" s="1245"/>
      <c r="E134" s="961">
        <f t="shared" si="24"/>
        <v>1</v>
      </c>
      <c r="F134" s="1245"/>
      <c r="G134" s="961">
        <f t="shared" si="25"/>
        <v>1</v>
      </c>
      <c r="H134" s="1245"/>
      <c r="I134" s="961">
        <f t="shared" si="26"/>
        <v>1</v>
      </c>
      <c r="J134" s="1245"/>
      <c r="K134" s="961">
        <f t="shared" si="27"/>
        <v>1</v>
      </c>
      <c r="L134" s="1245"/>
      <c r="M134" s="961">
        <f t="shared" si="28"/>
        <v>1</v>
      </c>
      <c r="N134" s="1245"/>
      <c r="O134" s="961">
        <f t="shared" si="29"/>
        <v>1</v>
      </c>
      <c r="P134" s="1245"/>
      <c r="Q134" s="961">
        <f t="shared" si="30"/>
        <v>1</v>
      </c>
      <c r="R134" s="961">
        <f t="shared" si="31"/>
        <v>0</v>
      </c>
      <c r="S134" s="935">
        <f t="shared" si="32"/>
        <v>0</v>
      </c>
    </row>
    <row r="135" spans="1:19">
      <c r="A135" s="1243"/>
      <c r="B135" s="1244"/>
      <c r="C135" s="961">
        <f t="shared" si="23"/>
        <v>1</v>
      </c>
      <c r="D135" s="1245"/>
      <c r="E135" s="961">
        <f t="shared" si="24"/>
        <v>1</v>
      </c>
      <c r="F135" s="1245"/>
      <c r="G135" s="961">
        <f t="shared" si="25"/>
        <v>1</v>
      </c>
      <c r="H135" s="1245"/>
      <c r="I135" s="961">
        <f t="shared" si="26"/>
        <v>1</v>
      </c>
      <c r="J135" s="1245"/>
      <c r="K135" s="961">
        <f t="shared" si="27"/>
        <v>1</v>
      </c>
      <c r="L135" s="1245"/>
      <c r="M135" s="961">
        <f t="shared" si="28"/>
        <v>1</v>
      </c>
      <c r="N135" s="1245"/>
      <c r="O135" s="961">
        <f t="shared" si="29"/>
        <v>1</v>
      </c>
      <c r="P135" s="1245"/>
      <c r="Q135" s="961">
        <f t="shared" si="30"/>
        <v>1</v>
      </c>
      <c r="R135" s="961">
        <f t="shared" si="31"/>
        <v>0</v>
      </c>
      <c r="S135" s="935">
        <f t="shared" si="32"/>
        <v>0</v>
      </c>
    </row>
    <row r="136" spans="1:19">
      <c r="A136" s="1243"/>
      <c r="B136" s="1244"/>
      <c r="C136" s="961">
        <f t="shared" si="23"/>
        <v>1</v>
      </c>
      <c r="D136" s="1245"/>
      <c r="E136" s="961">
        <f t="shared" si="24"/>
        <v>1</v>
      </c>
      <c r="F136" s="1245"/>
      <c r="G136" s="961">
        <f t="shared" si="25"/>
        <v>1</v>
      </c>
      <c r="H136" s="1245"/>
      <c r="I136" s="961">
        <f t="shared" si="26"/>
        <v>1</v>
      </c>
      <c r="J136" s="1245"/>
      <c r="K136" s="961">
        <f t="shared" si="27"/>
        <v>1</v>
      </c>
      <c r="L136" s="1245"/>
      <c r="M136" s="961">
        <f t="shared" si="28"/>
        <v>1</v>
      </c>
      <c r="N136" s="1245"/>
      <c r="O136" s="961">
        <f t="shared" si="29"/>
        <v>1</v>
      </c>
      <c r="P136" s="1245"/>
      <c r="Q136" s="961">
        <f t="shared" si="30"/>
        <v>1</v>
      </c>
      <c r="R136" s="961">
        <f t="shared" si="31"/>
        <v>0</v>
      </c>
      <c r="S136" s="935">
        <f t="shared" si="32"/>
        <v>0</v>
      </c>
    </row>
    <row r="137" spans="1:19">
      <c r="A137" s="1243"/>
      <c r="B137" s="1244"/>
      <c r="C137" s="961">
        <f t="shared" si="23"/>
        <v>1</v>
      </c>
      <c r="D137" s="1245"/>
      <c r="E137" s="961">
        <f t="shared" si="24"/>
        <v>1</v>
      </c>
      <c r="F137" s="1245"/>
      <c r="G137" s="961">
        <f t="shared" si="25"/>
        <v>1</v>
      </c>
      <c r="H137" s="1245"/>
      <c r="I137" s="961">
        <f t="shared" si="26"/>
        <v>1</v>
      </c>
      <c r="J137" s="1245"/>
      <c r="K137" s="961">
        <f t="shared" si="27"/>
        <v>1</v>
      </c>
      <c r="L137" s="1245"/>
      <c r="M137" s="961">
        <f t="shared" si="28"/>
        <v>1</v>
      </c>
      <c r="N137" s="1245"/>
      <c r="O137" s="961">
        <f t="shared" si="29"/>
        <v>1</v>
      </c>
      <c r="P137" s="1245"/>
      <c r="Q137" s="961">
        <f t="shared" si="30"/>
        <v>1</v>
      </c>
      <c r="R137" s="961">
        <f t="shared" si="31"/>
        <v>0</v>
      </c>
      <c r="S137" s="935">
        <f t="shared" si="32"/>
        <v>0</v>
      </c>
    </row>
    <row r="138" spans="1:19">
      <c r="A138" s="1243"/>
      <c r="B138" s="1244"/>
      <c r="C138" s="961">
        <f t="shared" si="23"/>
        <v>1</v>
      </c>
      <c r="D138" s="1245"/>
      <c r="E138" s="961">
        <f t="shared" si="24"/>
        <v>1</v>
      </c>
      <c r="F138" s="1245"/>
      <c r="G138" s="961">
        <f t="shared" si="25"/>
        <v>1</v>
      </c>
      <c r="H138" s="1245"/>
      <c r="I138" s="961">
        <f t="shared" si="26"/>
        <v>1</v>
      </c>
      <c r="J138" s="1245"/>
      <c r="K138" s="961">
        <f t="shared" si="27"/>
        <v>1</v>
      </c>
      <c r="L138" s="1245"/>
      <c r="M138" s="961">
        <f t="shared" si="28"/>
        <v>1</v>
      </c>
      <c r="N138" s="1245"/>
      <c r="O138" s="961">
        <f t="shared" si="29"/>
        <v>1</v>
      </c>
      <c r="P138" s="1245"/>
      <c r="Q138" s="961">
        <f t="shared" si="30"/>
        <v>1</v>
      </c>
      <c r="R138" s="961">
        <f t="shared" si="31"/>
        <v>0</v>
      </c>
      <c r="S138" s="935">
        <f t="shared" si="32"/>
        <v>0</v>
      </c>
    </row>
    <row r="139" spans="1:19">
      <c r="A139" s="1243"/>
      <c r="B139" s="1244"/>
      <c r="C139" s="961">
        <f t="shared" si="23"/>
        <v>1</v>
      </c>
      <c r="D139" s="1245"/>
      <c r="E139" s="961">
        <f t="shared" si="24"/>
        <v>1</v>
      </c>
      <c r="F139" s="1245"/>
      <c r="G139" s="961">
        <f t="shared" si="25"/>
        <v>1</v>
      </c>
      <c r="H139" s="1245"/>
      <c r="I139" s="961">
        <f t="shared" si="26"/>
        <v>1</v>
      </c>
      <c r="J139" s="1245"/>
      <c r="K139" s="961">
        <f t="shared" si="27"/>
        <v>1</v>
      </c>
      <c r="L139" s="1245"/>
      <c r="M139" s="961">
        <f t="shared" si="28"/>
        <v>1</v>
      </c>
      <c r="N139" s="1245"/>
      <c r="O139" s="961">
        <f t="shared" si="29"/>
        <v>1</v>
      </c>
      <c r="P139" s="1245"/>
      <c r="Q139" s="961">
        <f t="shared" si="30"/>
        <v>1</v>
      </c>
      <c r="R139" s="961">
        <f t="shared" si="31"/>
        <v>0</v>
      </c>
      <c r="S139" s="935">
        <f t="shared" si="32"/>
        <v>0</v>
      </c>
    </row>
    <row r="140" spans="1:19">
      <c r="A140" s="1243"/>
      <c r="B140" s="1244"/>
      <c r="C140" s="961">
        <f t="shared" si="23"/>
        <v>1</v>
      </c>
      <c r="D140" s="1245"/>
      <c r="E140" s="961">
        <f t="shared" si="24"/>
        <v>1</v>
      </c>
      <c r="F140" s="1245"/>
      <c r="G140" s="961">
        <f t="shared" si="25"/>
        <v>1</v>
      </c>
      <c r="H140" s="1245"/>
      <c r="I140" s="961">
        <f t="shared" si="26"/>
        <v>1</v>
      </c>
      <c r="J140" s="1245"/>
      <c r="K140" s="961">
        <f t="shared" si="27"/>
        <v>1</v>
      </c>
      <c r="L140" s="1245"/>
      <c r="M140" s="961">
        <f t="shared" si="28"/>
        <v>1</v>
      </c>
      <c r="N140" s="1245"/>
      <c r="O140" s="961">
        <f t="shared" si="29"/>
        <v>1</v>
      </c>
      <c r="P140" s="1245"/>
      <c r="Q140" s="961">
        <f t="shared" si="30"/>
        <v>1</v>
      </c>
      <c r="R140" s="961">
        <f t="shared" si="31"/>
        <v>0</v>
      </c>
      <c r="S140" s="935">
        <f t="shared" si="32"/>
        <v>0</v>
      </c>
    </row>
    <row r="141" spans="1:19">
      <c r="A141" s="1243"/>
      <c r="B141" s="1244"/>
      <c r="C141" s="961">
        <f t="shared" si="23"/>
        <v>1</v>
      </c>
      <c r="D141" s="1245"/>
      <c r="E141" s="961">
        <f t="shared" si="24"/>
        <v>1</v>
      </c>
      <c r="F141" s="1245"/>
      <c r="G141" s="961">
        <f t="shared" si="25"/>
        <v>1</v>
      </c>
      <c r="H141" s="1245"/>
      <c r="I141" s="961">
        <f t="shared" si="26"/>
        <v>1</v>
      </c>
      <c r="J141" s="1245"/>
      <c r="K141" s="961">
        <f t="shared" si="27"/>
        <v>1</v>
      </c>
      <c r="L141" s="1245"/>
      <c r="M141" s="961">
        <f t="shared" si="28"/>
        <v>1</v>
      </c>
      <c r="N141" s="1245"/>
      <c r="O141" s="961">
        <f t="shared" si="29"/>
        <v>1</v>
      </c>
      <c r="P141" s="1245"/>
      <c r="Q141" s="961">
        <f t="shared" si="30"/>
        <v>1</v>
      </c>
      <c r="R141" s="961">
        <f t="shared" si="31"/>
        <v>0</v>
      </c>
      <c r="S141" s="935">
        <f t="shared" si="32"/>
        <v>0</v>
      </c>
    </row>
    <row r="142" spans="1:19">
      <c r="A142" s="1243"/>
      <c r="B142" s="1244"/>
      <c r="C142" s="961">
        <f t="shared" si="23"/>
        <v>1</v>
      </c>
      <c r="D142" s="1245"/>
      <c r="E142" s="961">
        <f t="shared" si="24"/>
        <v>1</v>
      </c>
      <c r="F142" s="1245"/>
      <c r="G142" s="961">
        <f t="shared" si="25"/>
        <v>1</v>
      </c>
      <c r="H142" s="1245"/>
      <c r="I142" s="961">
        <f t="shared" si="26"/>
        <v>1</v>
      </c>
      <c r="J142" s="1245"/>
      <c r="K142" s="961">
        <f t="shared" si="27"/>
        <v>1</v>
      </c>
      <c r="L142" s="1245"/>
      <c r="M142" s="961">
        <f t="shared" si="28"/>
        <v>1</v>
      </c>
      <c r="N142" s="1245"/>
      <c r="O142" s="961">
        <f t="shared" si="29"/>
        <v>1</v>
      </c>
      <c r="P142" s="1245"/>
      <c r="Q142" s="961">
        <f t="shared" si="30"/>
        <v>1</v>
      </c>
      <c r="R142" s="961">
        <f t="shared" si="31"/>
        <v>0</v>
      </c>
      <c r="S142" s="935">
        <f t="shared" si="32"/>
        <v>0</v>
      </c>
    </row>
    <row r="143" spans="1:19">
      <c r="A143" s="1243"/>
      <c r="B143" s="1244"/>
      <c r="C143" s="961">
        <f t="shared" si="23"/>
        <v>1</v>
      </c>
      <c r="D143" s="1245"/>
      <c r="E143" s="961">
        <f t="shared" si="24"/>
        <v>1</v>
      </c>
      <c r="F143" s="1245"/>
      <c r="G143" s="961">
        <f t="shared" si="25"/>
        <v>1</v>
      </c>
      <c r="H143" s="1245"/>
      <c r="I143" s="961">
        <f t="shared" si="26"/>
        <v>1</v>
      </c>
      <c r="J143" s="1245"/>
      <c r="K143" s="961">
        <f t="shared" si="27"/>
        <v>1</v>
      </c>
      <c r="L143" s="1245"/>
      <c r="M143" s="961">
        <f t="shared" si="28"/>
        <v>1</v>
      </c>
      <c r="N143" s="1245"/>
      <c r="O143" s="961">
        <f t="shared" si="29"/>
        <v>1</v>
      </c>
      <c r="P143" s="1245"/>
      <c r="Q143" s="961">
        <f t="shared" si="30"/>
        <v>1</v>
      </c>
      <c r="R143" s="961">
        <f t="shared" si="31"/>
        <v>0</v>
      </c>
      <c r="S143" s="935">
        <f t="shared" si="32"/>
        <v>0</v>
      </c>
    </row>
    <row r="144" spans="1:19">
      <c r="A144" s="1243"/>
      <c r="B144" s="1244"/>
      <c r="C144" s="961">
        <f t="shared" si="23"/>
        <v>1</v>
      </c>
      <c r="D144" s="1245"/>
      <c r="E144" s="961">
        <f t="shared" si="24"/>
        <v>1</v>
      </c>
      <c r="F144" s="1245"/>
      <c r="G144" s="961">
        <f t="shared" si="25"/>
        <v>1</v>
      </c>
      <c r="H144" s="1245"/>
      <c r="I144" s="961">
        <f t="shared" si="26"/>
        <v>1</v>
      </c>
      <c r="J144" s="1245"/>
      <c r="K144" s="961">
        <f t="shared" si="27"/>
        <v>1</v>
      </c>
      <c r="L144" s="1245"/>
      <c r="M144" s="961">
        <f t="shared" si="28"/>
        <v>1</v>
      </c>
      <c r="N144" s="1245"/>
      <c r="O144" s="961">
        <f t="shared" si="29"/>
        <v>1</v>
      </c>
      <c r="P144" s="1245"/>
      <c r="Q144" s="961">
        <f t="shared" si="30"/>
        <v>1</v>
      </c>
      <c r="R144" s="961">
        <f t="shared" si="31"/>
        <v>0</v>
      </c>
      <c r="S144" s="935">
        <f t="shared" si="32"/>
        <v>0</v>
      </c>
    </row>
    <row r="145" spans="1:19">
      <c r="A145" s="1243"/>
      <c r="B145" s="1244"/>
      <c r="C145" s="961">
        <f t="shared" si="23"/>
        <v>1</v>
      </c>
      <c r="D145" s="1245"/>
      <c r="E145" s="961">
        <f t="shared" si="24"/>
        <v>1</v>
      </c>
      <c r="F145" s="1245"/>
      <c r="G145" s="961">
        <f t="shared" si="25"/>
        <v>1</v>
      </c>
      <c r="H145" s="1245"/>
      <c r="I145" s="961">
        <f t="shared" si="26"/>
        <v>1</v>
      </c>
      <c r="J145" s="1245"/>
      <c r="K145" s="961">
        <f t="shared" si="27"/>
        <v>1</v>
      </c>
      <c r="L145" s="1245"/>
      <c r="M145" s="961">
        <f t="shared" si="28"/>
        <v>1</v>
      </c>
      <c r="N145" s="1245"/>
      <c r="O145" s="961">
        <f t="shared" si="29"/>
        <v>1</v>
      </c>
      <c r="P145" s="1245"/>
      <c r="Q145" s="961">
        <f t="shared" si="30"/>
        <v>1</v>
      </c>
      <c r="R145" s="961">
        <f t="shared" si="31"/>
        <v>0</v>
      </c>
      <c r="S145" s="935">
        <f t="shared" si="32"/>
        <v>0</v>
      </c>
    </row>
    <row r="146" spans="1:19">
      <c r="A146" s="1243"/>
      <c r="B146" s="1244"/>
      <c r="C146" s="961">
        <f t="shared" si="23"/>
        <v>1</v>
      </c>
      <c r="D146" s="1245"/>
      <c r="E146" s="961">
        <f t="shared" si="24"/>
        <v>1</v>
      </c>
      <c r="F146" s="1245"/>
      <c r="G146" s="961">
        <f t="shared" si="25"/>
        <v>1</v>
      </c>
      <c r="H146" s="1245"/>
      <c r="I146" s="961">
        <f t="shared" si="26"/>
        <v>1</v>
      </c>
      <c r="J146" s="1245"/>
      <c r="K146" s="961">
        <f t="shared" si="27"/>
        <v>1</v>
      </c>
      <c r="L146" s="1245"/>
      <c r="M146" s="961">
        <f t="shared" si="28"/>
        <v>1</v>
      </c>
      <c r="N146" s="1245"/>
      <c r="O146" s="961">
        <f t="shared" si="29"/>
        <v>1</v>
      </c>
      <c r="P146" s="1245"/>
      <c r="Q146" s="961">
        <f t="shared" si="30"/>
        <v>1</v>
      </c>
      <c r="R146" s="961">
        <f t="shared" si="31"/>
        <v>0</v>
      </c>
      <c r="S146" s="935">
        <f t="shared" si="32"/>
        <v>0</v>
      </c>
    </row>
    <row r="147" spans="1:19">
      <c r="A147" s="1243"/>
      <c r="B147" s="1244"/>
      <c r="C147" s="961">
        <f t="shared" si="23"/>
        <v>1</v>
      </c>
      <c r="D147" s="1245"/>
      <c r="E147" s="961">
        <f t="shared" si="24"/>
        <v>1</v>
      </c>
      <c r="F147" s="1245"/>
      <c r="G147" s="961">
        <f t="shared" si="25"/>
        <v>1</v>
      </c>
      <c r="H147" s="1245"/>
      <c r="I147" s="961">
        <f t="shared" si="26"/>
        <v>1</v>
      </c>
      <c r="J147" s="1245"/>
      <c r="K147" s="961">
        <f t="shared" si="27"/>
        <v>1</v>
      </c>
      <c r="L147" s="1245"/>
      <c r="M147" s="961">
        <f t="shared" si="28"/>
        <v>1</v>
      </c>
      <c r="N147" s="1245"/>
      <c r="O147" s="961">
        <f t="shared" si="29"/>
        <v>1</v>
      </c>
      <c r="P147" s="1245"/>
      <c r="Q147" s="961">
        <f t="shared" si="30"/>
        <v>1</v>
      </c>
      <c r="R147" s="961">
        <f t="shared" si="31"/>
        <v>0</v>
      </c>
      <c r="S147" s="935">
        <f t="shared" si="32"/>
        <v>0</v>
      </c>
    </row>
    <row r="148" spans="1:19">
      <c r="A148" s="1243"/>
      <c r="B148" s="1244"/>
      <c r="C148" s="961">
        <f t="shared" si="23"/>
        <v>1</v>
      </c>
      <c r="D148" s="1245"/>
      <c r="E148" s="961">
        <f t="shared" si="24"/>
        <v>1</v>
      </c>
      <c r="F148" s="1245"/>
      <c r="G148" s="961">
        <f t="shared" si="25"/>
        <v>1</v>
      </c>
      <c r="H148" s="1245"/>
      <c r="I148" s="961">
        <f t="shared" si="26"/>
        <v>1</v>
      </c>
      <c r="J148" s="1245"/>
      <c r="K148" s="961">
        <f t="shared" si="27"/>
        <v>1</v>
      </c>
      <c r="L148" s="1245"/>
      <c r="M148" s="961">
        <f t="shared" si="28"/>
        <v>1</v>
      </c>
      <c r="N148" s="1245"/>
      <c r="O148" s="961">
        <f t="shared" si="29"/>
        <v>1</v>
      </c>
      <c r="P148" s="1245"/>
      <c r="Q148" s="961">
        <f t="shared" si="30"/>
        <v>1</v>
      </c>
      <c r="R148" s="961">
        <f t="shared" si="31"/>
        <v>0</v>
      </c>
      <c r="S148" s="935">
        <f t="shared" si="32"/>
        <v>0</v>
      </c>
    </row>
    <row r="149" spans="1:19">
      <c r="A149" s="1243"/>
      <c r="B149" s="1244"/>
      <c r="C149" s="961">
        <f t="shared" si="23"/>
        <v>1</v>
      </c>
      <c r="D149" s="1245"/>
      <c r="E149" s="961">
        <f t="shared" si="24"/>
        <v>1</v>
      </c>
      <c r="F149" s="1245"/>
      <c r="G149" s="961">
        <f t="shared" si="25"/>
        <v>1</v>
      </c>
      <c r="H149" s="1245"/>
      <c r="I149" s="961">
        <f t="shared" si="26"/>
        <v>1</v>
      </c>
      <c r="J149" s="1245"/>
      <c r="K149" s="961">
        <f t="shared" si="27"/>
        <v>1</v>
      </c>
      <c r="L149" s="1245"/>
      <c r="M149" s="961">
        <f t="shared" si="28"/>
        <v>1</v>
      </c>
      <c r="N149" s="1245"/>
      <c r="O149" s="961">
        <f t="shared" si="29"/>
        <v>1</v>
      </c>
      <c r="P149" s="1245"/>
      <c r="Q149" s="961">
        <f t="shared" si="30"/>
        <v>1</v>
      </c>
      <c r="R149" s="961">
        <f t="shared" si="31"/>
        <v>0</v>
      </c>
      <c r="S149" s="935">
        <f t="shared" si="32"/>
        <v>0</v>
      </c>
    </row>
    <row r="150" spans="1:19">
      <c r="A150" s="1243"/>
      <c r="B150" s="1244"/>
      <c r="C150" s="961">
        <f t="shared" si="23"/>
        <v>1</v>
      </c>
      <c r="D150" s="1245"/>
      <c r="E150" s="961">
        <f t="shared" si="24"/>
        <v>1</v>
      </c>
      <c r="F150" s="1245"/>
      <c r="G150" s="961">
        <f t="shared" si="25"/>
        <v>1</v>
      </c>
      <c r="H150" s="1245"/>
      <c r="I150" s="961">
        <f t="shared" si="26"/>
        <v>1</v>
      </c>
      <c r="J150" s="1245"/>
      <c r="K150" s="961">
        <f t="shared" si="27"/>
        <v>1</v>
      </c>
      <c r="L150" s="1245"/>
      <c r="M150" s="961">
        <f t="shared" si="28"/>
        <v>1</v>
      </c>
      <c r="N150" s="1245"/>
      <c r="O150" s="961">
        <f t="shared" si="29"/>
        <v>1</v>
      </c>
      <c r="P150" s="1245"/>
      <c r="Q150" s="961">
        <f t="shared" si="30"/>
        <v>1</v>
      </c>
      <c r="R150" s="961">
        <f t="shared" si="31"/>
        <v>0</v>
      </c>
      <c r="S150" s="935">
        <f t="shared" si="32"/>
        <v>0</v>
      </c>
    </row>
    <row r="151" spans="1:19">
      <c r="A151" s="1243"/>
      <c r="B151" s="1244"/>
      <c r="C151" s="961">
        <f t="shared" si="23"/>
        <v>1</v>
      </c>
      <c r="D151" s="1245"/>
      <c r="E151" s="961">
        <f t="shared" si="24"/>
        <v>1</v>
      </c>
      <c r="F151" s="1245"/>
      <c r="G151" s="961">
        <f t="shared" si="25"/>
        <v>1</v>
      </c>
      <c r="H151" s="1245"/>
      <c r="I151" s="961">
        <f t="shared" si="26"/>
        <v>1</v>
      </c>
      <c r="J151" s="1245"/>
      <c r="K151" s="961">
        <f t="shared" si="27"/>
        <v>1</v>
      </c>
      <c r="L151" s="1245"/>
      <c r="M151" s="961">
        <f t="shared" si="28"/>
        <v>1</v>
      </c>
      <c r="N151" s="1245"/>
      <c r="O151" s="961">
        <f t="shared" si="29"/>
        <v>1</v>
      </c>
      <c r="P151" s="1245"/>
      <c r="Q151" s="961">
        <f t="shared" si="30"/>
        <v>1</v>
      </c>
      <c r="R151" s="961">
        <f t="shared" si="31"/>
        <v>0</v>
      </c>
      <c r="S151" s="935">
        <f t="shared" si="32"/>
        <v>0</v>
      </c>
    </row>
    <row r="152" spans="1:19">
      <c r="A152" s="1243"/>
      <c r="B152" s="1244"/>
      <c r="C152" s="961">
        <f t="shared" si="23"/>
        <v>1</v>
      </c>
      <c r="D152" s="1245"/>
      <c r="E152" s="961">
        <f t="shared" si="24"/>
        <v>1</v>
      </c>
      <c r="F152" s="1245"/>
      <c r="G152" s="961">
        <f t="shared" si="25"/>
        <v>1</v>
      </c>
      <c r="H152" s="1245"/>
      <c r="I152" s="961">
        <f t="shared" si="26"/>
        <v>1</v>
      </c>
      <c r="J152" s="1245"/>
      <c r="K152" s="961">
        <f t="shared" si="27"/>
        <v>1</v>
      </c>
      <c r="L152" s="1245"/>
      <c r="M152" s="961">
        <f t="shared" si="28"/>
        <v>1</v>
      </c>
      <c r="N152" s="1245"/>
      <c r="O152" s="961">
        <f t="shared" si="29"/>
        <v>1</v>
      </c>
      <c r="P152" s="1245"/>
      <c r="Q152" s="961">
        <f t="shared" si="30"/>
        <v>1</v>
      </c>
      <c r="R152" s="961">
        <f t="shared" si="31"/>
        <v>0</v>
      </c>
      <c r="S152" s="935">
        <f t="shared" si="32"/>
        <v>0</v>
      </c>
    </row>
    <row r="153" spans="1:19">
      <c r="A153" s="1243"/>
      <c r="B153" s="1244"/>
      <c r="C153" s="961">
        <f t="shared" si="23"/>
        <v>1</v>
      </c>
      <c r="D153" s="1245"/>
      <c r="E153" s="961">
        <f t="shared" si="24"/>
        <v>1</v>
      </c>
      <c r="F153" s="1245"/>
      <c r="G153" s="961">
        <f t="shared" si="25"/>
        <v>1</v>
      </c>
      <c r="H153" s="1245"/>
      <c r="I153" s="961">
        <f t="shared" si="26"/>
        <v>1</v>
      </c>
      <c r="J153" s="1245"/>
      <c r="K153" s="961">
        <f t="shared" si="27"/>
        <v>1</v>
      </c>
      <c r="L153" s="1245"/>
      <c r="M153" s="961">
        <f t="shared" si="28"/>
        <v>1</v>
      </c>
      <c r="N153" s="1245"/>
      <c r="O153" s="961">
        <f t="shared" si="29"/>
        <v>1</v>
      </c>
      <c r="P153" s="1245"/>
      <c r="Q153" s="961">
        <f t="shared" si="30"/>
        <v>1</v>
      </c>
      <c r="R153" s="961">
        <f t="shared" si="31"/>
        <v>0</v>
      </c>
      <c r="S153" s="935">
        <f t="shared" si="32"/>
        <v>0</v>
      </c>
    </row>
    <row r="154" spans="1:19">
      <c r="A154" s="1243"/>
      <c r="B154" s="1244"/>
      <c r="C154" s="961">
        <f t="shared" ref="C154:C217" si="33">IF(B154="",1,(LOOKUP(B154,$3:$3,$4:$4)-LOOKUP($B$24,$3:$3,$4:$4)+100)/100)</f>
        <v>1</v>
      </c>
      <c r="D154" s="1245"/>
      <c r="E154" s="961">
        <f t="shared" ref="E154:E217" si="34">(SUMIF($5:$5,D154,$6:$6)-SUMIF($5:$5,$D$24,$6:$6)+100)/100</f>
        <v>1</v>
      </c>
      <c r="F154" s="1245"/>
      <c r="G154" s="961">
        <f t="shared" ref="G154:G217" si="35">(SUMIF($7:$7,F154,$8:$8)-SUMIF($7:$7,$F$24,$8:$8)+100)/100</f>
        <v>1</v>
      </c>
      <c r="H154" s="1245"/>
      <c r="I154" s="961">
        <f t="shared" ref="I154:I217" si="36">(SUMIF($9:$9,H154,$10:$10)-SUMIF($9:$9,$H$24,$10:$10)+100)/100</f>
        <v>1</v>
      </c>
      <c r="J154" s="1245"/>
      <c r="K154" s="961">
        <f t="shared" ref="K154:K217" si="37">(SUMIF($11:$11,J154,$12:$12)-SUMIF($11:$11,$J$24,$12:$12)+100)/100</f>
        <v>1</v>
      </c>
      <c r="L154" s="1245"/>
      <c r="M154" s="961">
        <f t="shared" ref="M154:M217" si="38">(SUMIF($13:$13,L154,$14:$14)-SUMIF($13:$13,$L$24,$14:$14)+100)/100</f>
        <v>1</v>
      </c>
      <c r="N154" s="1245"/>
      <c r="O154" s="961">
        <f t="shared" ref="O154:O217" si="39">(SUMIF($15:$15,N154,$16:$16)-SUMIF($15:$15,$N$24,$16:$16)+100)/100</f>
        <v>1</v>
      </c>
      <c r="P154" s="1245"/>
      <c r="Q154" s="961">
        <f t="shared" ref="Q154:Q217" si="40">(SUMIF($17:$17,P154,$18:$18)-SUMIF($17:$17,$P$24,$18:$18)+100)/100</f>
        <v>1</v>
      </c>
      <c r="R154" s="961">
        <f t="shared" ref="R154:R217" si="41">IF(B154="",0,ROUND($R$24*C154*E154*G154*I154*K154*M154*O154*Q154,0))</f>
        <v>0</v>
      </c>
      <c r="S154" s="935">
        <f t="shared" si="32"/>
        <v>0</v>
      </c>
    </row>
    <row r="155" spans="1:19">
      <c r="A155" s="1243"/>
      <c r="B155" s="1244"/>
      <c r="C155" s="961">
        <f t="shared" si="33"/>
        <v>1</v>
      </c>
      <c r="D155" s="1245"/>
      <c r="E155" s="961">
        <f t="shared" si="34"/>
        <v>1</v>
      </c>
      <c r="F155" s="1245"/>
      <c r="G155" s="961">
        <f t="shared" si="35"/>
        <v>1</v>
      </c>
      <c r="H155" s="1245"/>
      <c r="I155" s="961">
        <f t="shared" si="36"/>
        <v>1</v>
      </c>
      <c r="J155" s="1245"/>
      <c r="K155" s="961">
        <f t="shared" si="37"/>
        <v>1</v>
      </c>
      <c r="L155" s="1245"/>
      <c r="M155" s="961">
        <f t="shared" si="38"/>
        <v>1</v>
      </c>
      <c r="N155" s="1245"/>
      <c r="O155" s="961">
        <f t="shared" si="39"/>
        <v>1</v>
      </c>
      <c r="P155" s="1245"/>
      <c r="Q155" s="961">
        <f t="shared" si="40"/>
        <v>1</v>
      </c>
      <c r="R155" s="961">
        <f t="shared" si="41"/>
        <v>0</v>
      </c>
      <c r="S155" s="935">
        <f t="shared" si="32"/>
        <v>0</v>
      </c>
    </row>
    <row r="156" spans="1:19">
      <c r="A156" s="1243"/>
      <c r="B156" s="1244"/>
      <c r="C156" s="961">
        <f t="shared" si="33"/>
        <v>1</v>
      </c>
      <c r="D156" s="1245"/>
      <c r="E156" s="961">
        <f t="shared" si="34"/>
        <v>1</v>
      </c>
      <c r="F156" s="1245"/>
      <c r="G156" s="961">
        <f t="shared" si="35"/>
        <v>1</v>
      </c>
      <c r="H156" s="1245"/>
      <c r="I156" s="961">
        <f t="shared" si="36"/>
        <v>1</v>
      </c>
      <c r="J156" s="1245"/>
      <c r="K156" s="961">
        <f t="shared" si="37"/>
        <v>1</v>
      </c>
      <c r="L156" s="1245"/>
      <c r="M156" s="961">
        <f t="shared" si="38"/>
        <v>1</v>
      </c>
      <c r="N156" s="1245"/>
      <c r="O156" s="961">
        <f t="shared" si="39"/>
        <v>1</v>
      </c>
      <c r="P156" s="1245"/>
      <c r="Q156" s="961">
        <f t="shared" si="40"/>
        <v>1</v>
      </c>
      <c r="R156" s="961">
        <f t="shared" si="41"/>
        <v>0</v>
      </c>
      <c r="S156" s="935">
        <f t="shared" si="32"/>
        <v>0</v>
      </c>
    </row>
    <row r="157" spans="1:19">
      <c r="A157" s="1243"/>
      <c r="B157" s="1244"/>
      <c r="C157" s="961">
        <f t="shared" si="33"/>
        <v>1</v>
      </c>
      <c r="D157" s="1245"/>
      <c r="E157" s="961">
        <f t="shared" si="34"/>
        <v>1</v>
      </c>
      <c r="F157" s="1245"/>
      <c r="G157" s="961">
        <f t="shared" si="35"/>
        <v>1</v>
      </c>
      <c r="H157" s="1245"/>
      <c r="I157" s="961">
        <f t="shared" si="36"/>
        <v>1</v>
      </c>
      <c r="J157" s="1245"/>
      <c r="K157" s="961">
        <f t="shared" si="37"/>
        <v>1</v>
      </c>
      <c r="L157" s="1245"/>
      <c r="M157" s="961">
        <f t="shared" si="38"/>
        <v>1</v>
      </c>
      <c r="N157" s="1245"/>
      <c r="O157" s="961">
        <f t="shared" si="39"/>
        <v>1</v>
      </c>
      <c r="P157" s="1245"/>
      <c r="Q157" s="961">
        <f t="shared" si="40"/>
        <v>1</v>
      </c>
      <c r="R157" s="961">
        <f t="shared" si="41"/>
        <v>0</v>
      </c>
      <c r="S157" s="935">
        <f t="shared" si="32"/>
        <v>0</v>
      </c>
    </row>
    <row r="158" spans="1:19">
      <c r="A158" s="1243"/>
      <c r="B158" s="1244"/>
      <c r="C158" s="961">
        <f t="shared" si="33"/>
        <v>1</v>
      </c>
      <c r="D158" s="1245"/>
      <c r="E158" s="961">
        <f t="shared" si="34"/>
        <v>1</v>
      </c>
      <c r="F158" s="1245"/>
      <c r="G158" s="961">
        <f t="shared" si="35"/>
        <v>1</v>
      </c>
      <c r="H158" s="1245"/>
      <c r="I158" s="961">
        <f t="shared" si="36"/>
        <v>1</v>
      </c>
      <c r="J158" s="1245"/>
      <c r="K158" s="961">
        <f t="shared" si="37"/>
        <v>1</v>
      </c>
      <c r="L158" s="1245"/>
      <c r="M158" s="961">
        <f t="shared" si="38"/>
        <v>1</v>
      </c>
      <c r="N158" s="1245"/>
      <c r="O158" s="961">
        <f t="shared" si="39"/>
        <v>1</v>
      </c>
      <c r="P158" s="1245"/>
      <c r="Q158" s="961">
        <f t="shared" si="40"/>
        <v>1</v>
      </c>
      <c r="R158" s="961">
        <f t="shared" si="41"/>
        <v>0</v>
      </c>
      <c r="S158" s="935">
        <f t="shared" si="32"/>
        <v>0</v>
      </c>
    </row>
    <row r="159" spans="1:19">
      <c r="A159" s="1243"/>
      <c r="B159" s="1244"/>
      <c r="C159" s="961">
        <f t="shared" si="33"/>
        <v>1</v>
      </c>
      <c r="D159" s="1245"/>
      <c r="E159" s="961">
        <f t="shared" si="34"/>
        <v>1</v>
      </c>
      <c r="F159" s="1245"/>
      <c r="G159" s="961">
        <f t="shared" si="35"/>
        <v>1</v>
      </c>
      <c r="H159" s="1245"/>
      <c r="I159" s="961">
        <f t="shared" si="36"/>
        <v>1</v>
      </c>
      <c r="J159" s="1245"/>
      <c r="K159" s="961">
        <f t="shared" si="37"/>
        <v>1</v>
      </c>
      <c r="L159" s="1245"/>
      <c r="M159" s="961">
        <f t="shared" si="38"/>
        <v>1</v>
      </c>
      <c r="N159" s="1245"/>
      <c r="O159" s="961">
        <f t="shared" si="39"/>
        <v>1</v>
      </c>
      <c r="P159" s="1245"/>
      <c r="Q159" s="961">
        <f t="shared" si="40"/>
        <v>1</v>
      </c>
      <c r="R159" s="961">
        <f t="shared" si="41"/>
        <v>0</v>
      </c>
      <c r="S159" s="935">
        <f t="shared" si="32"/>
        <v>0</v>
      </c>
    </row>
    <row r="160" spans="1:19">
      <c r="A160" s="1243"/>
      <c r="B160" s="1244"/>
      <c r="C160" s="961">
        <f t="shared" si="33"/>
        <v>1</v>
      </c>
      <c r="D160" s="1245"/>
      <c r="E160" s="961">
        <f t="shared" si="34"/>
        <v>1</v>
      </c>
      <c r="F160" s="1245"/>
      <c r="G160" s="961">
        <f t="shared" si="35"/>
        <v>1</v>
      </c>
      <c r="H160" s="1245"/>
      <c r="I160" s="961">
        <f t="shared" si="36"/>
        <v>1</v>
      </c>
      <c r="J160" s="1245"/>
      <c r="K160" s="961">
        <f t="shared" si="37"/>
        <v>1</v>
      </c>
      <c r="L160" s="1245"/>
      <c r="M160" s="961">
        <f t="shared" si="38"/>
        <v>1</v>
      </c>
      <c r="N160" s="1245"/>
      <c r="O160" s="961">
        <f t="shared" si="39"/>
        <v>1</v>
      </c>
      <c r="P160" s="1245"/>
      <c r="Q160" s="961">
        <f t="shared" si="40"/>
        <v>1</v>
      </c>
      <c r="R160" s="961">
        <f t="shared" si="41"/>
        <v>0</v>
      </c>
      <c r="S160" s="935">
        <f t="shared" si="32"/>
        <v>0</v>
      </c>
    </row>
    <row r="161" spans="1:19">
      <c r="A161" s="1243"/>
      <c r="B161" s="1244"/>
      <c r="C161" s="961">
        <f t="shared" si="33"/>
        <v>1</v>
      </c>
      <c r="D161" s="1245"/>
      <c r="E161" s="961">
        <f t="shared" si="34"/>
        <v>1</v>
      </c>
      <c r="F161" s="1245"/>
      <c r="G161" s="961">
        <f t="shared" si="35"/>
        <v>1</v>
      </c>
      <c r="H161" s="1245"/>
      <c r="I161" s="961">
        <f t="shared" si="36"/>
        <v>1</v>
      </c>
      <c r="J161" s="1245"/>
      <c r="K161" s="961">
        <f t="shared" si="37"/>
        <v>1</v>
      </c>
      <c r="L161" s="1245"/>
      <c r="M161" s="961">
        <f t="shared" si="38"/>
        <v>1</v>
      </c>
      <c r="N161" s="1245"/>
      <c r="O161" s="961">
        <f t="shared" si="39"/>
        <v>1</v>
      </c>
      <c r="P161" s="1245"/>
      <c r="Q161" s="961">
        <f t="shared" si="40"/>
        <v>1</v>
      </c>
      <c r="R161" s="961">
        <f t="shared" si="41"/>
        <v>0</v>
      </c>
      <c r="S161" s="935">
        <f t="shared" si="32"/>
        <v>0</v>
      </c>
    </row>
    <row r="162" spans="1:19">
      <c r="A162" s="1243"/>
      <c r="B162" s="1244"/>
      <c r="C162" s="961">
        <f t="shared" si="33"/>
        <v>1</v>
      </c>
      <c r="D162" s="1245"/>
      <c r="E162" s="961">
        <f t="shared" si="34"/>
        <v>1</v>
      </c>
      <c r="F162" s="1245"/>
      <c r="G162" s="961">
        <f t="shared" si="35"/>
        <v>1</v>
      </c>
      <c r="H162" s="1245"/>
      <c r="I162" s="961">
        <f t="shared" si="36"/>
        <v>1</v>
      </c>
      <c r="J162" s="1245"/>
      <c r="K162" s="961">
        <f t="shared" si="37"/>
        <v>1</v>
      </c>
      <c r="L162" s="1245"/>
      <c r="M162" s="961">
        <f t="shared" si="38"/>
        <v>1</v>
      </c>
      <c r="N162" s="1245"/>
      <c r="O162" s="961">
        <f t="shared" si="39"/>
        <v>1</v>
      </c>
      <c r="P162" s="1245"/>
      <c r="Q162" s="961">
        <f t="shared" si="40"/>
        <v>1</v>
      </c>
      <c r="R162" s="961">
        <f t="shared" si="41"/>
        <v>0</v>
      </c>
      <c r="S162" s="935">
        <f t="shared" si="32"/>
        <v>0</v>
      </c>
    </row>
    <row r="163" spans="1:19">
      <c r="A163" s="1243"/>
      <c r="B163" s="1244"/>
      <c r="C163" s="961">
        <f t="shared" si="33"/>
        <v>1</v>
      </c>
      <c r="D163" s="1245"/>
      <c r="E163" s="961">
        <f t="shared" si="34"/>
        <v>1</v>
      </c>
      <c r="F163" s="1245"/>
      <c r="G163" s="961">
        <f t="shared" si="35"/>
        <v>1</v>
      </c>
      <c r="H163" s="1245"/>
      <c r="I163" s="961">
        <f t="shared" si="36"/>
        <v>1</v>
      </c>
      <c r="J163" s="1245"/>
      <c r="K163" s="961">
        <f t="shared" si="37"/>
        <v>1</v>
      </c>
      <c r="L163" s="1245"/>
      <c r="M163" s="961">
        <f t="shared" si="38"/>
        <v>1</v>
      </c>
      <c r="N163" s="1245"/>
      <c r="O163" s="961">
        <f t="shared" si="39"/>
        <v>1</v>
      </c>
      <c r="P163" s="1245"/>
      <c r="Q163" s="961">
        <f t="shared" si="40"/>
        <v>1</v>
      </c>
      <c r="R163" s="961">
        <f t="shared" si="41"/>
        <v>0</v>
      </c>
      <c r="S163" s="935">
        <f t="shared" si="32"/>
        <v>0</v>
      </c>
    </row>
    <row r="164" spans="1:19">
      <c r="A164" s="1243"/>
      <c r="B164" s="1244"/>
      <c r="C164" s="961">
        <f t="shared" si="33"/>
        <v>1</v>
      </c>
      <c r="D164" s="1245"/>
      <c r="E164" s="961">
        <f t="shared" si="34"/>
        <v>1</v>
      </c>
      <c r="F164" s="1245"/>
      <c r="G164" s="961">
        <f t="shared" si="35"/>
        <v>1</v>
      </c>
      <c r="H164" s="1245"/>
      <c r="I164" s="961">
        <f t="shared" si="36"/>
        <v>1</v>
      </c>
      <c r="J164" s="1245"/>
      <c r="K164" s="961">
        <f t="shared" si="37"/>
        <v>1</v>
      </c>
      <c r="L164" s="1245"/>
      <c r="M164" s="961">
        <f t="shared" si="38"/>
        <v>1</v>
      </c>
      <c r="N164" s="1245"/>
      <c r="O164" s="961">
        <f t="shared" si="39"/>
        <v>1</v>
      </c>
      <c r="P164" s="1245"/>
      <c r="Q164" s="961">
        <f t="shared" si="40"/>
        <v>1</v>
      </c>
      <c r="R164" s="961">
        <f t="shared" si="41"/>
        <v>0</v>
      </c>
      <c r="S164" s="935">
        <f t="shared" si="32"/>
        <v>0</v>
      </c>
    </row>
    <row r="165" spans="1:19">
      <c r="A165" s="1243"/>
      <c r="B165" s="1244"/>
      <c r="C165" s="961">
        <f t="shared" si="33"/>
        <v>1</v>
      </c>
      <c r="D165" s="1245"/>
      <c r="E165" s="961">
        <f t="shared" si="34"/>
        <v>1</v>
      </c>
      <c r="F165" s="1245"/>
      <c r="G165" s="961">
        <f t="shared" si="35"/>
        <v>1</v>
      </c>
      <c r="H165" s="1245"/>
      <c r="I165" s="961">
        <f t="shared" si="36"/>
        <v>1</v>
      </c>
      <c r="J165" s="1245"/>
      <c r="K165" s="961">
        <f t="shared" si="37"/>
        <v>1</v>
      </c>
      <c r="L165" s="1245"/>
      <c r="M165" s="961">
        <f t="shared" si="38"/>
        <v>1</v>
      </c>
      <c r="N165" s="1245"/>
      <c r="O165" s="961">
        <f t="shared" si="39"/>
        <v>1</v>
      </c>
      <c r="P165" s="1245"/>
      <c r="Q165" s="961">
        <f t="shared" si="40"/>
        <v>1</v>
      </c>
      <c r="R165" s="961">
        <f t="shared" si="41"/>
        <v>0</v>
      </c>
      <c r="S165" s="935">
        <f t="shared" si="32"/>
        <v>0</v>
      </c>
    </row>
    <row r="166" spans="1:19">
      <c r="A166" s="1243"/>
      <c r="B166" s="1244"/>
      <c r="C166" s="961">
        <f t="shared" si="33"/>
        <v>1</v>
      </c>
      <c r="D166" s="1245"/>
      <c r="E166" s="961">
        <f t="shared" si="34"/>
        <v>1</v>
      </c>
      <c r="F166" s="1245"/>
      <c r="G166" s="961">
        <f t="shared" si="35"/>
        <v>1</v>
      </c>
      <c r="H166" s="1245"/>
      <c r="I166" s="961">
        <f t="shared" si="36"/>
        <v>1</v>
      </c>
      <c r="J166" s="1245"/>
      <c r="K166" s="961">
        <f t="shared" si="37"/>
        <v>1</v>
      </c>
      <c r="L166" s="1245"/>
      <c r="M166" s="961">
        <f t="shared" si="38"/>
        <v>1</v>
      </c>
      <c r="N166" s="1245"/>
      <c r="O166" s="961">
        <f t="shared" si="39"/>
        <v>1</v>
      </c>
      <c r="P166" s="1245"/>
      <c r="Q166" s="961">
        <f t="shared" si="40"/>
        <v>1</v>
      </c>
      <c r="R166" s="961">
        <f t="shared" si="41"/>
        <v>0</v>
      </c>
      <c r="S166" s="935">
        <f t="shared" si="32"/>
        <v>0</v>
      </c>
    </row>
    <row r="167" spans="1:19">
      <c r="A167" s="1243"/>
      <c r="B167" s="1244"/>
      <c r="C167" s="961">
        <f t="shared" si="33"/>
        <v>1</v>
      </c>
      <c r="D167" s="1245"/>
      <c r="E167" s="961">
        <f t="shared" si="34"/>
        <v>1</v>
      </c>
      <c r="F167" s="1245"/>
      <c r="G167" s="961">
        <f t="shared" si="35"/>
        <v>1</v>
      </c>
      <c r="H167" s="1245"/>
      <c r="I167" s="961">
        <f t="shared" si="36"/>
        <v>1</v>
      </c>
      <c r="J167" s="1245"/>
      <c r="K167" s="961">
        <f t="shared" si="37"/>
        <v>1</v>
      </c>
      <c r="L167" s="1245"/>
      <c r="M167" s="961">
        <f t="shared" si="38"/>
        <v>1</v>
      </c>
      <c r="N167" s="1245"/>
      <c r="O167" s="961">
        <f t="shared" si="39"/>
        <v>1</v>
      </c>
      <c r="P167" s="1245"/>
      <c r="Q167" s="961">
        <f t="shared" si="40"/>
        <v>1</v>
      </c>
      <c r="R167" s="961">
        <f t="shared" si="41"/>
        <v>0</v>
      </c>
      <c r="S167" s="935">
        <f t="shared" si="32"/>
        <v>0</v>
      </c>
    </row>
    <row r="168" spans="1:19">
      <c r="A168" s="1243"/>
      <c r="B168" s="1244"/>
      <c r="C168" s="961">
        <f t="shared" si="33"/>
        <v>1</v>
      </c>
      <c r="D168" s="1245"/>
      <c r="E168" s="961">
        <f t="shared" si="34"/>
        <v>1</v>
      </c>
      <c r="F168" s="1245"/>
      <c r="G168" s="961">
        <f t="shared" si="35"/>
        <v>1</v>
      </c>
      <c r="H168" s="1245"/>
      <c r="I168" s="961">
        <f t="shared" si="36"/>
        <v>1</v>
      </c>
      <c r="J168" s="1245"/>
      <c r="K168" s="961">
        <f t="shared" si="37"/>
        <v>1</v>
      </c>
      <c r="L168" s="1245"/>
      <c r="M168" s="961">
        <f t="shared" si="38"/>
        <v>1</v>
      </c>
      <c r="N168" s="1245"/>
      <c r="O168" s="961">
        <f t="shared" si="39"/>
        <v>1</v>
      </c>
      <c r="P168" s="1245"/>
      <c r="Q168" s="961">
        <f t="shared" si="40"/>
        <v>1</v>
      </c>
      <c r="R168" s="961">
        <f t="shared" si="41"/>
        <v>0</v>
      </c>
      <c r="S168" s="935">
        <f t="shared" si="32"/>
        <v>0</v>
      </c>
    </row>
    <row r="169" spans="1:19">
      <c r="A169" s="1243"/>
      <c r="B169" s="1244"/>
      <c r="C169" s="961">
        <f t="shared" si="33"/>
        <v>1</v>
      </c>
      <c r="D169" s="1245"/>
      <c r="E169" s="961">
        <f t="shared" si="34"/>
        <v>1</v>
      </c>
      <c r="F169" s="1245"/>
      <c r="G169" s="961">
        <f t="shared" si="35"/>
        <v>1</v>
      </c>
      <c r="H169" s="1245"/>
      <c r="I169" s="961">
        <f t="shared" si="36"/>
        <v>1</v>
      </c>
      <c r="J169" s="1245"/>
      <c r="K169" s="961">
        <f t="shared" si="37"/>
        <v>1</v>
      </c>
      <c r="L169" s="1245"/>
      <c r="M169" s="961">
        <f t="shared" si="38"/>
        <v>1</v>
      </c>
      <c r="N169" s="1245"/>
      <c r="O169" s="961">
        <f t="shared" si="39"/>
        <v>1</v>
      </c>
      <c r="P169" s="1245"/>
      <c r="Q169" s="961">
        <f t="shared" si="40"/>
        <v>1</v>
      </c>
      <c r="R169" s="961">
        <f t="shared" si="41"/>
        <v>0</v>
      </c>
      <c r="S169" s="935">
        <f t="shared" si="32"/>
        <v>0</v>
      </c>
    </row>
    <row r="170" spans="1:19">
      <c r="A170" s="1243"/>
      <c r="B170" s="1244"/>
      <c r="C170" s="961">
        <f t="shared" si="33"/>
        <v>1</v>
      </c>
      <c r="D170" s="1245"/>
      <c r="E170" s="961">
        <f t="shared" si="34"/>
        <v>1</v>
      </c>
      <c r="F170" s="1245"/>
      <c r="G170" s="961">
        <f t="shared" si="35"/>
        <v>1</v>
      </c>
      <c r="H170" s="1245"/>
      <c r="I170" s="961">
        <f t="shared" si="36"/>
        <v>1</v>
      </c>
      <c r="J170" s="1245"/>
      <c r="K170" s="961">
        <f t="shared" si="37"/>
        <v>1</v>
      </c>
      <c r="L170" s="1245"/>
      <c r="M170" s="961">
        <f t="shared" si="38"/>
        <v>1</v>
      </c>
      <c r="N170" s="1245"/>
      <c r="O170" s="961">
        <f t="shared" si="39"/>
        <v>1</v>
      </c>
      <c r="P170" s="1245"/>
      <c r="Q170" s="961">
        <f t="shared" si="40"/>
        <v>1</v>
      </c>
      <c r="R170" s="961">
        <f t="shared" si="41"/>
        <v>0</v>
      </c>
      <c r="S170" s="935">
        <f t="shared" si="32"/>
        <v>0</v>
      </c>
    </row>
    <row r="171" spans="1:19">
      <c r="A171" s="1243"/>
      <c r="B171" s="1244"/>
      <c r="C171" s="961">
        <f t="shared" si="33"/>
        <v>1</v>
      </c>
      <c r="D171" s="1245"/>
      <c r="E171" s="961">
        <f t="shared" si="34"/>
        <v>1</v>
      </c>
      <c r="F171" s="1245"/>
      <c r="G171" s="961">
        <f t="shared" si="35"/>
        <v>1</v>
      </c>
      <c r="H171" s="1245"/>
      <c r="I171" s="961">
        <f t="shared" si="36"/>
        <v>1</v>
      </c>
      <c r="J171" s="1245"/>
      <c r="K171" s="961">
        <f t="shared" si="37"/>
        <v>1</v>
      </c>
      <c r="L171" s="1245"/>
      <c r="M171" s="961">
        <f t="shared" si="38"/>
        <v>1</v>
      </c>
      <c r="N171" s="1245"/>
      <c r="O171" s="961">
        <f t="shared" si="39"/>
        <v>1</v>
      </c>
      <c r="P171" s="1245"/>
      <c r="Q171" s="961">
        <f t="shared" si="40"/>
        <v>1</v>
      </c>
      <c r="R171" s="961">
        <f t="shared" si="41"/>
        <v>0</v>
      </c>
      <c r="S171" s="935">
        <f t="shared" si="32"/>
        <v>0</v>
      </c>
    </row>
    <row r="172" spans="1:19">
      <c r="A172" s="1243"/>
      <c r="B172" s="1244"/>
      <c r="C172" s="961">
        <f t="shared" si="33"/>
        <v>1</v>
      </c>
      <c r="D172" s="1245"/>
      <c r="E172" s="961">
        <f t="shared" si="34"/>
        <v>1</v>
      </c>
      <c r="F172" s="1245"/>
      <c r="G172" s="961">
        <f t="shared" si="35"/>
        <v>1</v>
      </c>
      <c r="H172" s="1245"/>
      <c r="I172" s="961">
        <f t="shared" si="36"/>
        <v>1</v>
      </c>
      <c r="J172" s="1245"/>
      <c r="K172" s="961">
        <f t="shared" si="37"/>
        <v>1</v>
      </c>
      <c r="L172" s="1245"/>
      <c r="M172" s="961">
        <f t="shared" si="38"/>
        <v>1</v>
      </c>
      <c r="N172" s="1245"/>
      <c r="O172" s="961">
        <f t="shared" si="39"/>
        <v>1</v>
      </c>
      <c r="P172" s="1245"/>
      <c r="Q172" s="961">
        <f t="shared" si="40"/>
        <v>1</v>
      </c>
      <c r="R172" s="961">
        <f t="shared" si="41"/>
        <v>0</v>
      </c>
      <c r="S172" s="935">
        <f t="shared" si="32"/>
        <v>0</v>
      </c>
    </row>
    <row r="173" spans="1:19">
      <c r="A173" s="1243"/>
      <c r="B173" s="1244"/>
      <c r="C173" s="961">
        <f t="shared" si="33"/>
        <v>1</v>
      </c>
      <c r="D173" s="1245"/>
      <c r="E173" s="961">
        <f t="shared" si="34"/>
        <v>1</v>
      </c>
      <c r="F173" s="1245"/>
      <c r="G173" s="961">
        <f t="shared" si="35"/>
        <v>1</v>
      </c>
      <c r="H173" s="1245"/>
      <c r="I173" s="961">
        <f t="shared" si="36"/>
        <v>1</v>
      </c>
      <c r="J173" s="1245"/>
      <c r="K173" s="961">
        <f t="shared" si="37"/>
        <v>1</v>
      </c>
      <c r="L173" s="1245"/>
      <c r="M173" s="961">
        <f t="shared" si="38"/>
        <v>1</v>
      </c>
      <c r="N173" s="1245"/>
      <c r="O173" s="961">
        <f t="shared" si="39"/>
        <v>1</v>
      </c>
      <c r="P173" s="1245"/>
      <c r="Q173" s="961">
        <f t="shared" si="40"/>
        <v>1</v>
      </c>
      <c r="R173" s="961">
        <f t="shared" si="41"/>
        <v>0</v>
      </c>
      <c r="S173" s="935">
        <f t="shared" si="32"/>
        <v>0</v>
      </c>
    </row>
    <row r="174" spans="1:19">
      <c r="A174" s="1243"/>
      <c r="B174" s="1244"/>
      <c r="C174" s="961">
        <f t="shared" si="33"/>
        <v>1</v>
      </c>
      <c r="D174" s="1245"/>
      <c r="E174" s="961">
        <f t="shared" si="34"/>
        <v>1</v>
      </c>
      <c r="F174" s="1245"/>
      <c r="G174" s="961">
        <f t="shared" si="35"/>
        <v>1</v>
      </c>
      <c r="H174" s="1245"/>
      <c r="I174" s="961">
        <f t="shared" si="36"/>
        <v>1</v>
      </c>
      <c r="J174" s="1245"/>
      <c r="K174" s="961">
        <f t="shared" si="37"/>
        <v>1</v>
      </c>
      <c r="L174" s="1245"/>
      <c r="M174" s="961">
        <f t="shared" si="38"/>
        <v>1</v>
      </c>
      <c r="N174" s="1245"/>
      <c r="O174" s="961">
        <f t="shared" si="39"/>
        <v>1</v>
      </c>
      <c r="P174" s="1245"/>
      <c r="Q174" s="961">
        <f t="shared" si="40"/>
        <v>1</v>
      </c>
      <c r="R174" s="961">
        <f t="shared" si="41"/>
        <v>0</v>
      </c>
      <c r="S174" s="935">
        <f t="shared" si="32"/>
        <v>0</v>
      </c>
    </row>
    <row r="175" spans="1:19">
      <c r="A175" s="1243"/>
      <c r="B175" s="1244"/>
      <c r="C175" s="961">
        <f t="shared" si="33"/>
        <v>1</v>
      </c>
      <c r="D175" s="1245"/>
      <c r="E175" s="961">
        <f t="shared" si="34"/>
        <v>1</v>
      </c>
      <c r="F175" s="1245"/>
      <c r="G175" s="961">
        <f t="shared" si="35"/>
        <v>1</v>
      </c>
      <c r="H175" s="1245"/>
      <c r="I175" s="961">
        <f t="shared" si="36"/>
        <v>1</v>
      </c>
      <c r="J175" s="1245"/>
      <c r="K175" s="961">
        <f t="shared" si="37"/>
        <v>1</v>
      </c>
      <c r="L175" s="1245"/>
      <c r="M175" s="961">
        <f t="shared" si="38"/>
        <v>1</v>
      </c>
      <c r="N175" s="1245"/>
      <c r="O175" s="961">
        <f t="shared" si="39"/>
        <v>1</v>
      </c>
      <c r="P175" s="1245"/>
      <c r="Q175" s="961">
        <f t="shared" si="40"/>
        <v>1</v>
      </c>
      <c r="R175" s="961">
        <f t="shared" si="41"/>
        <v>0</v>
      </c>
      <c r="S175" s="935">
        <f t="shared" si="32"/>
        <v>0</v>
      </c>
    </row>
    <row r="176" spans="1:19">
      <c r="A176" s="1243"/>
      <c r="B176" s="1244"/>
      <c r="C176" s="961">
        <f t="shared" si="33"/>
        <v>1</v>
      </c>
      <c r="D176" s="1245"/>
      <c r="E176" s="961">
        <f t="shared" si="34"/>
        <v>1</v>
      </c>
      <c r="F176" s="1245"/>
      <c r="G176" s="961">
        <f t="shared" si="35"/>
        <v>1</v>
      </c>
      <c r="H176" s="1245"/>
      <c r="I176" s="961">
        <f t="shared" si="36"/>
        <v>1</v>
      </c>
      <c r="J176" s="1245"/>
      <c r="K176" s="961">
        <f t="shared" si="37"/>
        <v>1</v>
      </c>
      <c r="L176" s="1245"/>
      <c r="M176" s="961">
        <f t="shared" si="38"/>
        <v>1</v>
      </c>
      <c r="N176" s="1245"/>
      <c r="O176" s="961">
        <f t="shared" si="39"/>
        <v>1</v>
      </c>
      <c r="P176" s="1245"/>
      <c r="Q176" s="961">
        <f t="shared" si="40"/>
        <v>1</v>
      </c>
      <c r="R176" s="961">
        <f t="shared" si="41"/>
        <v>0</v>
      </c>
      <c r="S176" s="935">
        <f t="shared" si="32"/>
        <v>0</v>
      </c>
    </row>
    <row r="177" spans="1:19">
      <c r="A177" s="1243"/>
      <c r="B177" s="1244"/>
      <c r="C177" s="961">
        <f t="shared" si="33"/>
        <v>1</v>
      </c>
      <c r="D177" s="1245"/>
      <c r="E177" s="961">
        <f t="shared" si="34"/>
        <v>1</v>
      </c>
      <c r="F177" s="1245"/>
      <c r="G177" s="961">
        <f t="shared" si="35"/>
        <v>1</v>
      </c>
      <c r="H177" s="1245"/>
      <c r="I177" s="961">
        <f t="shared" si="36"/>
        <v>1</v>
      </c>
      <c r="J177" s="1245"/>
      <c r="K177" s="961">
        <f t="shared" si="37"/>
        <v>1</v>
      </c>
      <c r="L177" s="1245"/>
      <c r="M177" s="961">
        <f t="shared" si="38"/>
        <v>1</v>
      </c>
      <c r="N177" s="1245"/>
      <c r="O177" s="961">
        <f t="shared" si="39"/>
        <v>1</v>
      </c>
      <c r="P177" s="1245"/>
      <c r="Q177" s="961">
        <f t="shared" si="40"/>
        <v>1</v>
      </c>
      <c r="R177" s="961">
        <f t="shared" si="41"/>
        <v>0</v>
      </c>
      <c r="S177" s="935">
        <f t="shared" si="32"/>
        <v>0</v>
      </c>
    </row>
    <row r="178" spans="1:19">
      <c r="A178" s="1243"/>
      <c r="B178" s="1244"/>
      <c r="C178" s="961">
        <f t="shared" si="33"/>
        <v>1</v>
      </c>
      <c r="D178" s="1245"/>
      <c r="E178" s="961">
        <f t="shared" si="34"/>
        <v>1</v>
      </c>
      <c r="F178" s="1245"/>
      <c r="G178" s="961">
        <f t="shared" si="35"/>
        <v>1</v>
      </c>
      <c r="H178" s="1245"/>
      <c r="I178" s="961">
        <f t="shared" si="36"/>
        <v>1</v>
      </c>
      <c r="J178" s="1245"/>
      <c r="K178" s="961">
        <f t="shared" si="37"/>
        <v>1</v>
      </c>
      <c r="L178" s="1245"/>
      <c r="M178" s="961">
        <f t="shared" si="38"/>
        <v>1</v>
      </c>
      <c r="N178" s="1245"/>
      <c r="O178" s="961">
        <f t="shared" si="39"/>
        <v>1</v>
      </c>
      <c r="P178" s="1245"/>
      <c r="Q178" s="961">
        <f t="shared" si="40"/>
        <v>1</v>
      </c>
      <c r="R178" s="961">
        <f t="shared" si="41"/>
        <v>0</v>
      </c>
      <c r="S178" s="935">
        <f t="shared" si="32"/>
        <v>0</v>
      </c>
    </row>
    <row r="179" spans="1:19">
      <c r="A179" s="1243"/>
      <c r="B179" s="1244"/>
      <c r="C179" s="961">
        <f t="shared" si="33"/>
        <v>1</v>
      </c>
      <c r="D179" s="1245"/>
      <c r="E179" s="961">
        <f t="shared" si="34"/>
        <v>1</v>
      </c>
      <c r="F179" s="1245"/>
      <c r="G179" s="961">
        <f t="shared" si="35"/>
        <v>1</v>
      </c>
      <c r="H179" s="1245"/>
      <c r="I179" s="961">
        <f t="shared" si="36"/>
        <v>1</v>
      </c>
      <c r="J179" s="1245"/>
      <c r="K179" s="961">
        <f t="shared" si="37"/>
        <v>1</v>
      </c>
      <c r="L179" s="1245"/>
      <c r="M179" s="961">
        <f t="shared" si="38"/>
        <v>1</v>
      </c>
      <c r="N179" s="1245"/>
      <c r="O179" s="961">
        <f t="shared" si="39"/>
        <v>1</v>
      </c>
      <c r="P179" s="1245"/>
      <c r="Q179" s="961">
        <f t="shared" si="40"/>
        <v>1</v>
      </c>
      <c r="R179" s="961">
        <f t="shared" si="41"/>
        <v>0</v>
      </c>
      <c r="S179" s="935">
        <f t="shared" si="32"/>
        <v>0</v>
      </c>
    </row>
    <row r="180" spans="1:19">
      <c r="A180" s="1243"/>
      <c r="B180" s="1244"/>
      <c r="C180" s="961">
        <f t="shared" si="33"/>
        <v>1</v>
      </c>
      <c r="D180" s="1245"/>
      <c r="E180" s="961">
        <f t="shared" si="34"/>
        <v>1</v>
      </c>
      <c r="F180" s="1245"/>
      <c r="G180" s="961">
        <f t="shared" si="35"/>
        <v>1</v>
      </c>
      <c r="H180" s="1245"/>
      <c r="I180" s="961">
        <f t="shared" si="36"/>
        <v>1</v>
      </c>
      <c r="J180" s="1245"/>
      <c r="K180" s="961">
        <f t="shared" si="37"/>
        <v>1</v>
      </c>
      <c r="L180" s="1245"/>
      <c r="M180" s="961">
        <f t="shared" si="38"/>
        <v>1</v>
      </c>
      <c r="N180" s="1245"/>
      <c r="O180" s="961">
        <f t="shared" si="39"/>
        <v>1</v>
      </c>
      <c r="P180" s="1245"/>
      <c r="Q180" s="961">
        <f t="shared" si="40"/>
        <v>1</v>
      </c>
      <c r="R180" s="961">
        <f t="shared" si="41"/>
        <v>0</v>
      </c>
      <c r="S180" s="935">
        <f t="shared" si="32"/>
        <v>0</v>
      </c>
    </row>
    <row r="181" spans="1:19">
      <c r="A181" s="1243"/>
      <c r="B181" s="1244"/>
      <c r="C181" s="961">
        <f t="shared" si="33"/>
        <v>1</v>
      </c>
      <c r="D181" s="1245"/>
      <c r="E181" s="961">
        <f t="shared" si="34"/>
        <v>1</v>
      </c>
      <c r="F181" s="1245"/>
      <c r="G181" s="961">
        <f t="shared" si="35"/>
        <v>1</v>
      </c>
      <c r="H181" s="1245"/>
      <c r="I181" s="961">
        <f t="shared" si="36"/>
        <v>1</v>
      </c>
      <c r="J181" s="1245"/>
      <c r="K181" s="961">
        <f t="shared" si="37"/>
        <v>1</v>
      </c>
      <c r="L181" s="1245"/>
      <c r="M181" s="961">
        <f t="shared" si="38"/>
        <v>1</v>
      </c>
      <c r="N181" s="1245"/>
      <c r="O181" s="961">
        <f t="shared" si="39"/>
        <v>1</v>
      </c>
      <c r="P181" s="1245"/>
      <c r="Q181" s="961">
        <f t="shared" si="40"/>
        <v>1</v>
      </c>
      <c r="R181" s="961">
        <f t="shared" si="41"/>
        <v>0</v>
      </c>
      <c r="S181" s="935">
        <f t="shared" si="32"/>
        <v>0</v>
      </c>
    </row>
    <row r="182" spans="1:19">
      <c r="A182" s="1243"/>
      <c r="B182" s="1244"/>
      <c r="C182" s="961">
        <f t="shared" si="33"/>
        <v>1</v>
      </c>
      <c r="D182" s="1245"/>
      <c r="E182" s="961">
        <f t="shared" si="34"/>
        <v>1</v>
      </c>
      <c r="F182" s="1245"/>
      <c r="G182" s="961">
        <f t="shared" si="35"/>
        <v>1</v>
      </c>
      <c r="H182" s="1245"/>
      <c r="I182" s="961">
        <f t="shared" si="36"/>
        <v>1</v>
      </c>
      <c r="J182" s="1245"/>
      <c r="K182" s="961">
        <f t="shared" si="37"/>
        <v>1</v>
      </c>
      <c r="L182" s="1245"/>
      <c r="M182" s="961">
        <f t="shared" si="38"/>
        <v>1</v>
      </c>
      <c r="N182" s="1245"/>
      <c r="O182" s="961">
        <f t="shared" si="39"/>
        <v>1</v>
      </c>
      <c r="P182" s="1245"/>
      <c r="Q182" s="961">
        <f t="shared" si="40"/>
        <v>1</v>
      </c>
      <c r="R182" s="961">
        <f t="shared" si="41"/>
        <v>0</v>
      </c>
      <c r="S182" s="935">
        <f t="shared" si="32"/>
        <v>0</v>
      </c>
    </row>
    <row r="183" spans="1:19">
      <c r="A183" s="1243"/>
      <c r="B183" s="1244"/>
      <c r="C183" s="961">
        <f t="shared" si="33"/>
        <v>1</v>
      </c>
      <c r="D183" s="1245"/>
      <c r="E183" s="961">
        <f t="shared" si="34"/>
        <v>1</v>
      </c>
      <c r="F183" s="1245"/>
      <c r="G183" s="961">
        <f t="shared" si="35"/>
        <v>1</v>
      </c>
      <c r="H183" s="1245"/>
      <c r="I183" s="961">
        <f t="shared" si="36"/>
        <v>1</v>
      </c>
      <c r="J183" s="1245"/>
      <c r="K183" s="961">
        <f t="shared" si="37"/>
        <v>1</v>
      </c>
      <c r="L183" s="1245"/>
      <c r="M183" s="961">
        <f t="shared" si="38"/>
        <v>1</v>
      </c>
      <c r="N183" s="1245"/>
      <c r="O183" s="961">
        <f t="shared" si="39"/>
        <v>1</v>
      </c>
      <c r="P183" s="1245"/>
      <c r="Q183" s="961">
        <f t="shared" si="40"/>
        <v>1</v>
      </c>
      <c r="R183" s="961">
        <f t="shared" si="41"/>
        <v>0</v>
      </c>
      <c r="S183" s="935">
        <f t="shared" si="32"/>
        <v>0</v>
      </c>
    </row>
    <row r="184" spans="1:19">
      <c r="A184" s="1243"/>
      <c r="B184" s="1244"/>
      <c r="C184" s="961">
        <f t="shared" si="33"/>
        <v>1</v>
      </c>
      <c r="D184" s="1245"/>
      <c r="E184" s="961">
        <f t="shared" si="34"/>
        <v>1</v>
      </c>
      <c r="F184" s="1245"/>
      <c r="G184" s="961">
        <f t="shared" si="35"/>
        <v>1</v>
      </c>
      <c r="H184" s="1245"/>
      <c r="I184" s="961">
        <f t="shared" si="36"/>
        <v>1</v>
      </c>
      <c r="J184" s="1245"/>
      <c r="K184" s="961">
        <f t="shared" si="37"/>
        <v>1</v>
      </c>
      <c r="L184" s="1245"/>
      <c r="M184" s="961">
        <f t="shared" si="38"/>
        <v>1</v>
      </c>
      <c r="N184" s="1245"/>
      <c r="O184" s="961">
        <f t="shared" si="39"/>
        <v>1</v>
      </c>
      <c r="P184" s="1245"/>
      <c r="Q184" s="961">
        <f t="shared" si="40"/>
        <v>1</v>
      </c>
      <c r="R184" s="961">
        <f t="shared" si="41"/>
        <v>0</v>
      </c>
      <c r="S184" s="935">
        <f t="shared" si="32"/>
        <v>0</v>
      </c>
    </row>
    <row r="185" spans="1:19">
      <c r="A185" s="1243"/>
      <c r="B185" s="1244"/>
      <c r="C185" s="961">
        <f t="shared" si="33"/>
        <v>1</v>
      </c>
      <c r="D185" s="1245"/>
      <c r="E185" s="961">
        <f t="shared" si="34"/>
        <v>1</v>
      </c>
      <c r="F185" s="1245"/>
      <c r="G185" s="961">
        <f t="shared" si="35"/>
        <v>1</v>
      </c>
      <c r="H185" s="1245"/>
      <c r="I185" s="961">
        <f t="shared" si="36"/>
        <v>1</v>
      </c>
      <c r="J185" s="1245"/>
      <c r="K185" s="961">
        <f t="shared" si="37"/>
        <v>1</v>
      </c>
      <c r="L185" s="1245"/>
      <c r="M185" s="961">
        <f t="shared" si="38"/>
        <v>1</v>
      </c>
      <c r="N185" s="1245"/>
      <c r="O185" s="961">
        <f t="shared" si="39"/>
        <v>1</v>
      </c>
      <c r="P185" s="1245"/>
      <c r="Q185" s="961">
        <f t="shared" si="40"/>
        <v>1</v>
      </c>
      <c r="R185" s="961">
        <f t="shared" si="41"/>
        <v>0</v>
      </c>
      <c r="S185" s="935">
        <f t="shared" si="32"/>
        <v>0</v>
      </c>
    </row>
    <row r="186" spans="1:19">
      <c r="A186" s="1243"/>
      <c r="B186" s="1244"/>
      <c r="C186" s="961">
        <f t="shared" si="33"/>
        <v>1</v>
      </c>
      <c r="D186" s="1245"/>
      <c r="E186" s="961">
        <f t="shared" si="34"/>
        <v>1</v>
      </c>
      <c r="F186" s="1245"/>
      <c r="G186" s="961">
        <f t="shared" si="35"/>
        <v>1</v>
      </c>
      <c r="H186" s="1245"/>
      <c r="I186" s="961">
        <f t="shared" si="36"/>
        <v>1</v>
      </c>
      <c r="J186" s="1245"/>
      <c r="K186" s="961">
        <f t="shared" si="37"/>
        <v>1</v>
      </c>
      <c r="L186" s="1245"/>
      <c r="M186" s="961">
        <f t="shared" si="38"/>
        <v>1</v>
      </c>
      <c r="N186" s="1245"/>
      <c r="O186" s="961">
        <f t="shared" si="39"/>
        <v>1</v>
      </c>
      <c r="P186" s="1245"/>
      <c r="Q186" s="961">
        <f t="shared" si="40"/>
        <v>1</v>
      </c>
      <c r="R186" s="961">
        <f t="shared" si="41"/>
        <v>0</v>
      </c>
      <c r="S186" s="935">
        <f t="shared" si="32"/>
        <v>0</v>
      </c>
    </row>
    <row r="187" spans="1:19">
      <c r="A187" s="1243"/>
      <c r="B187" s="1244"/>
      <c r="C187" s="961">
        <f t="shared" si="33"/>
        <v>1</v>
      </c>
      <c r="D187" s="1245"/>
      <c r="E187" s="961">
        <f t="shared" si="34"/>
        <v>1</v>
      </c>
      <c r="F187" s="1245"/>
      <c r="G187" s="961">
        <f t="shared" si="35"/>
        <v>1</v>
      </c>
      <c r="H187" s="1245"/>
      <c r="I187" s="961">
        <f t="shared" si="36"/>
        <v>1</v>
      </c>
      <c r="J187" s="1245"/>
      <c r="K187" s="961">
        <f t="shared" si="37"/>
        <v>1</v>
      </c>
      <c r="L187" s="1245"/>
      <c r="M187" s="961">
        <f t="shared" si="38"/>
        <v>1</v>
      </c>
      <c r="N187" s="1245"/>
      <c r="O187" s="961">
        <f t="shared" si="39"/>
        <v>1</v>
      </c>
      <c r="P187" s="1245"/>
      <c r="Q187" s="961">
        <f t="shared" si="40"/>
        <v>1</v>
      </c>
      <c r="R187" s="961">
        <f t="shared" si="41"/>
        <v>0</v>
      </c>
      <c r="S187" s="935">
        <f t="shared" ref="S187:S222" si="42">ROUND(R187*B187/10000,0)</f>
        <v>0</v>
      </c>
    </row>
    <row r="188" spans="1:19">
      <c r="A188" s="1243"/>
      <c r="B188" s="1244"/>
      <c r="C188" s="961">
        <f t="shared" si="33"/>
        <v>1</v>
      </c>
      <c r="D188" s="1245"/>
      <c r="E188" s="961">
        <f t="shared" si="34"/>
        <v>1</v>
      </c>
      <c r="F188" s="1245"/>
      <c r="G188" s="961">
        <f t="shared" si="35"/>
        <v>1</v>
      </c>
      <c r="H188" s="1245"/>
      <c r="I188" s="961">
        <f t="shared" si="36"/>
        <v>1</v>
      </c>
      <c r="J188" s="1245"/>
      <c r="K188" s="961">
        <f t="shared" si="37"/>
        <v>1</v>
      </c>
      <c r="L188" s="1245"/>
      <c r="M188" s="961">
        <f t="shared" si="38"/>
        <v>1</v>
      </c>
      <c r="N188" s="1245"/>
      <c r="O188" s="961">
        <f t="shared" si="39"/>
        <v>1</v>
      </c>
      <c r="P188" s="1245"/>
      <c r="Q188" s="961">
        <f t="shared" si="40"/>
        <v>1</v>
      </c>
      <c r="R188" s="961">
        <f t="shared" si="41"/>
        <v>0</v>
      </c>
      <c r="S188" s="935">
        <f t="shared" si="42"/>
        <v>0</v>
      </c>
    </row>
    <row r="189" spans="1:19">
      <c r="A189" s="1243"/>
      <c r="B189" s="1244"/>
      <c r="C189" s="961">
        <f t="shared" si="33"/>
        <v>1</v>
      </c>
      <c r="D189" s="1245"/>
      <c r="E189" s="961">
        <f t="shared" si="34"/>
        <v>1</v>
      </c>
      <c r="F189" s="1245"/>
      <c r="G189" s="961">
        <f t="shared" si="35"/>
        <v>1</v>
      </c>
      <c r="H189" s="1245"/>
      <c r="I189" s="961">
        <f t="shared" si="36"/>
        <v>1</v>
      </c>
      <c r="J189" s="1245"/>
      <c r="K189" s="961">
        <f t="shared" si="37"/>
        <v>1</v>
      </c>
      <c r="L189" s="1245"/>
      <c r="M189" s="961">
        <f t="shared" si="38"/>
        <v>1</v>
      </c>
      <c r="N189" s="1245"/>
      <c r="O189" s="961">
        <f t="shared" si="39"/>
        <v>1</v>
      </c>
      <c r="P189" s="1245"/>
      <c r="Q189" s="961">
        <f t="shared" si="40"/>
        <v>1</v>
      </c>
      <c r="R189" s="961">
        <f t="shared" si="41"/>
        <v>0</v>
      </c>
      <c r="S189" s="935">
        <f t="shared" si="42"/>
        <v>0</v>
      </c>
    </row>
    <row r="190" spans="1:19">
      <c r="A190" s="1243"/>
      <c r="B190" s="1244"/>
      <c r="C190" s="961">
        <f t="shared" si="33"/>
        <v>1</v>
      </c>
      <c r="D190" s="1245"/>
      <c r="E190" s="961">
        <f t="shared" si="34"/>
        <v>1</v>
      </c>
      <c r="F190" s="1245"/>
      <c r="G190" s="961">
        <f t="shared" si="35"/>
        <v>1</v>
      </c>
      <c r="H190" s="1245"/>
      <c r="I190" s="961">
        <f t="shared" si="36"/>
        <v>1</v>
      </c>
      <c r="J190" s="1245"/>
      <c r="K190" s="961">
        <f t="shared" si="37"/>
        <v>1</v>
      </c>
      <c r="L190" s="1245"/>
      <c r="M190" s="961">
        <f t="shared" si="38"/>
        <v>1</v>
      </c>
      <c r="N190" s="1245"/>
      <c r="O190" s="961">
        <f t="shared" si="39"/>
        <v>1</v>
      </c>
      <c r="P190" s="1245"/>
      <c r="Q190" s="961">
        <f t="shared" si="40"/>
        <v>1</v>
      </c>
      <c r="R190" s="961">
        <f t="shared" si="41"/>
        <v>0</v>
      </c>
      <c r="S190" s="935">
        <f t="shared" si="42"/>
        <v>0</v>
      </c>
    </row>
    <row r="191" spans="1:19">
      <c r="A191" s="1243"/>
      <c r="B191" s="1244"/>
      <c r="C191" s="961">
        <f t="shared" si="33"/>
        <v>1</v>
      </c>
      <c r="D191" s="1245"/>
      <c r="E191" s="961">
        <f t="shared" si="34"/>
        <v>1</v>
      </c>
      <c r="F191" s="1245"/>
      <c r="G191" s="961">
        <f t="shared" si="35"/>
        <v>1</v>
      </c>
      <c r="H191" s="1245"/>
      <c r="I191" s="961">
        <f t="shared" si="36"/>
        <v>1</v>
      </c>
      <c r="J191" s="1245"/>
      <c r="K191" s="961">
        <f t="shared" si="37"/>
        <v>1</v>
      </c>
      <c r="L191" s="1245"/>
      <c r="M191" s="961">
        <f t="shared" si="38"/>
        <v>1</v>
      </c>
      <c r="N191" s="1245"/>
      <c r="O191" s="961">
        <f t="shared" si="39"/>
        <v>1</v>
      </c>
      <c r="P191" s="1245"/>
      <c r="Q191" s="961">
        <f t="shared" si="40"/>
        <v>1</v>
      </c>
      <c r="R191" s="961">
        <f t="shared" si="41"/>
        <v>0</v>
      </c>
      <c r="S191" s="935">
        <f t="shared" si="42"/>
        <v>0</v>
      </c>
    </row>
    <row r="192" spans="1:19">
      <c r="A192" s="1243"/>
      <c r="B192" s="1244"/>
      <c r="C192" s="961">
        <f t="shared" si="33"/>
        <v>1</v>
      </c>
      <c r="D192" s="1245"/>
      <c r="E192" s="961">
        <f t="shared" si="34"/>
        <v>1</v>
      </c>
      <c r="F192" s="1245"/>
      <c r="G192" s="961">
        <f t="shared" si="35"/>
        <v>1</v>
      </c>
      <c r="H192" s="1245"/>
      <c r="I192" s="961">
        <f t="shared" si="36"/>
        <v>1</v>
      </c>
      <c r="J192" s="1245"/>
      <c r="K192" s="961">
        <f t="shared" si="37"/>
        <v>1</v>
      </c>
      <c r="L192" s="1245"/>
      <c r="M192" s="961">
        <f t="shared" si="38"/>
        <v>1</v>
      </c>
      <c r="N192" s="1245"/>
      <c r="O192" s="961">
        <f t="shared" si="39"/>
        <v>1</v>
      </c>
      <c r="P192" s="1245"/>
      <c r="Q192" s="961">
        <f t="shared" si="40"/>
        <v>1</v>
      </c>
      <c r="R192" s="961">
        <f t="shared" si="41"/>
        <v>0</v>
      </c>
      <c r="S192" s="935">
        <f t="shared" si="42"/>
        <v>0</v>
      </c>
    </row>
    <row r="193" spans="1:19">
      <c r="A193" s="1243"/>
      <c r="B193" s="1244"/>
      <c r="C193" s="961">
        <f t="shared" si="33"/>
        <v>1</v>
      </c>
      <c r="D193" s="1245"/>
      <c r="E193" s="961">
        <f t="shared" si="34"/>
        <v>1</v>
      </c>
      <c r="F193" s="1245"/>
      <c r="G193" s="961">
        <f t="shared" si="35"/>
        <v>1</v>
      </c>
      <c r="H193" s="1245"/>
      <c r="I193" s="961">
        <f t="shared" si="36"/>
        <v>1</v>
      </c>
      <c r="J193" s="1245"/>
      <c r="K193" s="961">
        <f t="shared" si="37"/>
        <v>1</v>
      </c>
      <c r="L193" s="1245"/>
      <c r="M193" s="961">
        <f t="shared" si="38"/>
        <v>1</v>
      </c>
      <c r="N193" s="1245"/>
      <c r="O193" s="961">
        <f t="shared" si="39"/>
        <v>1</v>
      </c>
      <c r="P193" s="1245"/>
      <c r="Q193" s="961">
        <f t="shared" si="40"/>
        <v>1</v>
      </c>
      <c r="R193" s="961">
        <f t="shared" si="41"/>
        <v>0</v>
      </c>
      <c r="S193" s="935">
        <f t="shared" si="42"/>
        <v>0</v>
      </c>
    </row>
    <row r="194" spans="1:19">
      <c r="A194" s="1243"/>
      <c r="B194" s="1244"/>
      <c r="C194" s="961">
        <f t="shared" si="33"/>
        <v>1</v>
      </c>
      <c r="D194" s="1245"/>
      <c r="E194" s="961">
        <f t="shared" si="34"/>
        <v>1</v>
      </c>
      <c r="F194" s="1245"/>
      <c r="G194" s="961">
        <f t="shared" si="35"/>
        <v>1</v>
      </c>
      <c r="H194" s="1245"/>
      <c r="I194" s="961">
        <f t="shared" si="36"/>
        <v>1</v>
      </c>
      <c r="J194" s="1245"/>
      <c r="K194" s="961">
        <f t="shared" si="37"/>
        <v>1</v>
      </c>
      <c r="L194" s="1245"/>
      <c r="M194" s="961">
        <f t="shared" si="38"/>
        <v>1</v>
      </c>
      <c r="N194" s="1245"/>
      <c r="O194" s="961">
        <f t="shared" si="39"/>
        <v>1</v>
      </c>
      <c r="P194" s="1245"/>
      <c r="Q194" s="961">
        <f t="shared" si="40"/>
        <v>1</v>
      </c>
      <c r="R194" s="961">
        <f t="shared" si="41"/>
        <v>0</v>
      </c>
      <c r="S194" s="935">
        <f t="shared" si="42"/>
        <v>0</v>
      </c>
    </row>
    <row r="195" spans="1:19">
      <c r="A195" s="1243"/>
      <c r="B195" s="1244"/>
      <c r="C195" s="961">
        <f t="shared" si="33"/>
        <v>1</v>
      </c>
      <c r="D195" s="1245"/>
      <c r="E195" s="961">
        <f t="shared" si="34"/>
        <v>1</v>
      </c>
      <c r="F195" s="1245"/>
      <c r="G195" s="961">
        <f t="shared" si="35"/>
        <v>1</v>
      </c>
      <c r="H195" s="1245"/>
      <c r="I195" s="961">
        <f t="shared" si="36"/>
        <v>1</v>
      </c>
      <c r="J195" s="1245"/>
      <c r="K195" s="961">
        <f t="shared" si="37"/>
        <v>1</v>
      </c>
      <c r="L195" s="1245"/>
      <c r="M195" s="961">
        <f t="shared" si="38"/>
        <v>1</v>
      </c>
      <c r="N195" s="1245"/>
      <c r="O195" s="961">
        <f t="shared" si="39"/>
        <v>1</v>
      </c>
      <c r="P195" s="1245"/>
      <c r="Q195" s="961">
        <f t="shared" si="40"/>
        <v>1</v>
      </c>
      <c r="R195" s="961">
        <f t="shared" si="41"/>
        <v>0</v>
      </c>
      <c r="S195" s="935">
        <f t="shared" si="42"/>
        <v>0</v>
      </c>
    </row>
    <row r="196" spans="1:19">
      <c r="A196" s="1243"/>
      <c r="B196" s="1244"/>
      <c r="C196" s="961">
        <f t="shared" si="33"/>
        <v>1</v>
      </c>
      <c r="D196" s="1245"/>
      <c r="E196" s="961">
        <f t="shared" si="34"/>
        <v>1</v>
      </c>
      <c r="F196" s="1245"/>
      <c r="G196" s="961">
        <f t="shared" si="35"/>
        <v>1</v>
      </c>
      <c r="H196" s="1245"/>
      <c r="I196" s="961">
        <f t="shared" si="36"/>
        <v>1</v>
      </c>
      <c r="J196" s="1245"/>
      <c r="K196" s="961">
        <f t="shared" si="37"/>
        <v>1</v>
      </c>
      <c r="L196" s="1245"/>
      <c r="M196" s="961">
        <f t="shared" si="38"/>
        <v>1</v>
      </c>
      <c r="N196" s="1245"/>
      <c r="O196" s="961">
        <f t="shared" si="39"/>
        <v>1</v>
      </c>
      <c r="P196" s="1245"/>
      <c r="Q196" s="961">
        <f t="shared" si="40"/>
        <v>1</v>
      </c>
      <c r="R196" s="961">
        <f t="shared" si="41"/>
        <v>0</v>
      </c>
      <c r="S196" s="935">
        <f t="shared" si="42"/>
        <v>0</v>
      </c>
    </row>
    <row r="197" spans="1:19">
      <c r="A197" s="1243"/>
      <c r="B197" s="1244"/>
      <c r="C197" s="961">
        <f t="shared" si="33"/>
        <v>1</v>
      </c>
      <c r="D197" s="1245"/>
      <c r="E197" s="961">
        <f t="shared" si="34"/>
        <v>1</v>
      </c>
      <c r="F197" s="1245"/>
      <c r="G197" s="961">
        <f t="shared" si="35"/>
        <v>1</v>
      </c>
      <c r="H197" s="1245"/>
      <c r="I197" s="961">
        <f t="shared" si="36"/>
        <v>1</v>
      </c>
      <c r="J197" s="1245"/>
      <c r="K197" s="961">
        <f t="shared" si="37"/>
        <v>1</v>
      </c>
      <c r="L197" s="1245"/>
      <c r="M197" s="961">
        <f t="shared" si="38"/>
        <v>1</v>
      </c>
      <c r="N197" s="1245"/>
      <c r="O197" s="961">
        <f t="shared" si="39"/>
        <v>1</v>
      </c>
      <c r="P197" s="1245"/>
      <c r="Q197" s="961">
        <f t="shared" si="40"/>
        <v>1</v>
      </c>
      <c r="R197" s="961">
        <f t="shared" si="41"/>
        <v>0</v>
      </c>
      <c r="S197" s="935">
        <f t="shared" si="42"/>
        <v>0</v>
      </c>
    </row>
    <row r="198" spans="1:19">
      <c r="A198" s="1243"/>
      <c r="B198" s="1244"/>
      <c r="C198" s="961">
        <f t="shared" si="33"/>
        <v>1</v>
      </c>
      <c r="D198" s="1245"/>
      <c r="E198" s="961">
        <f t="shared" si="34"/>
        <v>1</v>
      </c>
      <c r="F198" s="1245"/>
      <c r="G198" s="961">
        <f t="shared" si="35"/>
        <v>1</v>
      </c>
      <c r="H198" s="1245"/>
      <c r="I198" s="961">
        <f t="shared" si="36"/>
        <v>1</v>
      </c>
      <c r="J198" s="1245"/>
      <c r="K198" s="961">
        <f t="shared" si="37"/>
        <v>1</v>
      </c>
      <c r="L198" s="1245"/>
      <c r="M198" s="961">
        <f t="shared" si="38"/>
        <v>1</v>
      </c>
      <c r="N198" s="1245"/>
      <c r="O198" s="961">
        <f t="shared" si="39"/>
        <v>1</v>
      </c>
      <c r="P198" s="1245"/>
      <c r="Q198" s="961">
        <f t="shared" si="40"/>
        <v>1</v>
      </c>
      <c r="R198" s="961">
        <f t="shared" si="41"/>
        <v>0</v>
      </c>
      <c r="S198" s="935">
        <f t="shared" si="42"/>
        <v>0</v>
      </c>
    </row>
    <row r="199" spans="1:19">
      <c r="A199" s="1243"/>
      <c r="B199" s="1244"/>
      <c r="C199" s="961">
        <f t="shared" si="33"/>
        <v>1</v>
      </c>
      <c r="D199" s="1245"/>
      <c r="E199" s="961">
        <f t="shared" si="34"/>
        <v>1</v>
      </c>
      <c r="F199" s="1245"/>
      <c r="G199" s="961">
        <f t="shared" si="35"/>
        <v>1</v>
      </c>
      <c r="H199" s="1245"/>
      <c r="I199" s="961">
        <f t="shared" si="36"/>
        <v>1</v>
      </c>
      <c r="J199" s="1245"/>
      <c r="K199" s="961">
        <f t="shared" si="37"/>
        <v>1</v>
      </c>
      <c r="L199" s="1245"/>
      <c r="M199" s="961">
        <f t="shared" si="38"/>
        <v>1</v>
      </c>
      <c r="N199" s="1245"/>
      <c r="O199" s="961">
        <f t="shared" si="39"/>
        <v>1</v>
      </c>
      <c r="P199" s="1245"/>
      <c r="Q199" s="961">
        <f t="shared" si="40"/>
        <v>1</v>
      </c>
      <c r="R199" s="961">
        <f t="shared" si="41"/>
        <v>0</v>
      </c>
      <c r="S199" s="935">
        <f t="shared" si="42"/>
        <v>0</v>
      </c>
    </row>
    <row r="200" spans="1:19">
      <c r="A200" s="1243"/>
      <c r="B200" s="1244"/>
      <c r="C200" s="961">
        <f t="shared" si="33"/>
        <v>1</v>
      </c>
      <c r="D200" s="1245"/>
      <c r="E200" s="961">
        <f t="shared" si="34"/>
        <v>1</v>
      </c>
      <c r="F200" s="1245"/>
      <c r="G200" s="961">
        <f t="shared" si="35"/>
        <v>1</v>
      </c>
      <c r="H200" s="1245"/>
      <c r="I200" s="961">
        <f t="shared" si="36"/>
        <v>1</v>
      </c>
      <c r="J200" s="1245"/>
      <c r="K200" s="961">
        <f t="shared" si="37"/>
        <v>1</v>
      </c>
      <c r="L200" s="1245"/>
      <c r="M200" s="961">
        <f t="shared" si="38"/>
        <v>1</v>
      </c>
      <c r="N200" s="1245"/>
      <c r="O200" s="961">
        <f t="shared" si="39"/>
        <v>1</v>
      </c>
      <c r="P200" s="1245"/>
      <c r="Q200" s="961">
        <f t="shared" si="40"/>
        <v>1</v>
      </c>
      <c r="R200" s="961">
        <f t="shared" si="41"/>
        <v>0</v>
      </c>
      <c r="S200" s="935">
        <f t="shared" si="42"/>
        <v>0</v>
      </c>
    </row>
    <row r="201" spans="1:19">
      <c r="A201" s="1243"/>
      <c r="B201" s="1244"/>
      <c r="C201" s="961">
        <f t="shared" si="33"/>
        <v>1</v>
      </c>
      <c r="D201" s="1245"/>
      <c r="E201" s="961">
        <f t="shared" si="34"/>
        <v>1</v>
      </c>
      <c r="F201" s="1245"/>
      <c r="G201" s="961">
        <f t="shared" si="35"/>
        <v>1</v>
      </c>
      <c r="H201" s="1245"/>
      <c r="I201" s="961">
        <f t="shared" si="36"/>
        <v>1</v>
      </c>
      <c r="J201" s="1245"/>
      <c r="K201" s="961">
        <f t="shared" si="37"/>
        <v>1</v>
      </c>
      <c r="L201" s="1245"/>
      <c r="M201" s="961">
        <f t="shared" si="38"/>
        <v>1</v>
      </c>
      <c r="N201" s="1245"/>
      <c r="O201" s="961">
        <f t="shared" si="39"/>
        <v>1</v>
      </c>
      <c r="P201" s="1245"/>
      <c r="Q201" s="961">
        <f t="shared" si="40"/>
        <v>1</v>
      </c>
      <c r="R201" s="961">
        <f t="shared" si="41"/>
        <v>0</v>
      </c>
      <c r="S201" s="935">
        <f t="shared" si="42"/>
        <v>0</v>
      </c>
    </row>
    <row r="202" spans="1:19">
      <c r="A202" s="1243"/>
      <c r="B202" s="1244"/>
      <c r="C202" s="961">
        <f t="shared" si="33"/>
        <v>1</v>
      </c>
      <c r="D202" s="1245"/>
      <c r="E202" s="961">
        <f t="shared" si="34"/>
        <v>1</v>
      </c>
      <c r="F202" s="1245"/>
      <c r="G202" s="961">
        <f t="shared" si="35"/>
        <v>1</v>
      </c>
      <c r="H202" s="1245"/>
      <c r="I202" s="961">
        <f t="shared" si="36"/>
        <v>1</v>
      </c>
      <c r="J202" s="1245"/>
      <c r="K202" s="961">
        <f t="shared" si="37"/>
        <v>1</v>
      </c>
      <c r="L202" s="1245"/>
      <c r="M202" s="961">
        <f t="shared" si="38"/>
        <v>1</v>
      </c>
      <c r="N202" s="1245"/>
      <c r="O202" s="961">
        <f t="shared" si="39"/>
        <v>1</v>
      </c>
      <c r="P202" s="1245"/>
      <c r="Q202" s="961">
        <f t="shared" si="40"/>
        <v>1</v>
      </c>
      <c r="R202" s="961">
        <f t="shared" si="41"/>
        <v>0</v>
      </c>
      <c r="S202" s="935">
        <f t="shared" si="42"/>
        <v>0</v>
      </c>
    </row>
    <row r="203" spans="1:19">
      <c r="A203" s="1243"/>
      <c r="B203" s="1244"/>
      <c r="C203" s="961">
        <f t="shared" si="33"/>
        <v>1</v>
      </c>
      <c r="D203" s="1245"/>
      <c r="E203" s="961">
        <f t="shared" si="34"/>
        <v>1</v>
      </c>
      <c r="F203" s="1245"/>
      <c r="G203" s="961">
        <f t="shared" si="35"/>
        <v>1</v>
      </c>
      <c r="H203" s="1245"/>
      <c r="I203" s="961">
        <f t="shared" si="36"/>
        <v>1</v>
      </c>
      <c r="J203" s="1245"/>
      <c r="K203" s="961">
        <f t="shared" si="37"/>
        <v>1</v>
      </c>
      <c r="L203" s="1245"/>
      <c r="M203" s="961">
        <f t="shared" si="38"/>
        <v>1</v>
      </c>
      <c r="N203" s="1245"/>
      <c r="O203" s="961">
        <f t="shared" si="39"/>
        <v>1</v>
      </c>
      <c r="P203" s="1245"/>
      <c r="Q203" s="961">
        <f t="shared" si="40"/>
        <v>1</v>
      </c>
      <c r="R203" s="961">
        <f t="shared" si="41"/>
        <v>0</v>
      </c>
      <c r="S203" s="935">
        <f t="shared" si="42"/>
        <v>0</v>
      </c>
    </row>
    <row r="204" spans="1:19">
      <c r="A204" s="1243"/>
      <c r="B204" s="1244"/>
      <c r="C204" s="961">
        <f t="shared" si="33"/>
        <v>1</v>
      </c>
      <c r="D204" s="1245"/>
      <c r="E204" s="961">
        <f t="shared" si="34"/>
        <v>1</v>
      </c>
      <c r="F204" s="1245"/>
      <c r="G204" s="961">
        <f t="shared" si="35"/>
        <v>1</v>
      </c>
      <c r="H204" s="1245"/>
      <c r="I204" s="961">
        <f t="shared" si="36"/>
        <v>1</v>
      </c>
      <c r="J204" s="1245"/>
      <c r="K204" s="961">
        <f t="shared" si="37"/>
        <v>1</v>
      </c>
      <c r="L204" s="1245"/>
      <c r="M204" s="961">
        <f t="shared" si="38"/>
        <v>1</v>
      </c>
      <c r="N204" s="1245"/>
      <c r="O204" s="961">
        <f t="shared" si="39"/>
        <v>1</v>
      </c>
      <c r="P204" s="1245"/>
      <c r="Q204" s="961">
        <f t="shared" si="40"/>
        <v>1</v>
      </c>
      <c r="R204" s="961">
        <f t="shared" si="41"/>
        <v>0</v>
      </c>
      <c r="S204" s="935">
        <f t="shared" si="42"/>
        <v>0</v>
      </c>
    </row>
    <row r="205" spans="1:19">
      <c r="A205" s="1243"/>
      <c r="B205" s="1244"/>
      <c r="C205" s="961">
        <f t="shared" si="33"/>
        <v>1</v>
      </c>
      <c r="D205" s="1245"/>
      <c r="E205" s="961">
        <f t="shared" si="34"/>
        <v>1</v>
      </c>
      <c r="F205" s="1245"/>
      <c r="G205" s="961">
        <f t="shared" si="35"/>
        <v>1</v>
      </c>
      <c r="H205" s="1245"/>
      <c r="I205" s="961">
        <f t="shared" si="36"/>
        <v>1</v>
      </c>
      <c r="J205" s="1245"/>
      <c r="K205" s="961">
        <f t="shared" si="37"/>
        <v>1</v>
      </c>
      <c r="L205" s="1245"/>
      <c r="M205" s="961">
        <f t="shared" si="38"/>
        <v>1</v>
      </c>
      <c r="N205" s="1245"/>
      <c r="O205" s="961">
        <f t="shared" si="39"/>
        <v>1</v>
      </c>
      <c r="P205" s="1245"/>
      <c r="Q205" s="961">
        <f t="shared" si="40"/>
        <v>1</v>
      </c>
      <c r="R205" s="961">
        <f t="shared" si="41"/>
        <v>0</v>
      </c>
      <c r="S205" s="935">
        <f t="shared" si="42"/>
        <v>0</v>
      </c>
    </row>
    <row r="206" spans="1:19">
      <c r="A206" s="1243"/>
      <c r="B206" s="1244"/>
      <c r="C206" s="961">
        <f t="shared" si="33"/>
        <v>1</v>
      </c>
      <c r="D206" s="1245"/>
      <c r="E206" s="961">
        <f t="shared" si="34"/>
        <v>1</v>
      </c>
      <c r="F206" s="1245"/>
      <c r="G206" s="961">
        <f t="shared" si="35"/>
        <v>1</v>
      </c>
      <c r="H206" s="1245"/>
      <c r="I206" s="961">
        <f t="shared" si="36"/>
        <v>1</v>
      </c>
      <c r="J206" s="1245"/>
      <c r="K206" s="961">
        <f t="shared" si="37"/>
        <v>1</v>
      </c>
      <c r="L206" s="1245"/>
      <c r="M206" s="961">
        <f t="shared" si="38"/>
        <v>1</v>
      </c>
      <c r="N206" s="1245"/>
      <c r="O206" s="961">
        <f t="shared" si="39"/>
        <v>1</v>
      </c>
      <c r="P206" s="1245"/>
      <c r="Q206" s="961">
        <f t="shared" si="40"/>
        <v>1</v>
      </c>
      <c r="R206" s="961">
        <f t="shared" si="41"/>
        <v>0</v>
      </c>
      <c r="S206" s="935">
        <f t="shared" si="42"/>
        <v>0</v>
      </c>
    </row>
    <row r="207" spans="1:19">
      <c r="A207" s="1243"/>
      <c r="B207" s="1244"/>
      <c r="C207" s="961">
        <f t="shared" si="33"/>
        <v>1</v>
      </c>
      <c r="D207" s="1245"/>
      <c r="E207" s="961">
        <f t="shared" si="34"/>
        <v>1</v>
      </c>
      <c r="F207" s="1245"/>
      <c r="G207" s="961">
        <f t="shared" si="35"/>
        <v>1</v>
      </c>
      <c r="H207" s="1245"/>
      <c r="I207" s="961">
        <f t="shared" si="36"/>
        <v>1</v>
      </c>
      <c r="J207" s="1245"/>
      <c r="K207" s="961">
        <f t="shared" si="37"/>
        <v>1</v>
      </c>
      <c r="L207" s="1245"/>
      <c r="M207" s="961">
        <f t="shared" si="38"/>
        <v>1</v>
      </c>
      <c r="N207" s="1245"/>
      <c r="O207" s="961">
        <f t="shared" si="39"/>
        <v>1</v>
      </c>
      <c r="P207" s="1245"/>
      <c r="Q207" s="961">
        <f t="shared" si="40"/>
        <v>1</v>
      </c>
      <c r="R207" s="961">
        <f t="shared" si="41"/>
        <v>0</v>
      </c>
      <c r="S207" s="935">
        <f t="shared" si="42"/>
        <v>0</v>
      </c>
    </row>
    <row r="208" spans="1:19">
      <c r="A208" s="1243"/>
      <c r="B208" s="1244"/>
      <c r="C208" s="961">
        <f t="shared" si="33"/>
        <v>1</v>
      </c>
      <c r="D208" s="1245"/>
      <c r="E208" s="961">
        <f t="shared" si="34"/>
        <v>1</v>
      </c>
      <c r="F208" s="1245"/>
      <c r="G208" s="961">
        <f t="shared" si="35"/>
        <v>1</v>
      </c>
      <c r="H208" s="1245"/>
      <c r="I208" s="961">
        <f t="shared" si="36"/>
        <v>1</v>
      </c>
      <c r="J208" s="1245"/>
      <c r="K208" s="961">
        <f t="shared" si="37"/>
        <v>1</v>
      </c>
      <c r="L208" s="1245"/>
      <c r="M208" s="961">
        <f t="shared" si="38"/>
        <v>1</v>
      </c>
      <c r="N208" s="1245"/>
      <c r="O208" s="961">
        <f t="shared" si="39"/>
        <v>1</v>
      </c>
      <c r="P208" s="1245"/>
      <c r="Q208" s="961">
        <f t="shared" si="40"/>
        <v>1</v>
      </c>
      <c r="R208" s="961">
        <f t="shared" si="41"/>
        <v>0</v>
      </c>
      <c r="S208" s="935">
        <f t="shared" si="42"/>
        <v>0</v>
      </c>
    </row>
    <row r="209" spans="1:19">
      <c r="A209" s="1243"/>
      <c r="B209" s="1244"/>
      <c r="C209" s="961">
        <f t="shared" si="33"/>
        <v>1</v>
      </c>
      <c r="D209" s="1245"/>
      <c r="E209" s="961">
        <f t="shared" si="34"/>
        <v>1</v>
      </c>
      <c r="F209" s="1245"/>
      <c r="G209" s="961">
        <f t="shared" si="35"/>
        <v>1</v>
      </c>
      <c r="H209" s="1245"/>
      <c r="I209" s="961">
        <f t="shared" si="36"/>
        <v>1</v>
      </c>
      <c r="J209" s="1245"/>
      <c r="K209" s="961">
        <f t="shared" si="37"/>
        <v>1</v>
      </c>
      <c r="L209" s="1245"/>
      <c r="M209" s="961">
        <f t="shared" si="38"/>
        <v>1</v>
      </c>
      <c r="N209" s="1245"/>
      <c r="O209" s="961">
        <f t="shared" si="39"/>
        <v>1</v>
      </c>
      <c r="P209" s="1245"/>
      <c r="Q209" s="961">
        <f t="shared" si="40"/>
        <v>1</v>
      </c>
      <c r="R209" s="961">
        <f t="shared" si="41"/>
        <v>0</v>
      </c>
      <c r="S209" s="935">
        <f t="shared" si="42"/>
        <v>0</v>
      </c>
    </row>
    <row r="210" spans="1:19">
      <c r="A210" s="1243"/>
      <c r="B210" s="1244"/>
      <c r="C210" s="961">
        <f t="shared" si="33"/>
        <v>1</v>
      </c>
      <c r="D210" s="1245"/>
      <c r="E210" s="961">
        <f t="shared" si="34"/>
        <v>1</v>
      </c>
      <c r="F210" s="1245"/>
      <c r="G210" s="961">
        <f t="shared" si="35"/>
        <v>1</v>
      </c>
      <c r="H210" s="1245"/>
      <c r="I210" s="961">
        <f t="shared" si="36"/>
        <v>1</v>
      </c>
      <c r="J210" s="1245"/>
      <c r="K210" s="961">
        <f t="shared" si="37"/>
        <v>1</v>
      </c>
      <c r="L210" s="1245"/>
      <c r="M210" s="961">
        <f t="shared" si="38"/>
        <v>1</v>
      </c>
      <c r="N210" s="1245"/>
      <c r="O210" s="961">
        <f t="shared" si="39"/>
        <v>1</v>
      </c>
      <c r="P210" s="1245"/>
      <c r="Q210" s="961">
        <f t="shared" si="40"/>
        <v>1</v>
      </c>
      <c r="R210" s="961">
        <f t="shared" si="41"/>
        <v>0</v>
      </c>
      <c r="S210" s="935">
        <f t="shared" si="42"/>
        <v>0</v>
      </c>
    </row>
    <row r="211" spans="1:19">
      <c r="A211" s="1243"/>
      <c r="B211" s="1244"/>
      <c r="C211" s="961">
        <f t="shared" si="33"/>
        <v>1</v>
      </c>
      <c r="D211" s="1245"/>
      <c r="E211" s="961">
        <f t="shared" si="34"/>
        <v>1</v>
      </c>
      <c r="F211" s="1245"/>
      <c r="G211" s="961">
        <f t="shared" si="35"/>
        <v>1</v>
      </c>
      <c r="H211" s="1245"/>
      <c r="I211" s="961">
        <f t="shared" si="36"/>
        <v>1</v>
      </c>
      <c r="J211" s="1245"/>
      <c r="K211" s="961">
        <f t="shared" si="37"/>
        <v>1</v>
      </c>
      <c r="L211" s="1245"/>
      <c r="M211" s="961">
        <f t="shared" si="38"/>
        <v>1</v>
      </c>
      <c r="N211" s="1245"/>
      <c r="O211" s="961">
        <f t="shared" si="39"/>
        <v>1</v>
      </c>
      <c r="P211" s="1245"/>
      <c r="Q211" s="961">
        <f t="shared" si="40"/>
        <v>1</v>
      </c>
      <c r="R211" s="961">
        <f t="shared" si="41"/>
        <v>0</v>
      </c>
      <c r="S211" s="935">
        <f t="shared" si="42"/>
        <v>0</v>
      </c>
    </row>
    <row r="212" spans="1:19">
      <c r="A212" s="1243"/>
      <c r="B212" s="1244"/>
      <c r="C212" s="961">
        <f t="shared" si="33"/>
        <v>1</v>
      </c>
      <c r="D212" s="1245"/>
      <c r="E212" s="961">
        <f t="shared" si="34"/>
        <v>1</v>
      </c>
      <c r="F212" s="1245"/>
      <c r="G212" s="961">
        <f t="shared" si="35"/>
        <v>1</v>
      </c>
      <c r="H212" s="1245"/>
      <c r="I212" s="961">
        <f t="shared" si="36"/>
        <v>1</v>
      </c>
      <c r="J212" s="1245"/>
      <c r="K212" s="961">
        <f t="shared" si="37"/>
        <v>1</v>
      </c>
      <c r="L212" s="1245"/>
      <c r="M212" s="961">
        <f t="shared" si="38"/>
        <v>1</v>
      </c>
      <c r="N212" s="1245"/>
      <c r="O212" s="961">
        <f t="shared" si="39"/>
        <v>1</v>
      </c>
      <c r="P212" s="1245"/>
      <c r="Q212" s="961">
        <f t="shared" si="40"/>
        <v>1</v>
      </c>
      <c r="R212" s="961">
        <f t="shared" si="41"/>
        <v>0</v>
      </c>
      <c r="S212" s="935">
        <f t="shared" si="42"/>
        <v>0</v>
      </c>
    </row>
    <row r="213" spans="1:19">
      <c r="A213" s="1243"/>
      <c r="B213" s="1244"/>
      <c r="C213" s="961">
        <f t="shared" si="33"/>
        <v>1</v>
      </c>
      <c r="D213" s="1245"/>
      <c r="E213" s="961">
        <f t="shared" si="34"/>
        <v>1</v>
      </c>
      <c r="F213" s="1245"/>
      <c r="G213" s="961">
        <f t="shared" si="35"/>
        <v>1</v>
      </c>
      <c r="H213" s="1245"/>
      <c r="I213" s="961">
        <f t="shared" si="36"/>
        <v>1</v>
      </c>
      <c r="J213" s="1245"/>
      <c r="K213" s="961">
        <f t="shared" si="37"/>
        <v>1</v>
      </c>
      <c r="L213" s="1245"/>
      <c r="M213" s="961">
        <f t="shared" si="38"/>
        <v>1</v>
      </c>
      <c r="N213" s="1245"/>
      <c r="O213" s="961">
        <f t="shared" si="39"/>
        <v>1</v>
      </c>
      <c r="P213" s="1245"/>
      <c r="Q213" s="961">
        <f t="shared" si="40"/>
        <v>1</v>
      </c>
      <c r="R213" s="961">
        <f t="shared" si="41"/>
        <v>0</v>
      </c>
      <c r="S213" s="935">
        <f t="shared" si="42"/>
        <v>0</v>
      </c>
    </row>
    <row r="214" spans="1:19">
      <c r="A214" s="1243"/>
      <c r="B214" s="1244"/>
      <c r="C214" s="961">
        <f t="shared" si="33"/>
        <v>1</v>
      </c>
      <c r="D214" s="1245"/>
      <c r="E214" s="961">
        <f t="shared" si="34"/>
        <v>1</v>
      </c>
      <c r="F214" s="1245"/>
      <c r="G214" s="961">
        <f t="shared" si="35"/>
        <v>1</v>
      </c>
      <c r="H214" s="1245"/>
      <c r="I214" s="961">
        <f t="shared" si="36"/>
        <v>1</v>
      </c>
      <c r="J214" s="1245"/>
      <c r="K214" s="961">
        <f t="shared" si="37"/>
        <v>1</v>
      </c>
      <c r="L214" s="1245"/>
      <c r="M214" s="961">
        <f t="shared" si="38"/>
        <v>1</v>
      </c>
      <c r="N214" s="1245"/>
      <c r="O214" s="961">
        <f t="shared" si="39"/>
        <v>1</v>
      </c>
      <c r="P214" s="1245"/>
      <c r="Q214" s="961">
        <f t="shared" si="40"/>
        <v>1</v>
      </c>
      <c r="R214" s="961">
        <f t="shared" si="41"/>
        <v>0</v>
      </c>
      <c r="S214" s="935">
        <f t="shared" si="42"/>
        <v>0</v>
      </c>
    </row>
    <row r="215" spans="1:19">
      <c r="A215" s="1243"/>
      <c r="B215" s="1244"/>
      <c r="C215" s="961">
        <f t="shared" si="33"/>
        <v>1</v>
      </c>
      <c r="D215" s="1245"/>
      <c r="E215" s="961">
        <f t="shared" si="34"/>
        <v>1</v>
      </c>
      <c r="F215" s="1245"/>
      <c r="G215" s="961">
        <f t="shared" si="35"/>
        <v>1</v>
      </c>
      <c r="H215" s="1245"/>
      <c r="I215" s="961">
        <f t="shared" si="36"/>
        <v>1</v>
      </c>
      <c r="J215" s="1245"/>
      <c r="K215" s="961">
        <f t="shared" si="37"/>
        <v>1</v>
      </c>
      <c r="L215" s="1245"/>
      <c r="M215" s="961">
        <f t="shared" si="38"/>
        <v>1</v>
      </c>
      <c r="N215" s="1245"/>
      <c r="O215" s="961">
        <f t="shared" si="39"/>
        <v>1</v>
      </c>
      <c r="P215" s="1245"/>
      <c r="Q215" s="961">
        <f t="shared" si="40"/>
        <v>1</v>
      </c>
      <c r="R215" s="961">
        <f t="shared" si="41"/>
        <v>0</v>
      </c>
      <c r="S215" s="935">
        <f t="shared" si="42"/>
        <v>0</v>
      </c>
    </row>
    <row r="216" spans="1:19">
      <c r="A216" s="1243"/>
      <c r="B216" s="1244"/>
      <c r="C216" s="961">
        <f t="shared" si="33"/>
        <v>1</v>
      </c>
      <c r="D216" s="1245"/>
      <c r="E216" s="961">
        <f t="shared" si="34"/>
        <v>1</v>
      </c>
      <c r="F216" s="1245"/>
      <c r="G216" s="961">
        <f t="shared" si="35"/>
        <v>1</v>
      </c>
      <c r="H216" s="1245"/>
      <c r="I216" s="961">
        <f t="shared" si="36"/>
        <v>1</v>
      </c>
      <c r="J216" s="1245"/>
      <c r="K216" s="961">
        <f t="shared" si="37"/>
        <v>1</v>
      </c>
      <c r="L216" s="1245"/>
      <c r="M216" s="961">
        <f t="shared" si="38"/>
        <v>1</v>
      </c>
      <c r="N216" s="1245"/>
      <c r="O216" s="961">
        <f t="shared" si="39"/>
        <v>1</v>
      </c>
      <c r="P216" s="1245"/>
      <c r="Q216" s="961">
        <f t="shared" si="40"/>
        <v>1</v>
      </c>
      <c r="R216" s="961">
        <f t="shared" si="41"/>
        <v>0</v>
      </c>
      <c r="S216" s="935">
        <f t="shared" si="42"/>
        <v>0</v>
      </c>
    </row>
    <row r="217" spans="1:19">
      <c r="A217" s="1243"/>
      <c r="B217" s="1244"/>
      <c r="C217" s="961">
        <f t="shared" si="33"/>
        <v>1</v>
      </c>
      <c r="D217" s="1245"/>
      <c r="E217" s="961">
        <f t="shared" si="34"/>
        <v>1</v>
      </c>
      <c r="F217" s="1245"/>
      <c r="G217" s="961">
        <f t="shared" si="35"/>
        <v>1</v>
      </c>
      <c r="H217" s="1245"/>
      <c r="I217" s="961">
        <f t="shared" si="36"/>
        <v>1</v>
      </c>
      <c r="J217" s="1245"/>
      <c r="K217" s="961">
        <f t="shared" si="37"/>
        <v>1</v>
      </c>
      <c r="L217" s="1245"/>
      <c r="M217" s="961">
        <f t="shared" si="38"/>
        <v>1</v>
      </c>
      <c r="N217" s="1245"/>
      <c r="O217" s="961">
        <f t="shared" si="39"/>
        <v>1</v>
      </c>
      <c r="P217" s="1245"/>
      <c r="Q217" s="961">
        <f t="shared" si="40"/>
        <v>1</v>
      </c>
      <c r="R217" s="961">
        <f t="shared" si="41"/>
        <v>0</v>
      </c>
      <c r="S217" s="935">
        <f t="shared" si="42"/>
        <v>0</v>
      </c>
    </row>
    <row r="218" spans="1:19">
      <c r="A218" s="1243"/>
      <c r="B218" s="1244"/>
      <c r="C218" s="961">
        <f t="shared" ref="C218:C281" si="43">IF(B218="",1,(LOOKUP(B218,$3:$3,$4:$4)-LOOKUP($B$24,$3:$3,$4:$4)+100)/100)</f>
        <v>1</v>
      </c>
      <c r="D218" s="1245"/>
      <c r="E218" s="961">
        <f t="shared" ref="E218:E281" si="44">(SUMIF($5:$5,D218,$6:$6)-SUMIF($5:$5,$D$24,$6:$6)+100)/100</f>
        <v>1</v>
      </c>
      <c r="F218" s="1245"/>
      <c r="G218" s="961">
        <f t="shared" ref="G218:G281" si="45">(SUMIF($7:$7,F218,$8:$8)-SUMIF($7:$7,$F$24,$8:$8)+100)/100</f>
        <v>1</v>
      </c>
      <c r="H218" s="1245"/>
      <c r="I218" s="961">
        <f t="shared" ref="I218:I281" si="46">(SUMIF($9:$9,H218,$10:$10)-SUMIF($9:$9,$H$24,$10:$10)+100)/100</f>
        <v>1</v>
      </c>
      <c r="J218" s="1245"/>
      <c r="K218" s="961">
        <f t="shared" ref="K218:K281" si="47">(SUMIF($11:$11,J218,$12:$12)-SUMIF($11:$11,$J$24,$12:$12)+100)/100</f>
        <v>1</v>
      </c>
      <c r="L218" s="1245"/>
      <c r="M218" s="961">
        <f t="shared" ref="M218:M281" si="48">(SUMIF($13:$13,L218,$14:$14)-SUMIF($13:$13,$L$24,$14:$14)+100)/100</f>
        <v>1</v>
      </c>
      <c r="N218" s="1245"/>
      <c r="O218" s="961">
        <f t="shared" ref="O218:O281" si="49">(SUMIF($15:$15,N218,$16:$16)-SUMIF($15:$15,$N$24,$16:$16)+100)/100</f>
        <v>1</v>
      </c>
      <c r="P218" s="1245"/>
      <c r="Q218" s="961">
        <f t="shared" ref="Q218:Q281" si="50">(SUMIF($17:$17,P218,$18:$18)-SUMIF($17:$17,$P$24,$18:$18)+100)/100</f>
        <v>1</v>
      </c>
      <c r="R218" s="961">
        <f t="shared" ref="R218:R281" si="51">IF(B218="",0,ROUND($R$24*C218*E218*G218*I218*K218*M218*O218*Q218,0))</f>
        <v>0</v>
      </c>
      <c r="S218" s="935">
        <f t="shared" si="42"/>
        <v>0</v>
      </c>
    </row>
    <row r="219" spans="1:19">
      <c r="A219" s="1243"/>
      <c r="B219" s="1244"/>
      <c r="C219" s="961">
        <f t="shared" si="43"/>
        <v>1</v>
      </c>
      <c r="D219" s="1245"/>
      <c r="E219" s="961">
        <f t="shared" si="44"/>
        <v>1</v>
      </c>
      <c r="F219" s="1245"/>
      <c r="G219" s="961">
        <f t="shared" si="45"/>
        <v>1</v>
      </c>
      <c r="H219" s="1245"/>
      <c r="I219" s="961">
        <f t="shared" si="46"/>
        <v>1</v>
      </c>
      <c r="J219" s="1245"/>
      <c r="K219" s="961">
        <f t="shared" si="47"/>
        <v>1</v>
      </c>
      <c r="L219" s="1245"/>
      <c r="M219" s="961">
        <f t="shared" si="48"/>
        <v>1</v>
      </c>
      <c r="N219" s="1245"/>
      <c r="O219" s="961">
        <f t="shared" si="49"/>
        <v>1</v>
      </c>
      <c r="P219" s="1245"/>
      <c r="Q219" s="961">
        <f t="shared" si="50"/>
        <v>1</v>
      </c>
      <c r="R219" s="961">
        <f t="shared" si="51"/>
        <v>0</v>
      </c>
      <c r="S219" s="935">
        <f t="shared" si="42"/>
        <v>0</v>
      </c>
    </row>
    <row r="220" spans="1:19">
      <c r="A220" s="1243"/>
      <c r="B220" s="1244"/>
      <c r="C220" s="961">
        <f t="shared" si="43"/>
        <v>1</v>
      </c>
      <c r="D220" s="1245"/>
      <c r="E220" s="961">
        <f t="shared" si="44"/>
        <v>1</v>
      </c>
      <c r="F220" s="1245"/>
      <c r="G220" s="961">
        <f t="shared" si="45"/>
        <v>1</v>
      </c>
      <c r="H220" s="1245"/>
      <c r="I220" s="961">
        <f t="shared" si="46"/>
        <v>1</v>
      </c>
      <c r="J220" s="1245"/>
      <c r="K220" s="961">
        <f t="shared" si="47"/>
        <v>1</v>
      </c>
      <c r="L220" s="1245"/>
      <c r="M220" s="961">
        <f t="shared" si="48"/>
        <v>1</v>
      </c>
      <c r="N220" s="1245"/>
      <c r="O220" s="961">
        <f t="shared" si="49"/>
        <v>1</v>
      </c>
      <c r="P220" s="1245"/>
      <c r="Q220" s="961">
        <f t="shared" si="50"/>
        <v>1</v>
      </c>
      <c r="R220" s="961">
        <f t="shared" si="51"/>
        <v>0</v>
      </c>
      <c r="S220" s="935">
        <f t="shared" si="42"/>
        <v>0</v>
      </c>
    </row>
    <row r="221" spans="1:19">
      <c r="A221" s="1243"/>
      <c r="B221" s="1244"/>
      <c r="C221" s="961">
        <f t="shared" si="43"/>
        <v>1</v>
      </c>
      <c r="D221" s="1245"/>
      <c r="E221" s="961">
        <f t="shared" si="44"/>
        <v>1</v>
      </c>
      <c r="F221" s="1245"/>
      <c r="G221" s="961">
        <f t="shared" si="45"/>
        <v>1</v>
      </c>
      <c r="H221" s="1245"/>
      <c r="I221" s="961">
        <f t="shared" si="46"/>
        <v>1</v>
      </c>
      <c r="J221" s="1245"/>
      <c r="K221" s="961">
        <f t="shared" si="47"/>
        <v>1</v>
      </c>
      <c r="L221" s="1245"/>
      <c r="M221" s="961">
        <f t="shared" si="48"/>
        <v>1</v>
      </c>
      <c r="N221" s="1245"/>
      <c r="O221" s="961">
        <f t="shared" si="49"/>
        <v>1</v>
      </c>
      <c r="P221" s="1245"/>
      <c r="Q221" s="961">
        <f t="shared" si="50"/>
        <v>1</v>
      </c>
      <c r="R221" s="961">
        <f t="shared" si="51"/>
        <v>0</v>
      </c>
      <c r="S221" s="935">
        <f t="shared" si="42"/>
        <v>0</v>
      </c>
    </row>
    <row r="222" spans="1:19">
      <c r="A222" s="1243"/>
      <c r="B222" s="1244"/>
      <c r="C222" s="961">
        <f t="shared" si="43"/>
        <v>1</v>
      </c>
      <c r="D222" s="1245"/>
      <c r="E222" s="961">
        <f t="shared" si="44"/>
        <v>1</v>
      </c>
      <c r="F222" s="1245"/>
      <c r="G222" s="961">
        <f t="shared" si="45"/>
        <v>1</v>
      </c>
      <c r="H222" s="1245"/>
      <c r="I222" s="961">
        <f t="shared" si="46"/>
        <v>1</v>
      </c>
      <c r="J222" s="1245"/>
      <c r="K222" s="961">
        <f t="shared" si="47"/>
        <v>1</v>
      </c>
      <c r="L222" s="1245"/>
      <c r="M222" s="961">
        <f t="shared" si="48"/>
        <v>1</v>
      </c>
      <c r="N222" s="1245"/>
      <c r="O222" s="961">
        <f t="shared" si="49"/>
        <v>1</v>
      </c>
      <c r="P222" s="1245"/>
      <c r="Q222" s="961">
        <f t="shared" si="50"/>
        <v>1</v>
      </c>
      <c r="R222" s="961">
        <f t="shared" si="51"/>
        <v>0</v>
      </c>
      <c r="S222" s="935">
        <f t="shared" si="42"/>
        <v>0</v>
      </c>
    </row>
    <row r="223" spans="1:19">
      <c r="A223" s="1243"/>
      <c r="B223" s="1244"/>
      <c r="C223" s="961">
        <f t="shared" si="43"/>
        <v>1</v>
      </c>
      <c r="D223" s="1245"/>
      <c r="E223" s="961">
        <f t="shared" si="44"/>
        <v>1</v>
      </c>
      <c r="F223" s="1245"/>
      <c r="G223" s="961">
        <f t="shared" si="45"/>
        <v>1</v>
      </c>
      <c r="H223" s="1245"/>
      <c r="I223" s="961">
        <f t="shared" si="46"/>
        <v>1</v>
      </c>
      <c r="J223" s="1245"/>
      <c r="K223" s="961">
        <f t="shared" si="47"/>
        <v>1</v>
      </c>
      <c r="L223" s="1245"/>
      <c r="M223" s="961">
        <f t="shared" si="48"/>
        <v>1</v>
      </c>
      <c r="N223" s="1245"/>
      <c r="O223" s="961">
        <f t="shared" si="49"/>
        <v>1</v>
      </c>
      <c r="P223" s="1245"/>
      <c r="Q223" s="961">
        <f t="shared" si="50"/>
        <v>1</v>
      </c>
      <c r="R223" s="961">
        <f t="shared" si="51"/>
        <v>0</v>
      </c>
      <c r="S223" s="935">
        <f t="shared" ref="S223:S286" si="52">ROUND(R223*B223/10000,0)</f>
        <v>0</v>
      </c>
    </row>
    <row r="224" spans="1:19">
      <c r="A224" s="1243"/>
      <c r="B224" s="1244"/>
      <c r="C224" s="961">
        <f t="shared" si="43"/>
        <v>1</v>
      </c>
      <c r="D224" s="1245"/>
      <c r="E224" s="961">
        <f t="shared" si="44"/>
        <v>1</v>
      </c>
      <c r="F224" s="1245"/>
      <c r="G224" s="961">
        <f t="shared" si="45"/>
        <v>1</v>
      </c>
      <c r="H224" s="1245"/>
      <c r="I224" s="961">
        <f t="shared" si="46"/>
        <v>1</v>
      </c>
      <c r="J224" s="1245"/>
      <c r="K224" s="961">
        <f t="shared" si="47"/>
        <v>1</v>
      </c>
      <c r="L224" s="1245"/>
      <c r="M224" s="961">
        <f t="shared" si="48"/>
        <v>1</v>
      </c>
      <c r="N224" s="1245"/>
      <c r="O224" s="961">
        <f t="shared" si="49"/>
        <v>1</v>
      </c>
      <c r="P224" s="1245"/>
      <c r="Q224" s="961">
        <f t="shared" si="50"/>
        <v>1</v>
      </c>
      <c r="R224" s="961">
        <f t="shared" si="51"/>
        <v>0</v>
      </c>
      <c r="S224" s="935">
        <f t="shared" si="52"/>
        <v>0</v>
      </c>
    </row>
    <row r="225" spans="1:19">
      <c r="A225" s="1243"/>
      <c r="B225" s="1244"/>
      <c r="C225" s="961">
        <f t="shared" si="43"/>
        <v>1</v>
      </c>
      <c r="D225" s="1245"/>
      <c r="E225" s="961">
        <f t="shared" si="44"/>
        <v>1</v>
      </c>
      <c r="F225" s="1245"/>
      <c r="G225" s="961">
        <f t="shared" si="45"/>
        <v>1</v>
      </c>
      <c r="H225" s="1245"/>
      <c r="I225" s="961">
        <f t="shared" si="46"/>
        <v>1</v>
      </c>
      <c r="J225" s="1245"/>
      <c r="K225" s="961">
        <f t="shared" si="47"/>
        <v>1</v>
      </c>
      <c r="L225" s="1245"/>
      <c r="M225" s="961">
        <f t="shared" si="48"/>
        <v>1</v>
      </c>
      <c r="N225" s="1245"/>
      <c r="O225" s="961">
        <f t="shared" si="49"/>
        <v>1</v>
      </c>
      <c r="P225" s="1245"/>
      <c r="Q225" s="961">
        <f t="shared" si="50"/>
        <v>1</v>
      </c>
      <c r="R225" s="961">
        <f t="shared" si="51"/>
        <v>0</v>
      </c>
      <c r="S225" s="935">
        <f t="shared" si="52"/>
        <v>0</v>
      </c>
    </row>
    <row r="226" spans="1:19">
      <c r="A226" s="1243"/>
      <c r="B226" s="1244"/>
      <c r="C226" s="961">
        <f t="shared" si="43"/>
        <v>1</v>
      </c>
      <c r="D226" s="1245"/>
      <c r="E226" s="961">
        <f t="shared" si="44"/>
        <v>1</v>
      </c>
      <c r="F226" s="1245"/>
      <c r="G226" s="961">
        <f t="shared" si="45"/>
        <v>1</v>
      </c>
      <c r="H226" s="1245"/>
      <c r="I226" s="961">
        <f t="shared" si="46"/>
        <v>1</v>
      </c>
      <c r="J226" s="1245"/>
      <c r="K226" s="961">
        <f t="shared" si="47"/>
        <v>1</v>
      </c>
      <c r="L226" s="1245"/>
      <c r="M226" s="961">
        <f t="shared" si="48"/>
        <v>1</v>
      </c>
      <c r="N226" s="1245"/>
      <c r="O226" s="961">
        <f t="shared" si="49"/>
        <v>1</v>
      </c>
      <c r="P226" s="1245"/>
      <c r="Q226" s="961">
        <f t="shared" si="50"/>
        <v>1</v>
      </c>
      <c r="R226" s="961">
        <f t="shared" si="51"/>
        <v>0</v>
      </c>
      <c r="S226" s="935">
        <f t="shared" si="52"/>
        <v>0</v>
      </c>
    </row>
    <row r="227" spans="1:19">
      <c r="A227" s="1243"/>
      <c r="B227" s="1244"/>
      <c r="C227" s="961">
        <f t="shared" si="43"/>
        <v>1</v>
      </c>
      <c r="D227" s="1245"/>
      <c r="E227" s="961">
        <f t="shared" si="44"/>
        <v>1</v>
      </c>
      <c r="F227" s="1245"/>
      <c r="G227" s="961">
        <f t="shared" si="45"/>
        <v>1</v>
      </c>
      <c r="H227" s="1245"/>
      <c r="I227" s="961">
        <f t="shared" si="46"/>
        <v>1</v>
      </c>
      <c r="J227" s="1245"/>
      <c r="K227" s="961">
        <f t="shared" si="47"/>
        <v>1</v>
      </c>
      <c r="L227" s="1245"/>
      <c r="M227" s="961">
        <f t="shared" si="48"/>
        <v>1</v>
      </c>
      <c r="N227" s="1245"/>
      <c r="O227" s="961">
        <f t="shared" si="49"/>
        <v>1</v>
      </c>
      <c r="P227" s="1245"/>
      <c r="Q227" s="961">
        <f t="shared" si="50"/>
        <v>1</v>
      </c>
      <c r="R227" s="961">
        <f t="shared" si="51"/>
        <v>0</v>
      </c>
      <c r="S227" s="935">
        <f t="shared" si="52"/>
        <v>0</v>
      </c>
    </row>
    <row r="228" spans="1:19">
      <c r="A228" s="1243"/>
      <c r="B228" s="1244"/>
      <c r="C228" s="961">
        <f t="shared" si="43"/>
        <v>1</v>
      </c>
      <c r="D228" s="1245"/>
      <c r="E228" s="961">
        <f t="shared" si="44"/>
        <v>1</v>
      </c>
      <c r="F228" s="1245"/>
      <c r="G228" s="961">
        <f t="shared" si="45"/>
        <v>1</v>
      </c>
      <c r="H228" s="1245"/>
      <c r="I228" s="961">
        <f t="shared" si="46"/>
        <v>1</v>
      </c>
      <c r="J228" s="1245"/>
      <c r="K228" s="961">
        <f t="shared" si="47"/>
        <v>1</v>
      </c>
      <c r="L228" s="1245"/>
      <c r="M228" s="961">
        <f t="shared" si="48"/>
        <v>1</v>
      </c>
      <c r="N228" s="1245"/>
      <c r="O228" s="961">
        <f t="shared" si="49"/>
        <v>1</v>
      </c>
      <c r="P228" s="1245"/>
      <c r="Q228" s="961">
        <f t="shared" si="50"/>
        <v>1</v>
      </c>
      <c r="R228" s="961">
        <f t="shared" si="51"/>
        <v>0</v>
      </c>
      <c r="S228" s="935">
        <f t="shared" si="52"/>
        <v>0</v>
      </c>
    </row>
    <row r="229" spans="1:19">
      <c r="A229" s="1243"/>
      <c r="B229" s="1244"/>
      <c r="C229" s="961">
        <f t="shared" si="43"/>
        <v>1</v>
      </c>
      <c r="D229" s="1245"/>
      <c r="E229" s="961">
        <f t="shared" si="44"/>
        <v>1</v>
      </c>
      <c r="F229" s="1245"/>
      <c r="G229" s="961">
        <f t="shared" si="45"/>
        <v>1</v>
      </c>
      <c r="H229" s="1245"/>
      <c r="I229" s="961">
        <f t="shared" si="46"/>
        <v>1</v>
      </c>
      <c r="J229" s="1245"/>
      <c r="K229" s="961">
        <f t="shared" si="47"/>
        <v>1</v>
      </c>
      <c r="L229" s="1245"/>
      <c r="M229" s="961">
        <f t="shared" si="48"/>
        <v>1</v>
      </c>
      <c r="N229" s="1245"/>
      <c r="O229" s="961">
        <f t="shared" si="49"/>
        <v>1</v>
      </c>
      <c r="P229" s="1245"/>
      <c r="Q229" s="961">
        <f t="shared" si="50"/>
        <v>1</v>
      </c>
      <c r="R229" s="961">
        <f t="shared" si="51"/>
        <v>0</v>
      </c>
      <c r="S229" s="935">
        <f t="shared" si="52"/>
        <v>0</v>
      </c>
    </row>
    <row r="230" spans="1:19">
      <c r="A230" s="1243"/>
      <c r="B230" s="1244"/>
      <c r="C230" s="961">
        <f t="shared" si="43"/>
        <v>1</v>
      </c>
      <c r="D230" s="1245"/>
      <c r="E230" s="961">
        <f t="shared" si="44"/>
        <v>1</v>
      </c>
      <c r="F230" s="1245"/>
      <c r="G230" s="961">
        <f t="shared" si="45"/>
        <v>1</v>
      </c>
      <c r="H230" s="1245"/>
      <c r="I230" s="961">
        <f t="shared" si="46"/>
        <v>1</v>
      </c>
      <c r="J230" s="1245"/>
      <c r="K230" s="961">
        <f t="shared" si="47"/>
        <v>1</v>
      </c>
      <c r="L230" s="1245"/>
      <c r="M230" s="961">
        <f t="shared" si="48"/>
        <v>1</v>
      </c>
      <c r="N230" s="1245"/>
      <c r="O230" s="961">
        <f t="shared" si="49"/>
        <v>1</v>
      </c>
      <c r="P230" s="1245"/>
      <c r="Q230" s="961">
        <f t="shared" si="50"/>
        <v>1</v>
      </c>
      <c r="R230" s="961">
        <f t="shared" si="51"/>
        <v>0</v>
      </c>
      <c r="S230" s="935">
        <f t="shared" si="52"/>
        <v>0</v>
      </c>
    </row>
    <row r="231" spans="1:19">
      <c r="A231" s="1243"/>
      <c r="B231" s="1244"/>
      <c r="C231" s="961">
        <f t="shared" si="43"/>
        <v>1</v>
      </c>
      <c r="D231" s="1245"/>
      <c r="E231" s="961">
        <f t="shared" si="44"/>
        <v>1</v>
      </c>
      <c r="F231" s="1245"/>
      <c r="G231" s="961">
        <f t="shared" si="45"/>
        <v>1</v>
      </c>
      <c r="H231" s="1245"/>
      <c r="I231" s="961">
        <f t="shared" si="46"/>
        <v>1</v>
      </c>
      <c r="J231" s="1245"/>
      <c r="K231" s="961">
        <f t="shared" si="47"/>
        <v>1</v>
      </c>
      <c r="L231" s="1245"/>
      <c r="M231" s="961">
        <f t="shared" si="48"/>
        <v>1</v>
      </c>
      <c r="N231" s="1245"/>
      <c r="O231" s="961">
        <f t="shared" si="49"/>
        <v>1</v>
      </c>
      <c r="P231" s="1245"/>
      <c r="Q231" s="961">
        <f t="shared" si="50"/>
        <v>1</v>
      </c>
      <c r="R231" s="961">
        <f t="shared" si="51"/>
        <v>0</v>
      </c>
      <c r="S231" s="935">
        <f t="shared" si="52"/>
        <v>0</v>
      </c>
    </row>
    <row r="232" spans="1:19">
      <c r="A232" s="1243"/>
      <c r="B232" s="1244"/>
      <c r="C232" s="961">
        <f t="shared" si="43"/>
        <v>1</v>
      </c>
      <c r="D232" s="1245"/>
      <c r="E232" s="961">
        <f t="shared" si="44"/>
        <v>1</v>
      </c>
      <c r="F232" s="1245"/>
      <c r="G232" s="961">
        <f t="shared" si="45"/>
        <v>1</v>
      </c>
      <c r="H232" s="1245"/>
      <c r="I232" s="961">
        <f t="shared" si="46"/>
        <v>1</v>
      </c>
      <c r="J232" s="1245"/>
      <c r="K232" s="961">
        <f t="shared" si="47"/>
        <v>1</v>
      </c>
      <c r="L232" s="1245"/>
      <c r="M232" s="961">
        <f t="shared" si="48"/>
        <v>1</v>
      </c>
      <c r="N232" s="1245"/>
      <c r="O232" s="961">
        <f t="shared" si="49"/>
        <v>1</v>
      </c>
      <c r="P232" s="1245"/>
      <c r="Q232" s="961">
        <f t="shared" si="50"/>
        <v>1</v>
      </c>
      <c r="R232" s="961">
        <f t="shared" si="51"/>
        <v>0</v>
      </c>
      <c r="S232" s="935">
        <f t="shared" si="52"/>
        <v>0</v>
      </c>
    </row>
    <row r="233" spans="1:19">
      <c r="A233" s="1243"/>
      <c r="B233" s="1244"/>
      <c r="C233" s="961">
        <f t="shared" si="43"/>
        <v>1</v>
      </c>
      <c r="D233" s="1245"/>
      <c r="E233" s="961">
        <f t="shared" si="44"/>
        <v>1</v>
      </c>
      <c r="F233" s="1245"/>
      <c r="G233" s="961">
        <f t="shared" si="45"/>
        <v>1</v>
      </c>
      <c r="H233" s="1245"/>
      <c r="I233" s="961">
        <f t="shared" si="46"/>
        <v>1</v>
      </c>
      <c r="J233" s="1245"/>
      <c r="K233" s="961">
        <f t="shared" si="47"/>
        <v>1</v>
      </c>
      <c r="L233" s="1245"/>
      <c r="M233" s="961">
        <f t="shared" si="48"/>
        <v>1</v>
      </c>
      <c r="N233" s="1245"/>
      <c r="O233" s="961">
        <f t="shared" si="49"/>
        <v>1</v>
      </c>
      <c r="P233" s="1245"/>
      <c r="Q233" s="961">
        <f t="shared" si="50"/>
        <v>1</v>
      </c>
      <c r="R233" s="961">
        <f t="shared" si="51"/>
        <v>0</v>
      </c>
      <c r="S233" s="935">
        <f t="shared" si="52"/>
        <v>0</v>
      </c>
    </row>
    <row r="234" spans="1:19">
      <c r="A234" s="1243"/>
      <c r="B234" s="1244"/>
      <c r="C234" s="961">
        <f t="shared" si="43"/>
        <v>1</v>
      </c>
      <c r="D234" s="1245"/>
      <c r="E234" s="961">
        <f t="shared" si="44"/>
        <v>1</v>
      </c>
      <c r="F234" s="1245"/>
      <c r="G234" s="961">
        <f t="shared" si="45"/>
        <v>1</v>
      </c>
      <c r="H234" s="1245"/>
      <c r="I234" s="961">
        <f t="shared" si="46"/>
        <v>1</v>
      </c>
      <c r="J234" s="1245"/>
      <c r="K234" s="961">
        <f t="shared" si="47"/>
        <v>1</v>
      </c>
      <c r="L234" s="1245"/>
      <c r="M234" s="961">
        <f t="shared" si="48"/>
        <v>1</v>
      </c>
      <c r="N234" s="1245"/>
      <c r="O234" s="961">
        <f t="shared" si="49"/>
        <v>1</v>
      </c>
      <c r="P234" s="1245"/>
      <c r="Q234" s="961">
        <f t="shared" si="50"/>
        <v>1</v>
      </c>
      <c r="R234" s="961">
        <f t="shared" si="51"/>
        <v>0</v>
      </c>
      <c r="S234" s="935">
        <f t="shared" si="52"/>
        <v>0</v>
      </c>
    </row>
    <row r="235" spans="1:19">
      <c r="A235" s="1243"/>
      <c r="B235" s="1244"/>
      <c r="C235" s="961">
        <f t="shared" si="43"/>
        <v>1</v>
      </c>
      <c r="D235" s="1245"/>
      <c r="E235" s="961">
        <f t="shared" si="44"/>
        <v>1</v>
      </c>
      <c r="F235" s="1245"/>
      <c r="G235" s="961">
        <f t="shared" si="45"/>
        <v>1</v>
      </c>
      <c r="H235" s="1245"/>
      <c r="I235" s="961">
        <f t="shared" si="46"/>
        <v>1</v>
      </c>
      <c r="J235" s="1245"/>
      <c r="K235" s="961">
        <f t="shared" si="47"/>
        <v>1</v>
      </c>
      <c r="L235" s="1245"/>
      <c r="M235" s="961">
        <f t="shared" si="48"/>
        <v>1</v>
      </c>
      <c r="N235" s="1245"/>
      <c r="O235" s="961">
        <f t="shared" si="49"/>
        <v>1</v>
      </c>
      <c r="P235" s="1245"/>
      <c r="Q235" s="961">
        <f t="shared" si="50"/>
        <v>1</v>
      </c>
      <c r="R235" s="961">
        <f t="shared" si="51"/>
        <v>0</v>
      </c>
      <c r="S235" s="935">
        <f t="shared" si="52"/>
        <v>0</v>
      </c>
    </row>
    <row r="236" spans="1:19">
      <c r="A236" s="1243"/>
      <c r="B236" s="1244"/>
      <c r="C236" s="961">
        <f t="shared" si="43"/>
        <v>1</v>
      </c>
      <c r="D236" s="1245"/>
      <c r="E236" s="961">
        <f t="shared" si="44"/>
        <v>1</v>
      </c>
      <c r="F236" s="1245"/>
      <c r="G236" s="961">
        <f t="shared" si="45"/>
        <v>1</v>
      </c>
      <c r="H236" s="1245"/>
      <c r="I236" s="961">
        <f t="shared" si="46"/>
        <v>1</v>
      </c>
      <c r="J236" s="1245"/>
      <c r="K236" s="961">
        <f t="shared" si="47"/>
        <v>1</v>
      </c>
      <c r="L236" s="1245"/>
      <c r="M236" s="961">
        <f t="shared" si="48"/>
        <v>1</v>
      </c>
      <c r="N236" s="1245"/>
      <c r="O236" s="961">
        <f t="shared" si="49"/>
        <v>1</v>
      </c>
      <c r="P236" s="1245"/>
      <c r="Q236" s="961">
        <f t="shared" si="50"/>
        <v>1</v>
      </c>
      <c r="R236" s="961">
        <f t="shared" si="51"/>
        <v>0</v>
      </c>
      <c r="S236" s="935">
        <f t="shared" si="52"/>
        <v>0</v>
      </c>
    </row>
    <row r="237" spans="1:19">
      <c r="A237" s="1243"/>
      <c r="B237" s="1244"/>
      <c r="C237" s="961">
        <f t="shared" si="43"/>
        <v>1</v>
      </c>
      <c r="D237" s="1245"/>
      <c r="E237" s="961">
        <f t="shared" si="44"/>
        <v>1</v>
      </c>
      <c r="F237" s="1245"/>
      <c r="G237" s="961">
        <f t="shared" si="45"/>
        <v>1</v>
      </c>
      <c r="H237" s="1245"/>
      <c r="I237" s="961">
        <f t="shared" si="46"/>
        <v>1</v>
      </c>
      <c r="J237" s="1245"/>
      <c r="K237" s="961">
        <f t="shared" si="47"/>
        <v>1</v>
      </c>
      <c r="L237" s="1245"/>
      <c r="M237" s="961">
        <f t="shared" si="48"/>
        <v>1</v>
      </c>
      <c r="N237" s="1245"/>
      <c r="O237" s="961">
        <f t="shared" si="49"/>
        <v>1</v>
      </c>
      <c r="P237" s="1245"/>
      <c r="Q237" s="961">
        <f t="shared" si="50"/>
        <v>1</v>
      </c>
      <c r="R237" s="961">
        <f t="shared" si="51"/>
        <v>0</v>
      </c>
      <c r="S237" s="935">
        <f t="shared" si="52"/>
        <v>0</v>
      </c>
    </row>
    <row r="238" spans="1:19">
      <c r="A238" s="1243"/>
      <c r="B238" s="1244"/>
      <c r="C238" s="961">
        <f t="shared" si="43"/>
        <v>1</v>
      </c>
      <c r="D238" s="1245"/>
      <c r="E238" s="961">
        <f t="shared" si="44"/>
        <v>1</v>
      </c>
      <c r="F238" s="1245"/>
      <c r="G238" s="961">
        <f t="shared" si="45"/>
        <v>1</v>
      </c>
      <c r="H238" s="1245"/>
      <c r="I238" s="961">
        <f t="shared" si="46"/>
        <v>1</v>
      </c>
      <c r="J238" s="1245"/>
      <c r="K238" s="961">
        <f t="shared" si="47"/>
        <v>1</v>
      </c>
      <c r="L238" s="1245"/>
      <c r="M238" s="961">
        <f t="shared" si="48"/>
        <v>1</v>
      </c>
      <c r="N238" s="1245"/>
      <c r="O238" s="961">
        <f t="shared" si="49"/>
        <v>1</v>
      </c>
      <c r="P238" s="1245"/>
      <c r="Q238" s="961">
        <f t="shared" si="50"/>
        <v>1</v>
      </c>
      <c r="R238" s="961">
        <f t="shared" si="51"/>
        <v>0</v>
      </c>
      <c r="S238" s="935">
        <f t="shared" si="52"/>
        <v>0</v>
      </c>
    </row>
    <row r="239" spans="1:19">
      <c r="A239" s="1243"/>
      <c r="B239" s="1244"/>
      <c r="C239" s="961">
        <f t="shared" si="43"/>
        <v>1</v>
      </c>
      <c r="D239" s="1245"/>
      <c r="E239" s="961">
        <f t="shared" si="44"/>
        <v>1</v>
      </c>
      <c r="F239" s="1245"/>
      <c r="G239" s="961">
        <f t="shared" si="45"/>
        <v>1</v>
      </c>
      <c r="H239" s="1245"/>
      <c r="I239" s="961">
        <f t="shared" si="46"/>
        <v>1</v>
      </c>
      <c r="J239" s="1245"/>
      <c r="K239" s="961">
        <f t="shared" si="47"/>
        <v>1</v>
      </c>
      <c r="L239" s="1245"/>
      <c r="M239" s="961">
        <f t="shared" si="48"/>
        <v>1</v>
      </c>
      <c r="N239" s="1245"/>
      <c r="O239" s="961">
        <f t="shared" si="49"/>
        <v>1</v>
      </c>
      <c r="P239" s="1245"/>
      <c r="Q239" s="961">
        <f t="shared" si="50"/>
        <v>1</v>
      </c>
      <c r="R239" s="961">
        <f t="shared" si="51"/>
        <v>0</v>
      </c>
      <c r="S239" s="935">
        <f t="shared" si="52"/>
        <v>0</v>
      </c>
    </row>
    <row r="240" spans="1:19">
      <c r="A240" s="1243"/>
      <c r="B240" s="1244"/>
      <c r="C240" s="961">
        <f t="shared" si="43"/>
        <v>1</v>
      </c>
      <c r="D240" s="1245"/>
      <c r="E240" s="961">
        <f t="shared" si="44"/>
        <v>1</v>
      </c>
      <c r="F240" s="1245"/>
      <c r="G240" s="961">
        <f t="shared" si="45"/>
        <v>1</v>
      </c>
      <c r="H240" s="1245"/>
      <c r="I240" s="961">
        <f t="shared" si="46"/>
        <v>1</v>
      </c>
      <c r="J240" s="1245"/>
      <c r="K240" s="961">
        <f t="shared" si="47"/>
        <v>1</v>
      </c>
      <c r="L240" s="1245"/>
      <c r="M240" s="961">
        <f t="shared" si="48"/>
        <v>1</v>
      </c>
      <c r="N240" s="1245"/>
      <c r="O240" s="961">
        <f t="shared" si="49"/>
        <v>1</v>
      </c>
      <c r="P240" s="1245"/>
      <c r="Q240" s="961">
        <f t="shared" si="50"/>
        <v>1</v>
      </c>
      <c r="R240" s="961">
        <f t="shared" si="51"/>
        <v>0</v>
      </c>
      <c r="S240" s="935">
        <f t="shared" si="52"/>
        <v>0</v>
      </c>
    </row>
    <row r="241" spans="1:19">
      <c r="A241" s="1243"/>
      <c r="B241" s="1244"/>
      <c r="C241" s="961">
        <f t="shared" si="43"/>
        <v>1</v>
      </c>
      <c r="D241" s="1245"/>
      <c r="E241" s="961">
        <f t="shared" si="44"/>
        <v>1</v>
      </c>
      <c r="F241" s="1245"/>
      <c r="G241" s="961">
        <f t="shared" si="45"/>
        <v>1</v>
      </c>
      <c r="H241" s="1245"/>
      <c r="I241" s="961">
        <f t="shared" si="46"/>
        <v>1</v>
      </c>
      <c r="J241" s="1245"/>
      <c r="K241" s="961">
        <f t="shared" si="47"/>
        <v>1</v>
      </c>
      <c r="L241" s="1245"/>
      <c r="M241" s="961">
        <f t="shared" si="48"/>
        <v>1</v>
      </c>
      <c r="N241" s="1245"/>
      <c r="O241" s="961">
        <f t="shared" si="49"/>
        <v>1</v>
      </c>
      <c r="P241" s="1245"/>
      <c r="Q241" s="961">
        <f t="shared" si="50"/>
        <v>1</v>
      </c>
      <c r="R241" s="961">
        <f t="shared" si="51"/>
        <v>0</v>
      </c>
      <c r="S241" s="935">
        <f t="shared" si="52"/>
        <v>0</v>
      </c>
    </row>
    <row r="242" spans="1:19">
      <c r="A242" s="1243"/>
      <c r="B242" s="1244"/>
      <c r="C242" s="961">
        <f t="shared" si="43"/>
        <v>1</v>
      </c>
      <c r="D242" s="1245"/>
      <c r="E242" s="961">
        <f t="shared" si="44"/>
        <v>1</v>
      </c>
      <c r="F242" s="1245"/>
      <c r="G242" s="961">
        <f t="shared" si="45"/>
        <v>1</v>
      </c>
      <c r="H242" s="1245"/>
      <c r="I242" s="961">
        <f t="shared" si="46"/>
        <v>1</v>
      </c>
      <c r="J242" s="1245"/>
      <c r="K242" s="961">
        <f t="shared" si="47"/>
        <v>1</v>
      </c>
      <c r="L242" s="1245"/>
      <c r="M242" s="961">
        <f t="shared" si="48"/>
        <v>1</v>
      </c>
      <c r="N242" s="1245"/>
      <c r="O242" s="961">
        <f t="shared" si="49"/>
        <v>1</v>
      </c>
      <c r="P242" s="1245"/>
      <c r="Q242" s="961">
        <f t="shared" si="50"/>
        <v>1</v>
      </c>
      <c r="R242" s="961">
        <f t="shared" si="51"/>
        <v>0</v>
      </c>
      <c r="S242" s="935">
        <f t="shared" si="52"/>
        <v>0</v>
      </c>
    </row>
    <row r="243" spans="1:19">
      <c r="A243" s="1243"/>
      <c r="B243" s="1244"/>
      <c r="C243" s="961">
        <f t="shared" si="43"/>
        <v>1</v>
      </c>
      <c r="D243" s="1245"/>
      <c r="E243" s="961">
        <f t="shared" si="44"/>
        <v>1</v>
      </c>
      <c r="F243" s="1245"/>
      <c r="G243" s="961">
        <f t="shared" si="45"/>
        <v>1</v>
      </c>
      <c r="H243" s="1245"/>
      <c r="I243" s="961">
        <f t="shared" si="46"/>
        <v>1</v>
      </c>
      <c r="J243" s="1245"/>
      <c r="K243" s="961">
        <f t="shared" si="47"/>
        <v>1</v>
      </c>
      <c r="L243" s="1245"/>
      <c r="M243" s="961">
        <f t="shared" si="48"/>
        <v>1</v>
      </c>
      <c r="N243" s="1245"/>
      <c r="O243" s="961">
        <f t="shared" si="49"/>
        <v>1</v>
      </c>
      <c r="P243" s="1245"/>
      <c r="Q243" s="961">
        <f t="shared" si="50"/>
        <v>1</v>
      </c>
      <c r="R243" s="961">
        <f t="shared" si="51"/>
        <v>0</v>
      </c>
      <c r="S243" s="935">
        <f t="shared" si="52"/>
        <v>0</v>
      </c>
    </row>
    <row r="244" spans="1:19">
      <c r="A244" s="1243"/>
      <c r="B244" s="1244"/>
      <c r="C244" s="961">
        <f t="shared" si="43"/>
        <v>1</v>
      </c>
      <c r="D244" s="1245"/>
      <c r="E244" s="961">
        <f t="shared" si="44"/>
        <v>1</v>
      </c>
      <c r="F244" s="1245"/>
      <c r="G244" s="961">
        <f t="shared" si="45"/>
        <v>1</v>
      </c>
      <c r="H244" s="1245"/>
      <c r="I244" s="961">
        <f t="shared" si="46"/>
        <v>1</v>
      </c>
      <c r="J244" s="1245"/>
      <c r="K244" s="961">
        <f t="shared" si="47"/>
        <v>1</v>
      </c>
      <c r="L244" s="1245"/>
      <c r="M244" s="961">
        <f t="shared" si="48"/>
        <v>1</v>
      </c>
      <c r="N244" s="1245"/>
      <c r="O244" s="961">
        <f t="shared" si="49"/>
        <v>1</v>
      </c>
      <c r="P244" s="1245"/>
      <c r="Q244" s="961">
        <f t="shared" si="50"/>
        <v>1</v>
      </c>
      <c r="R244" s="961">
        <f t="shared" si="51"/>
        <v>0</v>
      </c>
      <c r="S244" s="935">
        <f t="shared" si="52"/>
        <v>0</v>
      </c>
    </row>
    <row r="245" spans="1:19">
      <c r="A245" s="1243"/>
      <c r="B245" s="1244"/>
      <c r="C245" s="961">
        <f t="shared" si="43"/>
        <v>1</v>
      </c>
      <c r="D245" s="1245"/>
      <c r="E245" s="961">
        <f t="shared" si="44"/>
        <v>1</v>
      </c>
      <c r="F245" s="1245"/>
      <c r="G245" s="961">
        <f t="shared" si="45"/>
        <v>1</v>
      </c>
      <c r="H245" s="1245"/>
      <c r="I245" s="961">
        <f t="shared" si="46"/>
        <v>1</v>
      </c>
      <c r="J245" s="1245"/>
      <c r="K245" s="961">
        <f t="shared" si="47"/>
        <v>1</v>
      </c>
      <c r="L245" s="1245"/>
      <c r="M245" s="961">
        <f t="shared" si="48"/>
        <v>1</v>
      </c>
      <c r="N245" s="1245"/>
      <c r="O245" s="961">
        <f t="shared" si="49"/>
        <v>1</v>
      </c>
      <c r="P245" s="1245"/>
      <c r="Q245" s="961">
        <f t="shared" si="50"/>
        <v>1</v>
      </c>
      <c r="R245" s="961">
        <f t="shared" si="51"/>
        <v>0</v>
      </c>
      <c r="S245" s="935">
        <f t="shared" si="52"/>
        <v>0</v>
      </c>
    </row>
    <row r="246" spans="1:19">
      <c r="A246" s="1243"/>
      <c r="B246" s="1244"/>
      <c r="C246" s="961">
        <f t="shared" si="43"/>
        <v>1</v>
      </c>
      <c r="D246" s="1245"/>
      <c r="E246" s="961">
        <f t="shared" si="44"/>
        <v>1</v>
      </c>
      <c r="F246" s="1245"/>
      <c r="G246" s="961">
        <f t="shared" si="45"/>
        <v>1</v>
      </c>
      <c r="H246" s="1245"/>
      <c r="I246" s="961">
        <f t="shared" si="46"/>
        <v>1</v>
      </c>
      <c r="J246" s="1245"/>
      <c r="K246" s="961">
        <f t="shared" si="47"/>
        <v>1</v>
      </c>
      <c r="L246" s="1245"/>
      <c r="M246" s="961">
        <f t="shared" si="48"/>
        <v>1</v>
      </c>
      <c r="N246" s="1245"/>
      <c r="O246" s="961">
        <f t="shared" si="49"/>
        <v>1</v>
      </c>
      <c r="P246" s="1245"/>
      <c r="Q246" s="961">
        <f t="shared" si="50"/>
        <v>1</v>
      </c>
      <c r="R246" s="961">
        <f t="shared" si="51"/>
        <v>0</v>
      </c>
      <c r="S246" s="935">
        <f t="shared" si="52"/>
        <v>0</v>
      </c>
    </row>
    <row r="247" spans="1:19">
      <c r="A247" s="1243"/>
      <c r="B247" s="1244"/>
      <c r="C247" s="961">
        <f t="shared" si="43"/>
        <v>1</v>
      </c>
      <c r="D247" s="1245"/>
      <c r="E247" s="961">
        <f t="shared" si="44"/>
        <v>1</v>
      </c>
      <c r="F247" s="1245"/>
      <c r="G247" s="961">
        <f t="shared" si="45"/>
        <v>1</v>
      </c>
      <c r="H247" s="1245"/>
      <c r="I247" s="961">
        <f t="shared" si="46"/>
        <v>1</v>
      </c>
      <c r="J247" s="1245"/>
      <c r="K247" s="961">
        <f t="shared" si="47"/>
        <v>1</v>
      </c>
      <c r="L247" s="1245"/>
      <c r="M247" s="961">
        <f t="shared" si="48"/>
        <v>1</v>
      </c>
      <c r="N247" s="1245"/>
      <c r="O247" s="961">
        <f t="shared" si="49"/>
        <v>1</v>
      </c>
      <c r="P247" s="1245"/>
      <c r="Q247" s="961">
        <f t="shared" si="50"/>
        <v>1</v>
      </c>
      <c r="R247" s="961">
        <f t="shared" si="51"/>
        <v>0</v>
      </c>
      <c r="S247" s="935">
        <f t="shared" si="52"/>
        <v>0</v>
      </c>
    </row>
    <row r="248" spans="1:19">
      <c r="A248" s="1243"/>
      <c r="B248" s="1244"/>
      <c r="C248" s="961">
        <f t="shared" si="43"/>
        <v>1</v>
      </c>
      <c r="D248" s="1245"/>
      <c r="E248" s="961">
        <f t="shared" si="44"/>
        <v>1</v>
      </c>
      <c r="F248" s="1245"/>
      <c r="G248" s="961">
        <f t="shared" si="45"/>
        <v>1</v>
      </c>
      <c r="H248" s="1245"/>
      <c r="I248" s="961">
        <f t="shared" si="46"/>
        <v>1</v>
      </c>
      <c r="J248" s="1245"/>
      <c r="K248" s="961">
        <f t="shared" si="47"/>
        <v>1</v>
      </c>
      <c r="L248" s="1245"/>
      <c r="M248" s="961">
        <f t="shared" si="48"/>
        <v>1</v>
      </c>
      <c r="N248" s="1245"/>
      <c r="O248" s="961">
        <f t="shared" si="49"/>
        <v>1</v>
      </c>
      <c r="P248" s="1245"/>
      <c r="Q248" s="961">
        <f t="shared" si="50"/>
        <v>1</v>
      </c>
      <c r="R248" s="961">
        <f t="shared" si="51"/>
        <v>0</v>
      </c>
      <c r="S248" s="935">
        <f t="shared" si="52"/>
        <v>0</v>
      </c>
    </row>
    <row r="249" spans="1:19">
      <c r="A249" s="1243"/>
      <c r="B249" s="1244"/>
      <c r="C249" s="961">
        <f t="shared" si="43"/>
        <v>1</v>
      </c>
      <c r="D249" s="1245"/>
      <c r="E249" s="961">
        <f t="shared" si="44"/>
        <v>1</v>
      </c>
      <c r="F249" s="1245"/>
      <c r="G249" s="961">
        <f t="shared" si="45"/>
        <v>1</v>
      </c>
      <c r="H249" s="1245"/>
      <c r="I249" s="961">
        <f t="shared" si="46"/>
        <v>1</v>
      </c>
      <c r="J249" s="1245"/>
      <c r="K249" s="961">
        <f t="shared" si="47"/>
        <v>1</v>
      </c>
      <c r="L249" s="1245"/>
      <c r="M249" s="961">
        <f t="shared" si="48"/>
        <v>1</v>
      </c>
      <c r="N249" s="1245"/>
      <c r="O249" s="961">
        <f t="shared" si="49"/>
        <v>1</v>
      </c>
      <c r="P249" s="1245"/>
      <c r="Q249" s="961">
        <f t="shared" si="50"/>
        <v>1</v>
      </c>
      <c r="R249" s="961">
        <f t="shared" si="51"/>
        <v>0</v>
      </c>
      <c r="S249" s="935">
        <f t="shared" si="52"/>
        <v>0</v>
      </c>
    </row>
    <row r="250" spans="1:19">
      <c r="A250" s="1243"/>
      <c r="B250" s="1244"/>
      <c r="C250" s="961">
        <f t="shared" si="43"/>
        <v>1</v>
      </c>
      <c r="D250" s="1245"/>
      <c r="E250" s="961">
        <f t="shared" si="44"/>
        <v>1</v>
      </c>
      <c r="F250" s="1245"/>
      <c r="G250" s="961">
        <f t="shared" si="45"/>
        <v>1</v>
      </c>
      <c r="H250" s="1245"/>
      <c r="I250" s="961">
        <f t="shared" si="46"/>
        <v>1</v>
      </c>
      <c r="J250" s="1245"/>
      <c r="K250" s="961">
        <f t="shared" si="47"/>
        <v>1</v>
      </c>
      <c r="L250" s="1245"/>
      <c r="M250" s="961">
        <f t="shared" si="48"/>
        <v>1</v>
      </c>
      <c r="N250" s="1245"/>
      <c r="O250" s="961">
        <f t="shared" si="49"/>
        <v>1</v>
      </c>
      <c r="P250" s="1245"/>
      <c r="Q250" s="961">
        <f t="shared" si="50"/>
        <v>1</v>
      </c>
      <c r="R250" s="961">
        <f t="shared" si="51"/>
        <v>0</v>
      </c>
      <c r="S250" s="935">
        <f t="shared" si="52"/>
        <v>0</v>
      </c>
    </row>
    <row r="251" spans="1:19">
      <c r="A251" s="1243"/>
      <c r="B251" s="1244"/>
      <c r="C251" s="961">
        <f t="shared" si="43"/>
        <v>1</v>
      </c>
      <c r="D251" s="1245"/>
      <c r="E251" s="961">
        <f t="shared" si="44"/>
        <v>1</v>
      </c>
      <c r="F251" s="1245"/>
      <c r="G251" s="961">
        <f t="shared" si="45"/>
        <v>1</v>
      </c>
      <c r="H251" s="1245"/>
      <c r="I251" s="961">
        <f t="shared" si="46"/>
        <v>1</v>
      </c>
      <c r="J251" s="1245"/>
      <c r="K251" s="961">
        <f t="shared" si="47"/>
        <v>1</v>
      </c>
      <c r="L251" s="1245"/>
      <c r="M251" s="961">
        <f t="shared" si="48"/>
        <v>1</v>
      </c>
      <c r="N251" s="1245"/>
      <c r="O251" s="961">
        <f t="shared" si="49"/>
        <v>1</v>
      </c>
      <c r="P251" s="1245"/>
      <c r="Q251" s="961">
        <f t="shared" si="50"/>
        <v>1</v>
      </c>
      <c r="R251" s="961">
        <f t="shared" si="51"/>
        <v>0</v>
      </c>
      <c r="S251" s="935">
        <f t="shared" si="52"/>
        <v>0</v>
      </c>
    </row>
    <row r="252" spans="1:19">
      <c r="A252" s="1243"/>
      <c r="B252" s="1244"/>
      <c r="C252" s="961">
        <f t="shared" si="43"/>
        <v>1</v>
      </c>
      <c r="D252" s="1245"/>
      <c r="E252" s="961">
        <f t="shared" si="44"/>
        <v>1</v>
      </c>
      <c r="F252" s="1245"/>
      <c r="G252" s="961">
        <f t="shared" si="45"/>
        <v>1</v>
      </c>
      <c r="H252" s="1245"/>
      <c r="I252" s="961">
        <f t="shared" si="46"/>
        <v>1</v>
      </c>
      <c r="J252" s="1245"/>
      <c r="K252" s="961">
        <f t="shared" si="47"/>
        <v>1</v>
      </c>
      <c r="L252" s="1245"/>
      <c r="M252" s="961">
        <f t="shared" si="48"/>
        <v>1</v>
      </c>
      <c r="N252" s="1245"/>
      <c r="O252" s="961">
        <f t="shared" si="49"/>
        <v>1</v>
      </c>
      <c r="P252" s="1245"/>
      <c r="Q252" s="961">
        <f t="shared" si="50"/>
        <v>1</v>
      </c>
      <c r="R252" s="961">
        <f t="shared" si="51"/>
        <v>0</v>
      </c>
      <c r="S252" s="935">
        <f t="shared" si="52"/>
        <v>0</v>
      </c>
    </row>
    <row r="253" spans="1:19">
      <c r="A253" s="1243"/>
      <c r="B253" s="1244"/>
      <c r="C253" s="961">
        <f t="shared" si="43"/>
        <v>1</v>
      </c>
      <c r="D253" s="1245"/>
      <c r="E253" s="961">
        <f t="shared" si="44"/>
        <v>1</v>
      </c>
      <c r="F253" s="1245"/>
      <c r="G253" s="961">
        <f t="shared" si="45"/>
        <v>1</v>
      </c>
      <c r="H253" s="1245"/>
      <c r="I253" s="961">
        <f t="shared" si="46"/>
        <v>1</v>
      </c>
      <c r="J253" s="1245"/>
      <c r="K253" s="961">
        <f t="shared" si="47"/>
        <v>1</v>
      </c>
      <c r="L253" s="1245"/>
      <c r="M253" s="961">
        <f t="shared" si="48"/>
        <v>1</v>
      </c>
      <c r="N253" s="1245"/>
      <c r="O253" s="961">
        <f t="shared" si="49"/>
        <v>1</v>
      </c>
      <c r="P253" s="1245"/>
      <c r="Q253" s="961">
        <f t="shared" si="50"/>
        <v>1</v>
      </c>
      <c r="R253" s="961">
        <f t="shared" si="51"/>
        <v>0</v>
      </c>
      <c r="S253" s="935">
        <f t="shared" si="52"/>
        <v>0</v>
      </c>
    </row>
    <row r="254" spans="1:19">
      <c r="A254" s="1243"/>
      <c r="B254" s="1244"/>
      <c r="C254" s="961">
        <f t="shared" si="43"/>
        <v>1</v>
      </c>
      <c r="D254" s="1245"/>
      <c r="E254" s="961">
        <f t="shared" si="44"/>
        <v>1</v>
      </c>
      <c r="F254" s="1245"/>
      <c r="G254" s="961">
        <f t="shared" si="45"/>
        <v>1</v>
      </c>
      <c r="H254" s="1245"/>
      <c r="I254" s="961">
        <f t="shared" si="46"/>
        <v>1</v>
      </c>
      <c r="J254" s="1245"/>
      <c r="K254" s="961">
        <f t="shared" si="47"/>
        <v>1</v>
      </c>
      <c r="L254" s="1245"/>
      <c r="M254" s="961">
        <f t="shared" si="48"/>
        <v>1</v>
      </c>
      <c r="N254" s="1245"/>
      <c r="O254" s="961">
        <f t="shared" si="49"/>
        <v>1</v>
      </c>
      <c r="P254" s="1245"/>
      <c r="Q254" s="961">
        <f t="shared" si="50"/>
        <v>1</v>
      </c>
      <c r="R254" s="961">
        <f t="shared" si="51"/>
        <v>0</v>
      </c>
      <c r="S254" s="935">
        <f t="shared" si="52"/>
        <v>0</v>
      </c>
    </row>
    <row r="255" spans="1:19">
      <c r="A255" s="1243"/>
      <c r="B255" s="1244"/>
      <c r="C255" s="961">
        <f t="shared" si="43"/>
        <v>1</v>
      </c>
      <c r="D255" s="1245"/>
      <c r="E255" s="961">
        <f t="shared" si="44"/>
        <v>1</v>
      </c>
      <c r="F255" s="1245"/>
      <c r="G255" s="961">
        <f t="shared" si="45"/>
        <v>1</v>
      </c>
      <c r="H255" s="1245"/>
      <c r="I255" s="961">
        <f t="shared" si="46"/>
        <v>1</v>
      </c>
      <c r="J255" s="1245"/>
      <c r="K255" s="961">
        <f t="shared" si="47"/>
        <v>1</v>
      </c>
      <c r="L255" s="1245"/>
      <c r="M255" s="961">
        <f t="shared" si="48"/>
        <v>1</v>
      </c>
      <c r="N255" s="1245"/>
      <c r="O255" s="961">
        <f t="shared" si="49"/>
        <v>1</v>
      </c>
      <c r="P255" s="1245"/>
      <c r="Q255" s="961">
        <f t="shared" si="50"/>
        <v>1</v>
      </c>
      <c r="R255" s="961">
        <f t="shared" si="51"/>
        <v>0</v>
      </c>
      <c r="S255" s="935">
        <f t="shared" si="52"/>
        <v>0</v>
      </c>
    </row>
    <row r="256" spans="1:19">
      <c r="A256" s="1243"/>
      <c r="B256" s="1244"/>
      <c r="C256" s="961">
        <f t="shared" si="43"/>
        <v>1</v>
      </c>
      <c r="D256" s="1245"/>
      <c r="E256" s="961">
        <f t="shared" si="44"/>
        <v>1</v>
      </c>
      <c r="F256" s="1245"/>
      <c r="G256" s="961">
        <f t="shared" si="45"/>
        <v>1</v>
      </c>
      <c r="H256" s="1245"/>
      <c r="I256" s="961">
        <f t="shared" si="46"/>
        <v>1</v>
      </c>
      <c r="J256" s="1245"/>
      <c r="K256" s="961">
        <f t="shared" si="47"/>
        <v>1</v>
      </c>
      <c r="L256" s="1245"/>
      <c r="M256" s="961">
        <f t="shared" si="48"/>
        <v>1</v>
      </c>
      <c r="N256" s="1245"/>
      <c r="O256" s="961">
        <f t="shared" si="49"/>
        <v>1</v>
      </c>
      <c r="P256" s="1245"/>
      <c r="Q256" s="961">
        <f t="shared" si="50"/>
        <v>1</v>
      </c>
      <c r="R256" s="961">
        <f t="shared" si="51"/>
        <v>0</v>
      </c>
      <c r="S256" s="935">
        <f t="shared" si="52"/>
        <v>0</v>
      </c>
    </row>
    <row r="257" spans="1:19">
      <c r="A257" s="1243"/>
      <c r="B257" s="1244"/>
      <c r="C257" s="961">
        <f t="shared" si="43"/>
        <v>1</v>
      </c>
      <c r="D257" s="1245"/>
      <c r="E257" s="961">
        <f t="shared" si="44"/>
        <v>1</v>
      </c>
      <c r="F257" s="1245"/>
      <c r="G257" s="961">
        <f t="shared" si="45"/>
        <v>1</v>
      </c>
      <c r="H257" s="1245"/>
      <c r="I257" s="961">
        <f t="shared" si="46"/>
        <v>1</v>
      </c>
      <c r="J257" s="1245"/>
      <c r="K257" s="961">
        <f t="shared" si="47"/>
        <v>1</v>
      </c>
      <c r="L257" s="1245"/>
      <c r="M257" s="961">
        <f t="shared" si="48"/>
        <v>1</v>
      </c>
      <c r="N257" s="1245"/>
      <c r="O257" s="961">
        <f t="shared" si="49"/>
        <v>1</v>
      </c>
      <c r="P257" s="1245"/>
      <c r="Q257" s="961">
        <f t="shared" si="50"/>
        <v>1</v>
      </c>
      <c r="R257" s="961">
        <f t="shared" si="51"/>
        <v>0</v>
      </c>
      <c r="S257" s="935">
        <f t="shared" si="52"/>
        <v>0</v>
      </c>
    </row>
    <row r="258" spans="1:19">
      <c r="A258" s="1243"/>
      <c r="B258" s="1244"/>
      <c r="C258" s="961">
        <f t="shared" si="43"/>
        <v>1</v>
      </c>
      <c r="D258" s="1245"/>
      <c r="E258" s="961">
        <f t="shared" si="44"/>
        <v>1</v>
      </c>
      <c r="F258" s="1245"/>
      <c r="G258" s="961">
        <f t="shared" si="45"/>
        <v>1</v>
      </c>
      <c r="H258" s="1245"/>
      <c r="I258" s="961">
        <f t="shared" si="46"/>
        <v>1</v>
      </c>
      <c r="J258" s="1245"/>
      <c r="K258" s="961">
        <f t="shared" si="47"/>
        <v>1</v>
      </c>
      <c r="L258" s="1245"/>
      <c r="M258" s="961">
        <f t="shared" si="48"/>
        <v>1</v>
      </c>
      <c r="N258" s="1245"/>
      <c r="O258" s="961">
        <f t="shared" si="49"/>
        <v>1</v>
      </c>
      <c r="P258" s="1245"/>
      <c r="Q258" s="961">
        <f t="shared" si="50"/>
        <v>1</v>
      </c>
      <c r="R258" s="961">
        <f t="shared" si="51"/>
        <v>0</v>
      </c>
      <c r="S258" s="935">
        <f t="shared" si="52"/>
        <v>0</v>
      </c>
    </row>
    <row r="259" spans="1:19">
      <c r="A259" s="1243"/>
      <c r="B259" s="1244"/>
      <c r="C259" s="961">
        <f t="shared" si="43"/>
        <v>1</v>
      </c>
      <c r="D259" s="1245"/>
      <c r="E259" s="961">
        <f t="shared" si="44"/>
        <v>1</v>
      </c>
      <c r="F259" s="1245"/>
      <c r="G259" s="961">
        <f t="shared" si="45"/>
        <v>1</v>
      </c>
      <c r="H259" s="1245"/>
      <c r="I259" s="961">
        <f t="shared" si="46"/>
        <v>1</v>
      </c>
      <c r="J259" s="1245"/>
      <c r="K259" s="961">
        <f t="shared" si="47"/>
        <v>1</v>
      </c>
      <c r="L259" s="1245"/>
      <c r="M259" s="961">
        <f t="shared" si="48"/>
        <v>1</v>
      </c>
      <c r="N259" s="1245"/>
      <c r="O259" s="961">
        <f t="shared" si="49"/>
        <v>1</v>
      </c>
      <c r="P259" s="1245"/>
      <c r="Q259" s="961">
        <f t="shared" si="50"/>
        <v>1</v>
      </c>
      <c r="R259" s="961">
        <f t="shared" si="51"/>
        <v>0</v>
      </c>
      <c r="S259" s="935">
        <f t="shared" si="52"/>
        <v>0</v>
      </c>
    </row>
    <row r="260" spans="1:19">
      <c r="A260" s="1243"/>
      <c r="B260" s="1244"/>
      <c r="C260" s="961">
        <f t="shared" si="43"/>
        <v>1</v>
      </c>
      <c r="D260" s="1245"/>
      <c r="E260" s="961">
        <f t="shared" si="44"/>
        <v>1</v>
      </c>
      <c r="F260" s="1245"/>
      <c r="G260" s="961">
        <f t="shared" si="45"/>
        <v>1</v>
      </c>
      <c r="H260" s="1245"/>
      <c r="I260" s="961">
        <f t="shared" si="46"/>
        <v>1</v>
      </c>
      <c r="J260" s="1245"/>
      <c r="K260" s="961">
        <f t="shared" si="47"/>
        <v>1</v>
      </c>
      <c r="L260" s="1245"/>
      <c r="M260" s="961">
        <f t="shared" si="48"/>
        <v>1</v>
      </c>
      <c r="N260" s="1245"/>
      <c r="O260" s="961">
        <f t="shared" si="49"/>
        <v>1</v>
      </c>
      <c r="P260" s="1245"/>
      <c r="Q260" s="961">
        <f t="shared" si="50"/>
        <v>1</v>
      </c>
      <c r="R260" s="961">
        <f t="shared" si="51"/>
        <v>0</v>
      </c>
      <c r="S260" s="935">
        <f t="shared" si="52"/>
        <v>0</v>
      </c>
    </row>
    <row r="261" spans="1:19">
      <c r="A261" s="1243"/>
      <c r="B261" s="1244"/>
      <c r="C261" s="961">
        <f t="shared" si="43"/>
        <v>1</v>
      </c>
      <c r="D261" s="1245"/>
      <c r="E261" s="961">
        <f t="shared" si="44"/>
        <v>1</v>
      </c>
      <c r="F261" s="1245"/>
      <c r="G261" s="961">
        <f t="shared" si="45"/>
        <v>1</v>
      </c>
      <c r="H261" s="1245"/>
      <c r="I261" s="961">
        <f t="shared" si="46"/>
        <v>1</v>
      </c>
      <c r="J261" s="1245"/>
      <c r="K261" s="961">
        <f t="shared" si="47"/>
        <v>1</v>
      </c>
      <c r="L261" s="1245"/>
      <c r="M261" s="961">
        <f t="shared" si="48"/>
        <v>1</v>
      </c>
      <c r="N261" s="1245"/>
      <c r="O261" s="961">
        <f t="shared" si="49"/>
        <v>1</v>
      </c>
      <c r="P261" s="1245"/>
      <c r="Q261" s="961">
        <f t="shared" si="50"/>
        <v>1</v>
      </c>
      <c r="R261" s="961">
        <f t="shared" si="51"/>
        <v>0</v>
      </c>
      <c r="S261" s="935">
        <f t="shared" si="52"/>
        <v>0</v>
      </c>
    </row>
    <row r="262" spans="1:19">
      <c r="A262" s="1243"/>
      <c r="B262" s="1244"/>
      <c r="C262" s="961">
        <f t="shared" si="43"/>
        <v>1</v>
      </c>
      <c r="D262" s="1245"/>
      <c r="E262" s="961">
        <f t="shared" si="44"/>
        <v>1</v>
      </c>
      <c r="F262" s="1245"/>
      <c r="G262" s="961">
        <f t="shared" si="45"/>
        <v>1</v>
      </c>
      <c r="H262" s="1245"/>
      <c r="I262" s="961">
        <f t="shared" si="46"/>
        <v>1</v>
      </c>
      <c r="J262" s="1245"/>
      <c r="K262" s="961">
        <f t="shared" si="47"/>
        <v>1</v>
      </c>
      <c r="L262" s="1245"/>
      <c r="M262" s="961">
        <f t="shared" si="48"/>
        <v>1</v>
      </c>
      <c r="N262" s="1245"/>
      <c r="O262" s="961">
        <f t="shared" si="49"/>
        <v>1</v>
      </c>
      <c r="P262" s="1245"/>
      <c r="Q262" s="961">
        <f t="shared" si="50"/>
        <v>1</v>
      </c>
      <c r="R262" s="961">
        <f t="shared" si="51"/>
        <v>0</v>
      </c>
      <c r="S262" s="935">
        <f t="shared" si="52"/>
        <v>0</v>
      </c>
    </row>
    <row r="263" spans="1:19">
      <c r="A263" s="1243"/>
      <c r="B263" s="1244"/>
      <c r="C263" s="961">
        <f t="shared" si="43"/>
        <v>1</v>
      </c>
      <c r="D263" s="1245"/>
      <c r="E263" s="961">
        <f t="shared" si="44"/>
        <v>1</v>
      </c>
      <c r="F263" s="1245"/>
      <c r="G263" s="961">
        <f t="shared" si="45"/>
        <v>1</v>
      </c>
      <c r="H263" s="1245"/>
      <c r="I263" s="961">
        <f t="shared" si="46"/>
        <v>1</v>
      </c>
      <c r="J263" s="1245"/>
      <c r="K263" s="961">
        <f t="shared" si="47"/>
        <v>1</v>
      </c>
      <c r="L263" s="1245"/>
      <c r="M263" s="961">
        <f t="shared" si="48"/>
        <v>1</v>
      </c>
      <c r="N263" s="1245"/>
      <c r="O263" s="961">
        <f t="shared" si="49"/>
        <v>1</v>
      </c>
      <c r="P263" s="1245"/>
      <c r="Q263" s="961">
        <f t="shared" si="50"/>
        <v>1</v>
      </c>
      <c r="R263" s="961">
        <f t="shared" si="51"/>
        <v>0</v>
      </c>
      <c r="S263" s="935">
        <f t="shared" si="52"/>
        <v>0</v>
      </c>
    </row>
    <row r="264" spans="1:19">
      <c r="A264" s="1243"/>
      <c r="B264" s="1244"/>
      <c r="C264" s="961">
        <f t="shared" si="43"/>
        <v>1</v>
      </c>
      <c r="D264" s="1245"/>
      <c r="E264" s="961">
        <f t="shared" si="44"/>
        <v>1</v>
      </c>
      <c r="F264" s="1245"/>
      <c r="G264" s="961">
        <f t="shared" si="45"/>
        <v>1</v>
      </c>
      <c r="H264" s="1245"/>
      <c r="I264" s="961">
        <f t="shared" si="46"/>
        <v>1</v>
      </c>
      <c r="J264" s="1245"/>
      <c r="K264" s="961">
        <f t="shared" si="47"/>
        <v>1</v>
      </c>
      <c r="L264" s="1245"/>
      <c r="M264" s="961">
        <f t="shared" si="48"/>
        <v>1</v>
      </c>
      <c r="N264" s="1245"/>
      <c r="O264" s="961">
        <f t="shared" si="49"/>
        <v>1</v>
      </c>
      <c r="P264" s="1245"/>
      <c r="Q264" s="961">
        <f t="shared" si="50"/>
        <v>1</v>
      </c>
      <c r="R264" s="961">
        <f t="shared" si="51"/>
        <v>0</v>
      </c>
      <c r="S264" s="935">
        <f t="shared" si="52"/>
        <v>0</v>
      </c>
    </row>
    <row r="265" spans="1:19">
      <c r="A265" s="1243"/>
      <c r="B265" s="1244"/>
      <c r="C265" s="961">
        <f t="shared" si="43"/>
        <v>1</v>
      </c>
      <c r="D265" s="1245"/>
      <c r="E265" s="961">
        <f t="shared" si="44"/>
        <v>1</v>
      </c>
      <c r="F265" s="1245"/>
      <c r="G265" s="961">
        <f t="shared" si="45"/>
        <v>1</v>
      </c>
      <c r="H265" s="1245"/>
      <c r="I265" s="961">
        <f t="shared" si="46"/>
        <v>1</v>
      </c>
      <c r="J265" s="1245"/>
      <c r="K265" s="961">
        <f t="shared" si="47"/>
        <v>1</v>
      </c>
      <c r="L265" s="1245"/>
      <c r="M265" s="961">
        <f t="shared" si="48"/>
        <v>1</v>
      </c>
      <c r="N265" s="1245"/>
      <c r="O265" s="961">
        <f t="shared" si="49"/>
        <v>1</v>
      </c>
      <c r="P265" s="1245"/>
      <c r="Q265" s="961">
        <f t="shared" si="50"/>
        <v>1</v>
      </c>
      <c r="R265" s="961">
        <f t="shared" si="51"/>
        <v>0</v>
      </c>
      <c r="S265" s="935">
        <f t="shared" si="52"/>
        <v>0</v>
      </c>
    </row>
    <row r="266" spans="1:19">
      <c r="A266" s="1243"/>
      <c r="B266" s="1244"/>
      <c r="C266" s="961">
        <f t="shared" si="43"/>
        <v>1</v>
      </c>
      <c r="D266" s="1245"/>
      <c r="E266" s="961">
        <f t="shared" si="44"/>
        <v>1</v>
      </c>
      <c r="F266" s="1245"/>
      <c r="G266" s="961">
        <f t="shared" si="45"/>
        <v>1</v>
      </c>
      <c r="H266" s="1245"/>
      <c r="I266" s="961">
        <f t="shared" si="46"/>
        <v>1</v>
      </c>
      <c r="J266" s="1245"/>
      <c r="K266" s="961">
        <f t="shared" si="47"/>
        <v>1</v>
      </c>
      <c r="L266" s="1245"/>
      <c r="M266" s="961">
        <f t="shared" si="48"/>
        <v>1</v>
      </c>
      <c r="N266" s="1245"/>
      <c r="O266" s="961">
        <f t="shared" si="49"/>
        <v>1</v>
      </c>
      <c r="P266" s="1245"/>
      <c r="Q266" s="961">
        <f t="shared" si="50"/>
        <v>1</v>
      </c>
      <c r="R266" s="961">
        <f t="shared" si="51"/>
        <v>0</v>
      </c>
      <c r="S266" s="935">
        <f t="shared" si="52"/>
        <v>0</v>
      </c>
    </row>
    <row r="267" spans="1:19">
      <c r="A267" s="1243"/>
      <c r="B267" s="1244"/>
      <c r="C267" s="961">
        <f t="shared" si="43"/>
        <v>1</v>
      </c>
      <c r="D267" s="1245"/>
      <c r="E267" s="961">
        <f t="shared" si="44"/>
        <v>1</v>
      </c>
      <c r="F267" s="1245"/>
      <c r="G267" s="961">
        <f t="shared" si="45"/>
        <v>1</v>
      </c>
      <c r="H267" s="1245"/>
      <c r="I267" s="961">
        <f t="shared" si="46"/>
        <v>1</v>
      </c>
      <c r="J267" s="1245"/>
      <c r="K267" s="961">
        <f t="shared" si="47"/>
        <v>1</v>
      </c>
      <c r="L267" s="1245"/>
      <c r="M267" s="961">
        <f t="shared" si="48"/>
        <v>1</v>
      </c>
      <c r="N267" s="1245"/>
      <c r="O267" s="961">
        <f t="shared" si="49"/>
        <v>1</v>
      </c>
      <c r="P267" s="1245"/>
      <c r="Q267" s="961">
        <f t="shared" si="50"/>
        <v>1</v>
      </c>
      <c r="R267" s="961">
        <f t="shared" si="51"/>
        <v>0</v>
      </c>
      <c r="S267" s="935">
        <f t="shared" si="52"/>
        <v>0</v>
      </c>
    </row>
    <row r="268" spans="1:19">
      <c r="A268" s="1243"/>
      <c r="B268" s="1244"/>
      <c r="C268" s="961">
        <f t="shared" si="43"/>
        <v>1</v>
      </c>
      <c r="D268" s="1245"/>
      <c r="E268" s="961">
        <f t="shared" si="44"/>
        <v>1</v>
      </c>
      <c r="F268" s="1245"/>
      <c r="G268" s="961">
        <f t="shared" si="45"/>
        <v>1</v>
      </c>
      <c r="H268" s="1245"/>
      <c r="I268" s="961">
        <f t="shared" si="46"/>
        <v>1</v>
      </c>
      <c r="J268" s="1245"/>
      <c r="K268" s="961">
        <f t="shared" si="47"/>
        <v>1</v>
      </c>
      <c r="L268" s="1245"/>
      <c r="M268" s="961">
        <f t="shared" si="48"/>
        <v>1</v>
      </c>
      <c r="N268" s="1245"/>
      <c r="O268" s="961">
        <f t="shared" si="49"/>
        <v>1</v>
      </c>
      <c r="P268" s="1245"/>
      <c r="Q268" s="961">
        <f t="shared" si="50"/>
        <v>1</v>
      </c>
      <c r="R268" s="961">
        <f t="shared" si="51"/>
        <v>0</v>
      </c>
      <c r="S268" s="935">
        <f t="shared" si="52"/>
        <v>0</v>
      </c>
    </row>
    <row r="269" spans="1:19">
      <c r="A269" s="1243"/>
      <c r="B269" s="1244"/>
      <c r="C269" s="961">
        <f t="shared" si="43"/>
        <v>1</v>
      </c>
      <c r="D269" s="1245"/>
      <c r="E269" s="961">
        <f t="shared" si="44"/>
        <v>1</v>
      </c>
      <c r="F269" s="1245"/>
      <c r="G269" s="961">
        <f t="shared" si="45"/>
        <v>1</v>
      </c>
      <c r="H269" s="1245"/>
      <c r="I269" s="961">
        <f t="shared" si="46"/>
        <v>1</v>
      </c>
      <c r="J269" s="1245"/>
      <c r="K269" s="961">
        <f t="shared" si="47"/>
        <v>1</v>
      </c>
      <c r="L269" s="1245"/>
      <c r="M269" s="961">
        <f t="shared" si="48"/>
        <v>1</v>
      </c>
      <c r="N269" s="1245"/>
      <c r="O269" s="961">
        <f t="shared" si="49"/>
        <v>1</v>
      </c>
      <c r="P269" s="1245"/>
      <c r="Q269" s="961">
        <f t="shared" si="50"/>
        <v>1</v>
      </c>
      <c r="R269" s="961">
        <f t="shared" si="51"/>
        <v>0</v>
      </c>
      <c r="S269" s="935">
        <f t="shared" si="52"/>
        <v>0</v>
      </c>
    </row>
    <row r="270" spans="1:19">
      <c r="A270" s="1243"/>
      <c r="B270" s="1244"/>
      <c r="C270" s="961">
        <f t="shared" si="43"/>
        <v>1</v>
      </c>
      <c r="D270" s="1245"/>
      <c r="E270" s="961">
        <f t="shared" si="44"/>
        <v>1</v>
      </c>
      <c r="F270" s="1245"/>
      <c r="G270" s="961">
        <f t="shared" si="45"/>
        <v>1</v>
      </c>
      <c r="H270" s="1245"/>
      <c r="I270" s="961">
        <f t="shared" si="46"/>
        <v>1</v>
      </c>
      <c r="J270" s="1245"/>
      <c r="K270" s="961">
        <f t="shared" si="47"/>
        <v>1</v>
      </c>
      <c r="L270" s="1245"/>
      <c r="M270" s="961">
        <f t="shared" si="48"/>
        <v>1</v>
      </c>
      <c r="N270" s="1245"/>
      <c r="O270" s="961">
        <f t="shared" si="49"/>
        <v>1</v>
      </c>
      <c r="P270" s="1245"/>
      <c r="Q270" s="961">
        <f t="shared" si="50"/>
        <v>1</v>
      </c>
      <c r="R270" s="961">
        <f t="shared" si="51"/>
        <v>0</v>
      </c>
      <c r="S270" s="935">
        <f t="shared" si="52"/>
        <v>0</v>
      </c>
    </row>
    <row r="271" spans="1:19">
      <c r="A271" s="1243"/>
      <c r="B271" s="1244"/>
      <c r="C271" s="961">
        <f t="shared" si="43"/>
        <v>1</v>
      </c>
      <c r="D271" s="1245"/>
      <c r="E271" s="961">
        <f t="shared" si="44"/>
        <v>1</v>
      </c>
      <c r="F271" s="1245"/>
      <c r="G271" s="961">
        <f t="shared" si="45"/>
        <v>1</v>
      </c>
      <c r="H271" s="1245"/>
      <c r="I271" s="961">
        <f t="shared" si="46"/>
        <v>1</v>
      </c>
      <c r="J271" s="1245"/>
      <c r="K271" s="961">
        <f t="shared" si="47"/>
        <v>1</v>
      </c>
      <c r="L271" s="1245"/>
      <c r="M271" s="961">
        <f t="shared" si="48"/>
        <v>1</v>
      </c>
      <c r="N271" s="1245"/>
      <c r="O271" s="961">
        <f t="shared" si="49"/>
        <v>1</v>
      </c>
      <c r="P271" s="1245"/>
      <c r="Q271" s="961">
        <f t="shared" si="50"/>
        <v>1</v>
      </c>
      <c r="R271" s="961">
        <f t="shared" si="51"/>
        <v>0</v>
      </c>
      <c r="S271" s="935">
        <f t="shared" si="52"/>
        <v>0</v>
      </c>
    </row>
    <row r="272" spans="1:19">
      <c r="A272" s="1243"/>
      <c r="B272" s="1244"/>
      <c r="C272" s="961">
        <f t="shared" si="43"/>
        <v>1</v>
      </c>
      <c r="D272" s="1245"/>
      <c r="E272" s="961">
        <f t="shared" si="44"/>
        <v>1</v>
      </c>
      <c r="F272" s="1245"/>
      <c r="G272" s="961">
        <f t="shared" si="45"/>
        <v>1</v>
      </c>
      <c r="H272" s="1245"/>
      <c r="I272" s="961">
        <f t="shared" si="46"/>
        <v>1</v>
      </c>
      <c r="J272" s="1245"/>
      <c r="K272" s="961">
        <f t="shared" si="47"/>
        <v>1</v>
      </c>
      <c r="L272" s="1245"/>
      <c r="M272" s="961">
        <f t="shared" si="48"/>
        <v>1</v>
      </c>
      <c r="N272" s="1245"/>
      <c r="O272" s="961">
        <f t="shared" si="49"/>
        <v>1</v>
      </c>
      <c r="P272" s="1245"/>
      <c r="Q272" s="961">
        <f t="shared" si="50"/>
        <v>1</v>
      </c>
      <c r="R272" s="961">
        <f t="shared" si="51"/>
        <v>0</v>
      </c>
      <c r="S272" s="935">
        <f t="shared" si="52"/>
        <v>0</v>
      </c>
    </row>
    <row r="273" spans="1:19">
      <c r="A273" s="1243"/>
      <c r="B273" s="1244"/>
      <c r="C273" s="961">
        <f t="shared" si="43"/>
        <v>1</v>
      </c>
      <c r="D273" s="1245"/>
      <c r="E273" s="961">
        <f t="shared" si="44"/>
        <v>1</v>
      </c>
      <c r="F273" s="1245"/>
      <c r="G273" s="961">
        <f t="shared" si="45"/>
        <v>1</v>
      </c>
      <c r="H273" s="1245"/>
      <c r="I273" s="961">
        <f t="shared" si="46"/>
        <v>1</v>
      </c>
      <c r="J273" s="1245"/>
      <c r="K273" s="961">
        <f t="shared" si="47"/>
        <v>1</v>
      </c>
      <c r="L273" s="1245"/>
      <c r="M273" s="961">
        <f t="shared" si="48"/>
        <v>1</v>
      </c>
      <c r="N273" s="1245"/>
      <c r="O273" s="961">
        <f t="shared" si="49"/>
        <v>1</v>
      </c>
      <c r="P273" s="1245"/>
      <c r="Q273" s="961">
        <f t="shared" si="50"/>
        <v>1</v>
      </c>
      <c r="R273" s="961">
        <f t="shared" si="51"/>
        <v>0</v>
      </c>
      <c r="S273" s="935">
        <f t="shared" si="52"/>
        <v>0</v>
      </c>
    </row>
    <row r="274" spans="1:19">
      <c r="A274" s="1243"/>
      <c r="B274" s="1244"/>
      <c r="C274" s="961">
        <f t="shared" si="43"/>
        <v>1</v>
      </c>
      <c r="D274" s="1245"/>
      <c r="E274" s="961">
        <f t="shared" si="44"/>
        <v>1</v>
      </c>
      <c r="F274" s="1245"/>
      <c r="G274" s="961">
        <f t="shared" si="45"/>
        <v>1</v>
      </c>
      <c r="H274" s="1245"/>
      <c r="I274" s="961">
        <f t="shared" si="46"/>
        <v>1</v>
      </c>
      <c r="J274" s="1245"/>
      <c r="K274" s="961">
        <f t="shared" si="47"/>
        <v>1</v>
      </c>
      <c r="L274" s="1245"/>
      <c r="M274" s="961">
        <f t="shared" si="48"/>
        <v>1</v>
      </c>
      <c r="N274" s="1245"/>
      <c r="O274" s="961">
        <f t="shared" si="49"/>
        <v>1</v>
      </c>
      <c r="P274" s="1245"/>
      <c r="Q274" s="961">
        <f t="shared" si="50"/>
        <v>1</v>
      </c>
      <c r="R274" s="961">
        <f t="shared" si="51"/>
        <v>0</v>
      </c>
      <c r="S274" s="935">
        <f t="shared" si="52"/>
        <v>0</v>
      </c>
    </row>
    <row r="275" spans="1:19">
      <c r="A275" s="1243"/>
      <c r="B275" s="1244"/>
      <c r="C275" s="961">
        <f t="shared" si="43"/>
        <v>1</v>
      </c>
      <c r="D275" s="1245"/>
      <c r="E275" s="961">
        <f t="shared" si="44"/>
        <v>1</v>
      </c>
      <c r="F275" s="1245"/>
      <c r="G275" s="961">
        <f t="shared" si="45"/>
        <v>1</v>
      </c>
      <c r="H275" s="1245"/>
      <c r="I275" s="961">
        <f t="shared" si="46"/>
        <v>1</v>
      </c>
      <c r="J275" s="1245"/>
      <c r="K275" s="961">
        <f t="shared" si="47"/>
        <v>1</v>
      </c>
      <c r="L275" s="1245"/>
      <c r="M275" s="961">
        <f t="shared" si="48"/>
        <v>1</v>
      </c>
      <c r="N275" s="1245"/>
      <c r="O275" s="961">
        <f t="shared" si="49"/>
        <v>1</v>
      </c>
      <c r="P275" s="1245"/>
      <c r="Q275" s="961">
        <f t="shared" si="50"/>
        <v>1</v>
      </c>
      <c r="R275" s="961">
        <f t="shared" si="51"/>
        <v>0</v>
      </c>
      <c r="S275" s="935">
        <f t="shared" si="52"/>
        <v>0</v>
      </c>
    </row>
    <row r="276" spans="1:19">
      <c r="A276" s="1243"/>
      <c r="B276" s="1244"/>
      <c r="C276" s="961">
        <f t="shared" si="43"/>
        <v>1</v>
      </c>
      <c r="D276" s="1245"/>
      <c r="E276" s="961">
        <f t="shared" si="44"/>
        <v>1</v>
      </c>
      <c r="F276" s="1245"/>
      <c r="G276" s="961">
        <f t="shared" si="45"/>
        <v>1</v>
      </c>
      <c r="H276" s="1245"/>
      <c r="I276" s="961">
        <f t="shared" si="46"/>
        <v>1</v>
      </c>
      <c r="J276" s="1245"/>
      <c r="K276" s="961">
        <f t="shared" si="47"/>
        <v>1</v>
      </c>
      <c r="L276" s="1245"/>
      <c r="M276" s="961">
        <f t="shared" si="48"/>
        <v>1</v>
      </c>
      <c r="N276" s="1245"/>
      <c r="O276" s="961">
        <f t="shared" si="49"/>
        <v>1</v>
      </c>
      <c r="P276" s="1245"/>
      <c r="Q276" s="961">
        <f t="shared" si="50"/>
        <v>1</v>
      </c>
      <c r="R276" s="961">
        <f t="shared" si="51"/>
        <v>0</v>
      </c>
      <c r="S276" s="935">
        <f t="shared" si="52"/>
        <v>0</v>
      </c>
    </row>
    <row r="277" spans="1:19">
      <c r="A277" s="1243"/>
      <c r="B277" s="1244"/>
      <c r="C277" s="961">
        <f t="shared" si="43"/>
        <v>1</v>
      </c>
      <c r="D277" s="1245"/>
      <c r="E277" s="961">
        <f t="shared" si="44"/>
        <v>1</v>
      </c>
      <c r="F277" s="1245"/>
      <c r="G277" s="961">
        <f t="shared" si="45"/>
        <v>1</v>
      </c>
      <c r="H277" s="1245"/>
      <c r="I277" s="961">
        <f t="shared" si="46"/>
        <v>1</v>
      </c>
      <c r="J277" s="1245"/>
      <c r="K277" s="961">
        <f t="shared" si="47"/>
        <v>1</v>
      </c>
      <c r="L277" s="1245"/>
      <c r="M277" s="961">
        <f t="shared" si="48"/>
        <v>1</v>
      </c>
      <c r="N277" s="1245"/>
      <c r="O277" s="961">
        <f t="shared" si="49"/>
        <v>1</v>
      </c>
      <c r="P277" s="1245"/>
      <c r="Q277" s="961">
        <f t="shared" si="50"/>
        <v>1</v>
      </c>
      <c r="R277" s="961">
        <f t="shared" si="51"/>
        <v>0</v>
      </c>
      <c r="S277" s="935">
        <f t="shared" si="52"/>
        <v>0</v>
      </c>
    </row>
    <row r="278" spans="1:19">
      <c r="A278" s="1243"/>
      <c r="B278" s="1244"/>
      <c r="C278" s="961">
        <f t="shared" si="43"/>
        <v>1</v>
      </c>
      <c r="D278" s="1245"/>
      <c r="E278" s="961">
        <f t="shared" si="44"/>
        <v>1</v>
      </c>
      <c r="F278" s="1245"/>
      <c r="G278" s="961">
        <f t="shared" si="45"/>
        <v>1</v>
      </c>
      <c r="H278" s="1245"/>
      <c r="I278" s="961">
        <f t="shared" si="46"/>
        <v>1</v>
      </c>
      <c r="J278" s="1245"/>
      <c r="K278" s="961">
        <f t="shared" si="47"/>
        <v>1</v>
      </c>
      <c r="L278" s="1245"/>
      <c r="M278" s="961">
        <f t="shared" si="48"/>
        <v>1</v>
      </c>
      <c r="N278" s="1245"/>
      <c r="O278" s="961">
        <f t="shared" si="49"/>
        <v>1</v>
      </c>
      <c r="P278" s="1245"/>
      <c r="Q278" s="961">
        <f t="shared" si="50"/>
        <v>1</v>
      </c>
      <c r="R278" s="961">
        <f t="shared" si="51"/>
        <v>0</v>
      </c>
      <c r="S278" s="935">
        <f t="shared" si="52"/>
        <v>0</v>
      </c>
    </row>
    <row r="279" spans="1:19">
      <c r="A279" s="1243"/>
      <c r="B279" s="1244"/>
      <c r="C279" s="961">
        <f t="shared" si="43"/>
        <v>1</v>
      </c>
      <c r="D279" s="1245"/>
      <c r="E279" s="961">
        <f t="shared" si="44"/>
        <v>1</v>
      </c>
      <c r="F279" s="1245"/>
      <c r="G279" s="961">
        <f t="shared" si="45"/>
        <v>1</v>
      </c>
      <c r="H279" s="1245"/>
      <c r="I279" s="961">
        <f t="shared" si="46"/>
        <v>1</v>
      </c>
      <c r="J279" s="1245"/>
      <c r="K279" s="961">
        <f t="shared" si="47"/>
        <v>1</v>
      </c>
      <c r="L279" s="1245"/>
      <c r="M279" s="961">
        <f t="shared" si="48"/>
        <v>1</v>
      </c>
      <c r="N279" s="1245"/>
      <c r="O279" s="961">
        <f t="shared" si="49"/>
        <v>1</v>
      </c>
      <c r="P279" s="1245"/>
      <c r="Q279" s="961">
        <f t="shared" si="50"/>
        <v>1</v>
      </c>
      <c r="R279" s="961">
        <f t="shared" si="51"/>
        <v>0</v>
      </c>
      <c r="S279" s="935">
        <f t="shared" si="52"/>
        <v>0</v>
      </c>
    </row>
    <row r="280" spans="1:19">
      <c r="A280" s="1243"/>
      <c r="B280" s="1244"/>
      <c r="C280" s="961">
        <f t="shared" si="43"/>
        <v>1</v>
      </c>
      <c r="D280" s="1245"/>
      <c r="E280" s="961">
        <f t="shared" si="44"/>
        <v>1</v>
      </c>
      <c r="F280" s="1245"/>
      <c r="G280" s="961">
        <f t="shared" si="45"/>
        <v>1</v>
      </c>
      <c r="H280" s="1245"/>
      <c r="I280" s="961">
        <f t="shared" si="46"/>
        <v>1</v>
      </c>
      <c r="J280" s="1245"/>
      <c r="K280" s="961">
        <f t="shared" si="47"/>
        <v>1</v>
      </c>
      <c r="L280" s="1245"/>
      <c r="M280" s="961">
        <f t="shared" si="48"/>
        <v>1</v>
      </c>
      <c r="N280" s="1245"/>
      <c r="O280" s="961">
        <f t="shared" si="49"/>
        <v>1</v>
      </c>
      <c r="P280" s="1245"/>
      <c r="Q280" s="961">
        <f t="shared" si="50"/>
        <v>1</v>
      </c>
      <c r="R280" s="961">
        <f t="shared" si="51"/>
        <v>0</v>
      </c>
      <c r="S280" s="935">
        <f t="shared" si="52"/>
        <v>0</v>
      </c>
    </row>
    <row r="281" spans="1:19">
      <c r="A281" s="1243"/>
      <c r="B281" s="1244"/>
      <c r="C281" s="961">
        <f t="shared" si="43"/>
        <v>1</v>
      </c>
      <c r="D281" s="1245"/>
      <c r="E281" s="961">
        <f t="shared" si="44"/>
        <v>1</v>
      </c>
      <c r="F281" s="1245"/>
      <c r="G281" s="961">
        <f t="shared" si="45"/>
        <v>1</v>
      </c>
      <c r="H281" s="1245"/>
      <c r="I281" s="961">
        <f t="shared" si="46"/>
        <v>1</v>
      </c>
      <c r="J281" s="1245"/>
      <c r="K281" s="961">
        <f t="shared" si="47"/>
        <v>1</v>
      </c>
      <c r="L281" s="1245"/>
      <c r="M281" s="961">
        <f t="shared" si="48"/>
        <v>1</v>
      </c>
      <c r="N281" s="1245"/>
      <c r="O281" s="961">
        <f t="shared" si="49"/>
        <v>1</v>
      </c>
      <c r="P281" s="1245"/>
      <c r="Q281" s="961">
        <f t="shared" si="50"/>
        <v>1</v>
      </c>
      <c r="R281" s="961">
        <f t="shared" si="51"/>
        <v>0</v>
      </c>
      <c r="S281" s="935">
        <f t="shared" si="52"/>
        <v>0</v>
      </c>
    </row>
    <row r="282" spans="1:19">
      <c r="A282" s="1243"/>
      <c r="B282" s="1244"/>
      <c r="C282" s="961">
        <f t="shared" ref="C282:C345" si="53">IF(B282="",1,(LOOKUP(B282,$3:$3,$4:$4)-LOOKUP($B$24,$3:$3,$4:$4)+100)/100)</f>
        <v>1</v>
      </c>
      <c r="D282" s="1245"/>
      <c r="E282" s="961">
        <f t="shared" ref="E282:E345" si="54">(SUMIF($5:$5,D282,$6:$6)-SUMIF($5:$5,$D$24,$6:$6)+100)/100</f>
        <v>1</v>
      </c>
      <c r="F282" s="1245"/>
      <c r="G282" s="961">
        <f t="shared" ref="G282:G345" si="55">(SUMIF($7:$7,F282,$8:$8)-SUMIF($7:$7,$F$24,$8:$8)+100)/100</f>
        <v>1</v>
      </c>
      <c r="H282" s="1245"/>
      <c r="I282" s="961">
        <f t="shared" ref="I282:I345" si="56">(SUMIF($9:$9,H282,$10:$10)-SUMIF($9:$9,$H$24,$10:$10)+100)/100</f>
        <v>1</v>
      </c>
      <c r="J282" s="1245"/>
      <c r="K282" s="961">
        <f t="shared" ref="K282:K345" si="57">(SUMIF($11:$11,J282,$12:$12)-SUMIF($11:$11,$J$24,$12:$12)+100)/100</f>
        <v>1</v>
      </c>
      <c r="L282" s="1245"/>
      <c r="M282" s="961">
        <f t="shared" ref="M282:M345" si="58">(SUMIF($13:$13,L282,$14:$14)-SUMIF($13:$13,$L$24,$14:$14)+100)/100</f>
        <v>1</v>
      </c>
      <c r="N282" s="1245"/>
      <c r="O282" s="961">
        <f t="shared" ref="O282:O345" si="59">(SUMIF($15:$15,N282,$16:$16)-SUMIF($15:$15,$N$24,$16:$16)+100)/100</f>
        <v>1</v>
      </c>
      <c r="P282" s="1245"/>
      <c r="Q282" s="961">
        <f t="shared" ref="Q282:Q345" si="60">(SUMIF($17:$17,P282,$18:$18)-SUMIF($17:$17,$P$24,$18:$18)+100)/100</f>
        <v>1</v>
      </c>
      <c r="R282" s="961">
        <f t="shared" ref="R282:R345" si="61">IF(B282="",0,ROUND($R$24*C282*E282*G282*I282*K282*M282*O282*Q282,0))</f>
        <v>0</v>
      </c>
      <c r="S282" s="935">
        <f t="shared" si="52"/>
        <v>0</v>
      </c>
    </row>
    <row r="283" spans="1:19">
      <c r="A283" s="1243"/>
      <c r="B283" s="1244"/>
      <c r="C283" s="961">
        <f t="shared" si="53"/>
        <v>1</v>
      </c>
      <c r="D283" s="1245"/>
      <c r="E283" s="961">
        <f t="shared" si="54"/>
        <v>1</v>
      </c>
      <c r="F283" s="1245"/>
      <c r="G283" s="961">
        <f t="shared" si="55"/>
        <v>1</v>
      </c>
      <c r="H283" s="1245"/>
      <c r="I283" s="961">
        <f t="shared" si="56"/>
        <v>1</v>
      </c>
      <c r="J283" s="1245"/>
      <c r="K283" s="961">
        <f t="shared" si="57"/>
        <v>1</v>
      </c>
      <c r="L283" s="1245"/>
      <c r="M283" s="961">
        <f t="shared" si="58"/>
        <v>1</v>
      </c>
      <c r="N283" s="1245"/>
      <c r="O283" s="961">
        <f t="shared" si="59"/>
        <v>1</v>
      </c>
      <c r="P283" s="1245"/>
      <c r="Q283" s="961">
        <f t="shared" si="60"/>
        <v>1</v>
      </c>
      <c r="R283" s="961">
        <f t="shared" si="61"/>
        <v>0</v>
      </c>
      <c r="S283" s="935">
        <f t="shared" si="52"/>
        <v>0</v>
      </c>
    </row>
    <row r="284" spans="1:19">
      <c r="A284" s="1243"/>
      <c r="B284" s="1244"/>
      <c r="C284" s="961">
        <f t="shared" si="53"/>
        <v>1</v>
      </c>
      <c r="D284" s="1245"/>
      <c r="E284" s="961">
        <f t="shared" si="54"/>
        <v>1</v>
      </c>
      <c r="F284" s="1245"/>
      <c r="G284" s="961">
        <f t="shared" si="55"/>
        <v>1</v>
      </c>
      <c r="H284" s="1245"/>
      <c r="I284" s="961">
        <f t="shared" si="56"/>
        <v>1</v>
      </c>
      <c r="J284" s="1245"/>
      <c r="K284" s="961">
        <f t="shared" si="57"/>
        <v>1</v>
      </c>
      <c r="L284" s="1245"/>
      <c r="M284" s="961">
        <f t="shared" si="58"/>
        <v>1</v>
      </c>
      <c r="N284" s="1245"/>
      <c r="O284" s="961">
        <f t="shared" si="59"/>
        <v>1</v>
      </c>
      <c r="P284" s="1245"/>
      <c r="Q284" s="961">
        <f t="shared" si="60"/>
        <v>1</v>
      </c>
      <c r="R284" s="961">
        <f t="shared" si="61"/>
        <v>0</v>
      </c>
      <c r="S284" s="935">
        <f t="shared" si="52"/>
        <v>0</v>
      </c>
    </row>
    <row r="285" spans="1:19">
      <c r="A285" s="1243"/>
      <c r="B285" s="1244"/>
      <c r="C285" s="961">
        <f t="shared" si="53"/>
        <v>1</v>
      </c>
      <c r="D285" s="1245"/>
      <c r="E285" s="961">
        <f t="shared" si="54"/>
        <v>1</v>
      </c>
      <c r="F285" s="1245"/>
      <c r="G285" s="961">
        <f t="shared" si="55"/>
        <v>1</v>
      </c>
      <c r="H285" s="1245"/>
      <c r="I285" s="961">
        <f t="shared" si="56"/>
        <v>1</v>
      </c>
      <c r="J285" s="1245"/>
      <c r="K285" s="961">
        <f t="shared" si="57"/>
        <v>1</v>
      </c>
      <c r="L285" s="1245"/>
      <c r="M285" s="961">
        <f t="shared" si="58"/>
        <v>1</v>
      </c>
      <c r="N285" s="1245"/>
      <c r="O285" s="961">
        <f t="shared" si="59"/>
        <v>1</v>
      </c>
      <c r="P285" s="1245"/>
      <c r="Q285" s="961">
        <f t="shared" si="60"/>
        <v>1</v>
      </c>
      <c r="R285" s="961">
        <f t="shared" si="61"/>
        <v>0</v>
      </c>
      <c r="S285" s="935">
        <f t="shared" si="52"/>
        <v>0</v>
      </c>
    </row>
    <row r="286" spans="1:19">
      <c r="A286" s="1243"/>
      <c r="B286" s="1244"/>
      <c r="C286" s="961">
        <f t="shared" si="53"/>
        <v>1</v>
      </c>
      <c r="D286" s="1245"/>
      <c r="E286" s="961">
        <f t="shared" si="54"/>
        <v>1</v>
      </c>
      <c r="F286" s="1245"/>
      <c r="G286" s="961">
        <f t="shared" si="55"/>
        <v>1</v>
      </c>
      <c r="H286" s="1245"/>
      <c r="I286" s="961">
        <f t="shared" si="56"/>
        <v>1</v>
      </c>
      <c r="J286" s="1245"/>
      <c r="K286" s="961">
        <f t="shared" si="57"/>
        <v>1</v>
      </c>
      <c r="L286" s="1245"/>
      <c r="M286" s="961">
        <f t="shared" si="58"/>
        <v>1</v>
      </c>
      <c r="N286" s="1245"/>
      <c r="O286" s="961">
        <f t="shared" si="59"/>
        <v>1</v>
      </c>
      <c r="P286" s="1245"/>
      <c r="Q286" s="961">
        <f t="shared" si="60"/>
        <v>1</v>
      </c>
      <c r="R286" s="961">
        <f t="shared" si="61"/>
        <v>0</v>
      </c>
      <c r="S286" s="935">
        <f t="shared" si="52"/>
        <v>0</v>
      </c>
    </row>
    <row r="287" spans="1:19">
      <c r="A287" s="1243"/>
      <c r="B287" s="1244"/>
      <c r="C287" s="961">
        <f t="shared" si="53"/>
        <v>1</v>
      </c>
      <c r="D287" s="1245"/>
      <c r="E287" s="961">
        <f t="shared" si="54"/>
        <v>1</v>
      </c>
      <c r="F287" s="1245"/>
      <c r="G287" s="961">
        <f t="shared" si="55"/>
        <v>1</v>
      </c>
      <c r="H287" s="1245"/>
      <c r="I287" s="961">
        <f t="shared" si="56"/>
        <v>1</v>
      </c>
      <c r="J287" s="1245"/>
      <c r="K287" s="961">
        <f t="shared" si="57"/>
        <v>1</v>
      </c>
      <c r="L287" s="1245"/>
      <c r="M287" s="961">
        <f t="shared" si="58"/>
        <v>1</v>
      </c>
      <c r="N287" s="1245"/>
      <c r="O287" s="961">
        <f t="shared" si="59"/>
        <v>1</v>
      </c>
      <c r="P287" s="1245"/>
      <c r="Q287" s="961">
        <f t="shared" si="60"/>
        <v>1</v>
      </c>
      <c r="R287" s="961">
        <f t="shared" si="61"/>
        <v>0</v>
      </c>
      <c r="S287" s="935">
        <f t="shared" ref="S287:S320" si="62">ROUND(R287*B287/10000,0)</f>
        <v>0</v>
      </c>
    </row>
    <row r="288" spans="1:19">
      <c r="A288" s="1243"/>
      <c r="B288" s="1244"/>
      <c r="C288" s="961">
        <f t="shared" si="53"/>
        <v>1</v>
      </c>
      <c r="D288" s="1245"/>
      <c r="E288" s="961">
        <f t="shared" si="54"/>
        <v>1</v>
      </c>
      <c r="F288" s="1245"/>
      <c r="G288" s="961">
        <f t="shared" si="55"/>
        <v>1</v>
      </c>
      <c r="H288" s="1245"/>
      <c r="I288" s="961">
        <f t="shared" si="56"/>
        <v>1</v>
      </c>
      <c r="J288" s="1245"/>
      <c r="K288" s="961">
        <f t="shared" si="57"/>
        <v>1</v>
      </c>
      <c r="L288" s="1245"/>
      <c r="M288" s="961">
        <f t="shared" si="58"/>
        <v>1</v>
      </c>
      <c r="N288" s="1245"/>
      <c r="O288" s="961">
        <f t="shared" si="59"/>
        <v>1</v>
      </c>
      <c r="P288" s="1245"/>
      <c r="Q288" s="961">
        <f t="shared" si="60"/>
        <v>1</v>
      </c>
      <c r="R288" s="961">
        <f t="shared" si="61"/>
        <v>0</v>
      </c>
      <c r="S288" s="935">
        <f t="shared" si="62"/>
        <v>0</v>
      </c>
    </row>
    <row r="289" spans="1:19">
      <c r="A289" s="1243"/>
      <c r="B289" s="1244"/>
      <c r="C289" s="961">
        <f t="shared" si="53"/>
        <v>1</v>
      </c>
      <c r="D289" s="1245"/>
      <c r="E289" s="961">
        <f t="shared" si="54"/>
        <v>1</v>
      </c>
      <c r="F289" s="1245"/>
      <c r="G289" s="961">
        <f t="shared" si="55"/>
        <v>1</v>
      </c>
      <c r="H289" s="1245"/>
      <c r="I289" s="961">
        <f t="shared" si="56"/>
        <v>1</v>
      </c>
      <c r="J289" s="1245"/>
      <c r="K289" s="961">
        <f t="shared" si="57"/>
        <v>1</v>
      </c>
      <c r="L289" s="1245"/>
      <c r="M289" s="961">
        <f t="shared" si="58"/>
        <v>1</v>
      </c>
      <c r="N289" s="1245"/>
      <c r="O289" s="961">
        <f t="shared" si="59"/>
        <v>1</v>
      </c>
      <c r="P289" s="1245"/>
      <c r="Q289" s="961">
        <f t="shared" si="60"/>
        <v>1</v>
      </c>
      <c r="R289" s="961">
        <f t="shared" si="61"/>
        <v>0</v>
      </c>
      <c r="S289" s="935">
        <f t="shared" si="62"/>
        <v>0</v>
      </c>
    </row>
    <row r="290" spans="1:19">
      <c r="A290" s="1243"/>
      <c r="B290" s="1244"/>
      <c r="C290" s="961">
        <f t="shared" si="53"/>
        <v>1</v>
      </c>
      <c r="D290" s="1245"/>
      <c r="E290" s="961">
        <f t="shared" si="54"/>
        <v>1</v>
      </c>
      <c r="F290" s="1245"/>
      <c r="G290" s="961">
        <f t="shared" si="55"/>
        <v>1</v>
      </c>
      <c r="H290" s="1245"/>
      <c r="I290" s="961">
        <f t="shared" si="56"/>
        <v>1</v>
      </c>
      <c r="J290" s="1245"/>
      <c r="K290" s="961">
        <f t="shared" si="57"/>
        <v>1</v>
      </c>
      <c r="L290" s="1245"/>
      <c r="M290" s="961">
        <f t="shared" si="58"/>
        <v>1</v>
      </c>
      <c r="N290" s="1245"/>
      <c r="O290" s="961">
        <f t="shared" si="59"/>
        <v>1</v>
      </c>
      <c r="P290" s="1245"/>
      <c r="Q290" s="961">
        <f t="shared" si="60"/>
        <v>1</v>
      </c>
      <c r="R290" s="961">
        <f t="shared" si="61"/>
        <v>0</v>
      </c>
      <c r="S290" s="935">
        <f t="shared" si="62"/>
        <v>0</v>
      </c>
    </row>
    <row r="291" spans="1:19">
      <c r="A291" s="1243"/>
      <c r="B291" s="1244"/>
      <c r="C291" s="961">
        <f t="shared" si="53"/>
        <v>1</v>
      </c>
      <c r="D291" s="1245"/>
      <c r="E291" s="961">
        <f t="shared" si="54"/>
        <v>1</v>
      </c>
      <c r="F291" s="1245"/>
      <c r="G291" s="961">
        <f t="shared" si="55"/>
        <v>1</v>
      </c>
      <c r="H291" s="1245"/>
      <c r="I291" s="961">
        <f t="shared" si="56"/>
        <v>1</v>
      </c>
      <c r="J291" s="1245"/>
      <c r="K291" s="961">
        <f t="shared" si="57"/>
        <v>1</v>
      </c>
      <c r="L291" s="1245"/>
      <c r="M291" s="961">
        <f t="shared" si="58"/>
        <v>1</v>
      </c>
      <c r="N291" s="1245"/>
      <c r="O291" s="961">
        <f t="shared" si="59"/>
        <v>1</v>
      </c>
      <c r="P291" s="1245"/>
      <c r="Q291" s="961">
        <f t="shared" si="60"/>
        <v>1</v>
      </c>
      <c r="R291" s="961">
        <f t="shared" si="61"/>
        <v>0</v>
      </c>
      <c r="S291" s="935">
        <f t="shared" si="62"/>
        <v>0</v>
      </c>
    </row>
    <row r="292" spans="1:19">
      <c r="A292" s="1243"/>
      <c r="B292" s="1244"/>
      <c r="C292" s="961">
        <f t="shared" si="53"/>
        <v>1</v>
      </c>
      <c r="D292" s="1245"/>
      <c r="E292" s="961">
        <f t="shared" si="54"/>
        <v>1</v>
      </c>
      <c r="F292" s="1245"/>
      <c r="G292" s="961">
        <f t="shared" si="55"/>
        <v>1</v>
      </c>
      <c r="H292" s="1245"/>
      <c r="I292" s="961">
        <f t="shared" si="56"/>
        <v>1</v>
      </c>
      <c r="J292" s="1245"/>
      <c r="K292" s="961">
        <f t="shared" si="57"/>
        <v>1</v>
      </c>
      <c r="L292" s="1245"/>
      <c r="M292" s="961">
        <f t="shared" si="58"/>
        <v>1</v>
      </c>
      <c r="N292" s="1245"/>
      <c r="O292" s="961">
        <f t="shared" si="59"/>
        <v>1</v>
      </c>
      <c r="P292" s="1245"/>
      <c r="Q292" s="961">
        <f t="shared" si="60"/>
        <v>1</v>
      </c>
      <c r="R292" s="961">
        <f t="shared" si="61"/>
        <v>0</v>
      </c>
      <c r="S292" s="935">
        <f t="shared" si="62"/>
        <v>0</v>
      </c>
    </row>
    <row r="293" spans="1:19">
      <c r="A293" s="1243"/>
      <c r="B293" s="1244"/>
      <c r="C293" s="961">
        <f t="shared" si="53"/>
        <v>1</v>
      </c>
      <c r="D293" s="1245"/>
      <c r="E293" s="961">
        <f t="shared" si="54"/>
        <v>1</v>
      </c>
      <c r="F293" s="1245"/>
      <c r="G293" s="961">
        <f t="shared" si="55"/>
        <v>1</v>
      </c>
      <c r="H293" s="1245"/>
      <c r="I293" s="961">
        <f t="shared" si="56"/>
        <v>1</v>
      </c>
      <c r="J293" s="1245"/>
      <c r="K293" s="961">
        <f t="shared" si="57"/>
        <v>1</v>
      </c>
      <c r="L293" s="1245"/>
      <c r="M293" s="961">
        <f t="shared" si="58"/>
        <v>1</v>
      </c>
      <c r="N293" s="1245"/>
      <c r="O293" s="961">
        <f t="shared" si="59"/>
        <v>1</v>
      </c>
      <c r="P293" s="1245"/>
      <c r="Q293" s="961">
        <f t="shared" si="60"/>
        <v>1</v>
      </c>
      <c r="R293" s="961">
        <f t="shared" si="61"/>
        <v>0</v>
      </c>
      <c r="S293" s="935">
        <f t="shared" si="62"/>
        <v>0</v>
      </c>
    </row>
    <row r="294" spans="1:19">
      <c r="A294" s="1243"/>
      <c r="B294" s="1244"/>
      <c r="C294" s="961">
        <f t="shared" si="53"/>
        <v>1</v>
      </c>
      <c r="D294" s="1245"/>
      <c r="E294" s="961">
        <f t="shared" si="54"/>
        <v>1</v>
      </c>
      <c r="F294" s="1245"/>
      <c r="G294" s="961">
        <f t="shared" si="55"/>
        <v>1</v>
      </c>
      <c r="H294" s="1245"/>
      <c r="I294" s="961">
        <f t="shared" si="56"/>
        <v>1</v>
      </c>
      <c r="J294" s="1245"/>
      <c r="K294" s="961">
        <f t="shared" si="57"/>
        <v>1</v>
      </c>
      <c r="L294" s="1245"/>
      <c r="M294" s="961">
        <f t="shared" si="58"/>
        <v>1</v>
      </c>
      <c r="N294" s="1245"/>
      <c r="O294" s="961">
        <f t="shared" si="59"/>
        <v>1</v>
      </c>
      <c r="P294" s="1245"/>
      <c r="Q294" s="961">
        <f t="shared" si="60"/>
        <v>1</v>
      </c>
      <c r="R294" s="961">
        <f t="shared" si="61"/>
        <v>0</v>
      </c>
      <c r="S294" s="935">
        <f t="shared" si="62"/>
        <v>0</v>
      </c>
    </row>
    <row r="295" spans="1:19">
      <c r="A295" s="1243"/>
      <c r="B295" s="1244"/>
      <c r="C295" s="961">
        <f t="shared" si="53"/>
        <v>1</v>
      </c>
      <c r="D295" s="1245"/>
      <c r="E295" s="961">
        <f t="shared" si="54"/>
        <v>1</v>
      </c>
      <c r="F295" s="1245"/>
      <c r="G295" s="961">
        <f t="shared" si="55"/>
        <v>1</v>
      </c>
      <c r="H295" s="1245"/>
      <c r="I295" s="961">
        <f t="shared" si="56"/>
        <v>1</v>
      </c>
      <c r="J295" s="1245"/>
      <c r="K295" s="961">
        <f t="shared" si="57"/>
        <v>1</v>
      </c>
      <c r="L295" s="1245"/>
      <c r="M295" s="961">
        <f t="shared" si="58"/>
        <v>1</v>
      </c>
      <c r="N295" s="1245"/>
      <c r="O295" s="961">
        <f t="shared" si="59"/>
        <v>1</v>
      </c>
      <c r="P295" s="1245"/>
      <c r="Q295" s="961">
        <f t="shared" si="60"/>
        <v>1</v>
      </c>
      <c r="R295" s="961">
        <f t="shared" si="61"/>
        <v>0</v>
      </c>
      <c r="S295" s="935">
        <f t="shared" si="62"/>
        <v>0</v>
      </c>
    </row>
    <row r="296" spans="1:19">
      <c r="A296" s="1243"/>
      <c r="B296" s="1244"/>
      <c r="C296" s="961">
        <f t="shared" si="53"/>
        <v>1</v>
      </c>
      <c r="D296" s="1245"/>
      <c r="E296" s="961">
        <f t="shared" si="54"/>
        <v>1</v>
      </c>
      <c r="F296" s="1245"/>
      <c r="G296" s="961">
        <f t="shared" si="55"/>
        <v>1</v>
      </c>
      <c r="H296" s="1245"/>
      <c r="I296" s="961">
        <f t="shared" si="56"/>
        <v>1</v>
      </c>
      <c r="J296" s="1245"/>
      <c r="K296" s="961">
        <f t="shared" si="57"/>
        <v>1</v>
      </c>
      <c r="L296" s="1245"/>
      <c r="M296" s="961">
        <f t="shared" si="58"/>
        <v>1</v>
      </c>
      <c r="N296" s="1245"/>
      <c r="O296" s="961">
        <f t="shared" si="59"/>
        <v>1</v>
      </c>
      <c r="P296" s="1245"/>
      <c r="Q296" s="961">
        <f t="shared" si="60"/>
        <v>1</v>
      </c>
      <c r="R296" s="961">
        <f t="shared" si="61"/>
        <v>0</v>
      </c>
      <c r="S296" s="935">
        <f t="shared" si="62"/>
        <v>0</v>
      </c>
    </row>
    <row r="297" spans="1:19">
      <c r="A297" s="1243"/>
      <c r="B297" s="1244"/>
      <c r="C297" s="961">
        <f t="shared" si="53"/>
        <v>1</v>
      </c>
      <c r="D297" s="1245"/>
      <c r="E297" s="961">
        <f t="shared" si="54"/>
        <v>1</v>
      </c>
      <c r="F297" s="1245"/>
      <c r="G297" s="961">
        <f t="shared" si="55"/>
        <v>1</v>
      </c>
      <c r="H297" s="1245"/>
      <c r="I297" s="961">
        <f t="shared" si="56"/>
        <v>1</v>
      </c>
      <c r="J297" s="1245"/>
      <c r="K297" s="961">
        <f t="shared" si="57"/>
        <v>1</v>
      </c>
      <c r="L297" s="1245"/>
      <c r="M297" s="961">
        <f t="shared" si="58"/>
        <v>1</v>
      </c>
      <c r="N297" s="1245"/>
      <c r="O297" s="961">
        <f t="shared" si="59"/>
        <v>1</v>
      </c>
      <c r="P297" s="1245"/>
      <c r="Q297" s="961">
        <f t="shared" si="60"/>
        <v>1</v>
      </c>
      <c r="R297" s="961">
        <f t="shared" si="61"/>
        <v>0</v>
      </c>
      <c r="S297" s="935">
        <f t="shared" si="62"/>
        <v>0</v>
      </c>
    </row>
    <row r="298" spans="1:19">
      <c r="A298" s="1243"/>
      <c r="B298" s="1244"/>
      <c r="C298" s="961">
        <f t="shared" si="53"/>
        <v>1</v>
      </c>
      <c r="D298" s="1245"/>
      <c r="E298" s="961">
        <f t="shared" si="54"/>
        <v>1</v>
      </c>
      <c r="F298" s="1245"/>
      <c r="G298" s="961">
        <f t="shared" si="55"/>
        <v>1</v>
      </c>
      <c r="H298" s="1245"/>
      <c r="I298" s="961">
        <f t="shared" si="56"/>
        <v>1</v>
      </c>
      <c r="J298" s="1245"/>
      <c r="K298" s="961">
        <f t="shared" si="57"/>
        <v>1</v>
      </c>
      <c r="L298" s="1245"/>
      <c r="M298" s="961">
        <f t="shared" si="58"/>
        <v>1</v>
      </c>
      <c r="N298" s="1245"/>
      <c r="O298" s="961">
        <f t="shared" si="59"/>
        <v>1</v>
      </c>
      <c r="P298" s="1245"/>
      <c r="Q298" s="961">
        <f t="shared" si="60"/>
        <v>1</v>
      </c>
      <c r="R298" s="961">
        <f t="shared" si="61"/>
        <v>0</v>
      </c>
      <c r="S298" s="935">
        <f t="shared" si="62"/>
        <v>0</v>
      </c>
    </row>
    <row r="299" spans="1:19">
      <c r="A299" s="1243"/>
      <c r="B299" s="1244"/>
      <c r="C299" s="961">
        <f t="shared" si="53"/>
        <v>1</v>
      </c>
      <c r="D299" s="1245"/>
      <c r="E299" s="961">
        <f t="shared" si="54"/>
        <v>1</v>
      </c>
      <c r="F299" s="1245"/>
      <c r="G299" s="961">
        <f t="shared" si="55"/>
        <v>1</v>
      </c>
      <c r="H299" s="1245"/>
      <c r="I299" s="961">
        <f t="shared" si="56"/>
        <v>1</v>
      </c>
      <c r="J299" s="1245"/>
      <c r="K299" s="961">
        <f t="shared" si="57"/>
        <v>1</v>
      </c>
      <c r="L299" s="1245"/>
      <c r="M299" s="961">
        <f t="shared" si="58"/>
        <v>1</v>
      </c>
      <c r="N299" s="1245"/>
      <c r="O299" s="961">
        <f t="shared" si="59"/>
        <v>1</v>
      </c>
      <c r="P299" s="1245"/>
      <c r="Q299" s="961">
        <f t="shared" si="60"/>
        <v>1</v>
      </c>
      <c r="R299" s="961">
        <f t="shared" si="61"/>
        <v>0</v>
      </c>
      <c r="S299" s="935">
        <f t="shared" si="62"/>
        <v>0</v>
      </c>
    </row>
    <row r="300" spans="1:19">
      <c r="A300" s="1243"/>
      <c r="B300" s="1244"/>
      <c r="C300" s="961">
        <f t="shared" si="53"/>
        <v>1</v>
      </c>
      <c r="D300" s="1245"/>
      <c r="E300" s="961">
        <f t="shared" si="54"/>
        <v>1</v>
      </c>
      <c r="F300" s="1245"/>
      <c r="G300" s="961">
        <f t="shared" si="55"/>
        <v>1</v>
      </c>
      <c r="H300" s="1245"/>
      <c r="I300" s="961">
        <f t="shared" si="56"/>
        <v>1</v>
      </c>
      <c r="J300" s="1245"/>
      <c r="K300" s="961">
        <f t="shared" si="57"/>
        <v>1</v>
      </c>
      <c r="L300" s="1245"/>
      <c r="M300" s="961">
        <f t="shared" si="58"/>
        <v>1</v>
      </c>
      <c r="N300" s="1245"/>
      <c r="O300" s="961">
        <f t="shared" si="59"/>
        <v>1</v>
      </c>
      <c r="P300" s="1245"/>
      <c r="Q300" s="961">
        <f t="shared" si="60"/>
        <v>1</v>
      </c>
      <c r="R300" s="961">
        <f t="shared" si="61"/>
        <v>0</v>
      </c>
      <c r="S300" s="935">
        <f t="shared" si="62"/>
        <v>0</v>
      </c>
    </row>
    <row r="301" spans="1:19">
      <c r="A301" s="1243"/>
      <c r="B301" s="1244"/>
      <c r="C301" s="961">
        <f t="shared" si="53"/>
        <v>1</v>
      </c>
      <c r="D301" s="1245"/>
      <c r="E301" s="961">
        <f t="shared" si="54"/>
        <v>1</v>
      </c>
      <c r="F301" s="1245"/>
      <c r="G301" s="961">
        <f t="shared" si="55"/>
        <v>1</v>
      </c>
      <c r="H301" s="1245"/>
      <c r="I301" s="961">
        <f t="shared" si="56"/>
        <v>1</v>
      </c>
      <c r="J301" s="1245"/>
      <c r="K301" s="961">
        <f t="shared" si="57"/>
        <v>1</v>
      </c>
      <c r="L301" s="1245"/>
      <c r="M301" s="961">
        <f t="shared" si="58"/>
        <v>1</v>
      </c>
      <c r="N301" s="1245"/>
      <c r="O301" s="961">
        <f t="shared" si="59"/>
        <v>1</v>
      </c>
      <c r="P301" s="1245"/>
      <c r="Q301" s="961">
        <f t="shared" si="60"/>
        <v>1</v>
      </c>
      <c r="R301" s="961">
        <f t="shared" si="61"/>
        <v>0</v>
      </c>
      <c r="S301" s="935">
        <f t="shared" si="62"/>
        <v>0</v>
      </c>
    </row>
    <row r="302" spans="1:19">
      <c r="A302" s="1243"/>
      <c r="B302" s="1244"/>
      <c r="C302" s="961">
        <f t="shared" si="53"/>
        <v>1</v>
      </c>
      <c r="D302" s="1245"/>
      <c r="E302" s="961">
        <f t="shared" si="54"/>
        <v>1</v>
      </c>
      <c r="F302" s="1245"/>
      <c r="G302" s="961">
        <f t="shared" si="55"/>
        <v>1</v>
      </c>
      <c r="H302" s="1245"/>
      <c r="I302" s="961">
        <f t="shared" si="56"/>
        <v>1</v>
      </c>
      <c r="J302" s="1245"/>
      <c r="K302" s="961">
        <f t="shared" si="57"/>
        <v>1</v>
      </c>
      <c r="L302" s="1245"/>
      <c r="M302" s="961">
        <f t="shared" si="58"/>
        <v>1</v>
      </c>
      <c r="N302" s="1245"/>
      <c r="O302" s="961">
        <f t="shared" si="59"/>
        <v>1</v>
      </c>
      <c r="P302" s="1245"/>
      <c r="Q302" s="961">
        <f t="shared" si="60"/>
        <v>1</v>
      </c>
      <c r="R302" s="961">
        <f t="shared" si="61"/>
        <v>0</v>
      </c>
      <c r="S302" s="935">
        <f t="shared" si="62"/>
        <v>0</v>
      </c>
    </row>
    <row r="303" spans="1:19">
      <c r="A303" s="1243"/>
      <c r="B303" s="1244"/>
      <c r="C303" s="961">
        <f t="shared" si="53"/>
        <v>1</v>
      </c>
      <c r="D303" s="1245"/>
      <c r="E303" s="961">
        <f t="shared" si="54"/>
        <v>1</v>
      </c>
      <c r="F303" s="1245"/>
      <c r="G303" s="961">
        <f t="shared" si="55"/>
        <v>1</v>
      </c>
      <c r="H303" s="1245"/>
      <c r="I303" s="961">
        <f t="shared" si="56"/>
        <v>1</v>
      </c>
      <c r="J303" s="1245"/>
      <c r="K303" s="961">
        <f t="shared" si="57"/>
        <v>1</v>
      </c>
      <c r="L303" s="1245"/>
      <c r="M303" s="961">
        <f t="shared" si="58"/>
        <v>1</v>
      </c>
      <c r="N303" s="1245"/>
      <c r="O303" s="961">
        <f t="shared" si="59"/>
        <v>1</v>
      </c>
      <c r="P303" s="1245"/>
      <c r="Q303" s="961">
        <f t="shared" si="60"/>
        <v>1</v>
      </c>
      <c r="R303" s="961">
        <f t="shared" si="61"/>
        <v>0</v>
      </c>
      <c r="S303" s="935">
        <f t="shared" si="62"/>
        <v>0</v>
      </c>
    </row>
    <row r="304" spans="1:19">
      <c r="A304" s="1243"/>
      <c r="B304" s="1244"/>
      <c r="C304" s="961">
        <f t="shared" si="53"/>
        <v>1</v>
      </c>
      <c r="D304" s="1245"/>
      <c r="E304" s="961">
        <f t="shared" si="54"/>
        <v>1</v>
      </c>
      <c r="F304" s="1245"/>
      <c r="G304" s="961">
        <f t="shared" si="55"/>
        <v>1</v>
      </c>
      <c r="H304" s="1245"/>
      <c r="I304" s="961">
        <f t="shared" si="56"/>
        <v>1</v>
      </c>
      <c r="J304" s="1245"/>
      <c r="K304" s="961">
        <f t="shared" si="57"/>
        <v>1</v>
      </c>
      <c r="L304" s="1245"/>
      <c r="M304" s="961">
        <f t="shared" si="58"/>
        <v>1</v>
      </c>
      <c r="N304" s="1245"/>
      <c r="O304" s="961">
        <f t="shared" si="59"/>
        <v>1</v>
      </c>
      <c r="P304" s="1245"/>
      <c r="Q304" s="961">
        <f t="shared" si="60"/>
        <v>1</v>
      </c>
      <c r="R304" s="961">
        <f t="shared" si="61"/>
        <v>0</v>
      </c>
      <c r="S304" s="935">
        <f t="shared" si="62"/>
        <v>0</v>
      </c>
    </row>
    <row r="305" spans="1:19">
      <c r="A305" s="1243"/>
      <c r="B305" s="1244"/>
      <c r="C305" s="961">
        <f t="shared" si="53"/>
        <v>1</v>
      </c>
      <c r="D305" s="1245"/>
      <c r="E305" s="961">
        <f t="shared" si="54"/>
        <v>1</v>
      </c>
      <c r="F305" s="1245"/>
      <c r="G305" s="961">
        <f t="shared" si="55"/>
        <v>1</v>
      </c>
      <c r="H305" s="1245"/>
      <c r="I305" s="961">
        <f t="shared" si="56"/>
        <v>1</v>
      </c>
      <c r="J305" s="1245"/>
      <c r="K305" s="961">
        <f t="shared" si="57"/>
        <v>1</v>
      </c>
      <c r="L305" s="1245"/>
      <c r="M305" s="961">
        <f t="shared" si="58"/>
        <v>1</v>
      </c>
      <c r="N305" s="1245"/>
      <c r="O305" s="961">
        <f t="shared" si="59"/>
        <v>1</v>
      </c>
      <c r="P305" s="1245"/>
      <c r="Q305" s="961">
        <f t="shared" si="60"/>
        <v>1</v>
      </c>
      <c r="R305" s="961">
        <f t="shared" si="61"/>
        <v>0</v>
      </c>
      <c r="S305" s="935">
        <f t="shared" si="62"/>
        <v>0</v>
      </c>
    </row>
    <row r="306" spans="1:19">
      <c r="A306" s="1243"/>
      <c r="B306" s="1244"/>
      <c r="C306" s="961">
        <f t="shared" si="53"/>
        <v>1</v>
      </c>
      <c r="D306" s="1245"/>
      <c r="E306" s="961">
        <f t="shared" si="54"/>
        <v>1</v>
      </c>
      <c r="F306" s="1245"/>
      <c r="G306" s="961">
        <f t="shared" si="55"/>
        <v>1</v>
      </c>
      <c r="H306" s="1245"/>
      <c r="I306" s="961">
        <f t="shared" si="56"/>
        <v>1</v>
      </c>
      <c r="J306" s="1245"/>
      <c r="K306" s="961">
        <f t="shared" si="57"/>
        <v>1</v>
      </c>
      <c r="L306" s="1245"/>
      <c r="M306" s="961">
        <f t="shared" si="58"/>
        <v>1</v>
      </c>
      <c r="N306" s="1245"/>
      <c r="O306" s="961">
        <f t="shared" si="59"/>
        <v>1</v>
      </c>
      <c r="P306" s="1245"/>
      <c r="Q306" s="961">
        <f t="shared" si="60"/>
        <v>1</v>
      </c>
      <c r="R306" s="961">
        <f t="shared" si="61"/>
        <v>0</v>
      </c>
      <c r="S306" s="935">
        <f t="shared" si="62"/>
        <v>0</v>
      </c>
    </row>
    <row r="307" spans="1:19">
      <c r="A307" s="1243"/>
      <c r="B307" s="1244"/>
      <c r="C307" s="961">
        <f t="shared" si="53"/>
        <v>1</v>
      </c>
      <c r="D307" s="1245"/>
      <c r="E307" s="961">
        <f t="shared" si="54"/>
        <v>1</v>
      </c>
      <c r="F307" s="1245"/>
      <c r="G307" s="961">
        <f t="shared" si="55"/>
        <v>1</v>
      </c>
      <c r="H307" s="1245"/>
      <c r="I307" s="961">
        <f t="shared" si="56"/>
        <v>1</v>
      </c>
      <c r="J307" s="1245"/>
      <c r="K307" s="961">
        <f t="shared" si="57"/>
        <v>1</v>
      </c>
      <c r="L307" s="1245"/>
      <c r="M307" s="961">
        <f t="shared" si="58"/>
        <v>1</v>
      </c>
      <c r="N307" s="1245"/>
      <c r="O307" s="961">
        <f t="shared" si="59"/>
        <v>1</v>
      </c>
      <c r="P307" s="1245"/>
      <c r="Q307" s="961">
        <f t="shared" si="60"/>
        <v>1</v>
      </c>
      <c r="R307" s="961">
        <f t="shared" si="61"/>
        <v>0</v>
      </c>
      <c r="S307" s="935">
        <f t="shared" si="62"/>
        <v>0</v>
      </c>
    </row>
    <row r="308" spans="1:19">
      <c r="A308" s="1243"/>
      <c r="B308" s="1244"/>
      <c r="C308" s="961">
        <f t="shared" si="53"/>
        <v>1</v>
      </c>
      <c r="D308" s="1245"/>
      <c r="E308" s="961">
        <f t="shared" si="54"/>
        <v>1</v>
      </c>
      <c r="F308" s="1245"/>
      <c r="G308" s="961">
        <f t="shared" si="55"/>
        <v>1</v>
      </c>
      <c r="H308" s="1245"/>
      <c r="I308" s="961">
        <f t="shared" si="56"/>
        <v>1</v>
      </c>
      <c r="J308" s="1245"/>
      <c r="K308" s="961">
        <f t="shared" si="57"/>
        <v>1</v>
      </c>
      <c r="L308" s="1245"/>
      <c r="M308" s="961">
        <f t="shared" si="58"/>
        <v>1</v>
      </c>
      <c r="N308" s="1245"/>
      <c r="O308" s="961">
        <f t="shared" si="59"/>
        <v>1</v>
      </c>
      <c r="P308" s="1245"/>
      <c r="Q308" s="961">
        <f t="shared" si="60"/>
        <v>1</v>
      </c>
      <c r="R308" s="961">
        <f t="shared" si="61"/>
        <v>0</v>
      </c>
      <c r="S308" s="935">
        <f t="shared" si="62"/>
        <v>0</v>
      </c>
    </row>
    <row r="309" spans="1:19">
      <c r="A309" s="1243"/>
      <c r="B309" s="1244"/>
      <c r="C309" s="961">
        <f t="shared" si="53"/>
        <v>1</v>
      </c>
      <c r="D309" s="1245"/>
      <c r="E309" s="961">
        <f t="shared" si="54"/>
        <v>1</v>
      </c>
      <c r="F309" s="1245"/>
      <c r="G309" s="961">
        <f t="shared" si="55"/>
        <v>1</v>
      </c>
      <c r="H309" s="1245"/>
      <c r="I309" s="961">
        <f t="shared" si="56"/>
        <v>1</v>
      </c>
      <c r="J309" s="1245"/>
      <c r="K309" s="961">
        <f t="shared" si="57"/>
        <v>1</v>
      </c>
      <c r="L309" s="1245"/>
      <c r="M309" s="961">
        <f t="shared" si="58"/>
        <v>1</v>
      </c>
      <c r="N309" s="1245"/>
      <c r="O309" s="961">
        <f t="shared" si="59"/>
        <v>1</v>
      </c>
      <c r="P309" s="1245"/>
      <c r="Q309" s="961">
        <f t="shared" si="60"/>
        <v>1</v>
      </c>
      <c r="R309" s="961">
        <f t="shared" si="61"/>
        <v>0</v>
      </c>
      <c r="S309" s="935">
        <f t="shared" si="62"/>
        <v>0</v>
      </c>
    </row>
    <row r="310" spans="1:19">
      <c r="A310" s="1243"/>
      <c r="B310" s="1244"/>
      <c r="C310" s="961">
        <f t="shared" si="53"/>
        <v>1</v>
      </c>
      <c r="D310" s="1245"/>
      <c r="E310" s="961">
        <f t="shared" si="54"/>
        <v>1</v>
      </c>
      <c r="F310" s="1245"/>
      <c r="G310" s="961">
        <f t="shared" si="55"/>
        <v>1</v>
      </c>
      <c r="H310" s="1245"/>
      <c r="I310" s="961">
        <f t="shared" si="56"/>
        <v>1</v>
      </c>
      <c r="J310" s="1245"/>
      <c r="K310" s="961">
        <f t="shared" si="57"/>
        <v>1</v>
      </c>
      <c r="L310" s="1245"/>
      <c r="M310" s="961">
        <f t="shared" si="58"/>
        <v>1</v>
      </c>
      <c r="N310" s="1245"/>
      <c r="O310" s="961">
        <f t="shared" si="59"/>
        <v>1</v>
      </c>
      <c r="P310" s="1245"/>
      <c r="Q310" s="961">
        <f t="shared" si="60"/>
        <v>1</v>
      </c>
      <c r="R310" s="961">
        <f t="shared" si="61"/>
        <v>0</v>
      </c>
      <c r="S310" s="935">
        <f t="shared" si="62"/>
        <v>0</v>
      </c>
    </row>
    <row r="311" spans="1:19">
      <c r="A311" s="1243"/>
      <c r="B311" s="1244"/>
      <c r="C311" s="961">
        <f t="shared" si="53"/>
        <v>1</v>
      </c>
      <c r="D311" s="1245"/>
      <c r="E311" s="961">
        <f t="shared" si="54"/>
        <v>1</v>
      </c>
      <c r="F311" s="1245"/>
      <c r="G311" s="961">
        <f t="shared" si="55"/>
        <v>1</v>
      </c>
      <c r="H311" s="1245"/>
      <c r="I311" s="961">
        <f t="shared" si="56"/>
        <v>1</v>
      </c>
      <c r="J311" s="1245"/>
      <c r="K311" s="961">
        <f t="shared" si="57"/>
        <v>1</v>
      </c>
      <c r="L311" s="1245"/>
      <c r="M311" s="961">
        <f t="shared" si="58"/>
        <v>1</v>
      </c>
      <c r="N311" s="1245"/>
      <c r="O311" s="961">
        <f t="shared" si="59"/>
        <v>1</v>
      </c>
      <c r="P311" s="1245"/>
      <c r="Q311" s="961">
        <f t="shared" si="60"/>
        <v>1</v>
      </c>
      <c r="R311" s="961">
        <f t="shared" si="61"/>
        <v>0</v>
      </c>
      <c r="S311" s="935">
        <f t="shared" si="62"/>
        <v>0</v>
      </c>
    </row>
    <row r="312" spans="1:19">
      <c r="A312" s="1243"/>
      <c r="B312" s="1244"/>
      <c r="C312" s="961">
        <f t="shared" si="53"/>
        <v>1</v>
      </c>
      <c r="D312" s="1245"/>
      <c r="E312" s="961">
        <f t="shared" si="54"/>
        <v>1</v>
      </c>
      <c r="F312" s="1245"/>
      <c r="G312" s="961">
        <f t="shared" si="55"/>
        <v>1</v>
      </c>
      <c r="H312" s="1245"/>
      <c r="I312" s="961">
        <f t="shared" si="56"/>
        <v>1</v>
      </c>
      <c r="J312" s="1245"/>
      <c r="K312" s="961">
        <f t="shared" si="57"/>
        <v>1</v>
      </c>
      <c r="L312" s="1245"/>
      <c r="M312" s="961">
        <f t="shared" si="58"/>
        <v>1</v>
      </c>
      <c r="N312" s="1245"/>
      <c r="O312" s="961">
        <f t="shared" si="59"/>
        <v>1</v>
      </c>
      <c r="P312" s="1245"/>
      <c r="Q312" s="961">
        <f t="shared" si="60"/>
        <v>1</v>
      </c>
      <c r="R312" s="961">
        <f t="shared" si="61"/>
        <v>0</v>
      </c>
      <c r="S312" s="935">
        <f t="shared" si="62"/>
        <v>0</v>
      </c>
    </row>
    <row r="313" spans="1:19">
      <c r="A313" s="1243"/>
      <c r="B313" s="1244"/>
      <c r="C313" s="961">
        <f t="shared" si="53"/>
        <v>1</v>
      </c>
      <c r="D313" s="1245"/>
      <c r="E313" s="961">
        <f t="shared" si="54"/>
        <v>1</v>
      </c>
      <c r="F313" s="1245"/>
      <c r="G313" s="961">
        <f t="shared" si="55"/>
        <v>1</v>
      </c>
      <c r="H313" s="1245"/>
      <c r="I313" s="961">
        <f t="shared" si="56"/>
        <v>1</v>
      </c>
      <c r="J313" s="1245"/>
      <c r="K313" s="961">
        <f t="shared" si="57"/>
        <v>1</v>
      </c>
      <c r="L313" s="1245"/>
      <c r="M313" s="961">
        <f t="shared" si="58"/>
        <v>1</v>
      </c>
      <c r="N313" s="1245"/>
      <c r="O313" s="961">
        <f t="shared" si="59"/>
        <v>1</v>
      </c>
      <c r="P313" s="1245"/>
      <c r="Q313" s="961">
        <f t="shared" si="60"/>
        <v>1</v>
      </c>
      <c r="R313" s="961">
        <f t="shared" si="61"/>
        <v>0</v>
      </c>
      <c r="S313" s="935">
        <f t="shared" si="62"/>
        <v>0</v>
      </c>
    </row>
    <row r="314" spans="1:19">
      <c r="A314" s="1243"/>
      <c r="B314" s="1244"/>
      <c r="C314" s="961">
        <f t="shared" si="53"/>
        <v>1</v>
      </c>
      <c r="D314" s="1245"/>
      <c r="E314" s="961">
        <f t="shared" si="54"/>
        <v>1</v>
      </c>
      <c r="F314" s="1245"/>
      <c r="G314" s="961">
        <f t="shared" si="55"/>
        <v>1</v>
      </c>
      <c r="H314" s="1245"/>
      <c r="I314" s="961">
        <f t="shared" si="56"/>
        <v>1</v>
      </c>
      <c r="J314" s="1245"/>
      <c r="K314" s="961">
        <f t="shared" si="57"/>
        <v>1</v>
      </c>
      <c r="L314" s="1245"/>
      <c r="M314" s="961">
        <f t="shared" si="58"/>
        <v>1</v>
      </c>
      <c r="N314" s="1245"/>
      <c r="O314" s="961">
        <f t="shared" si="59"/>
        <v>1</v>
      </c>
      <c r="P314" s="1245"/>
      <c r="Q314" s="961">
        <f t="shared" si="60"/>
        <v>1</v>
      </c>
      <c r="R314" s="961">
        <f t="shared" si="61"/>
        <v>0</v>
      </c>
      <c r="S314" s="935">
        <f t="shared" si="62"/>
        <v>0</v>
      </c>
    </row>
    <row r="315" spans="1:19">
      <c r="A315" s="1243"/>
      <c r="B315" s="1244"/>
      <c r="C315" s="961">
        <f t="shared" si="53"/>
        <v>1</v>
      </c>
      <c r="D315" s="1245"/>
      <c r="E315" s="961">
        <f t="shared" si="54"/>
        <v>1</v>
      </c>
      <c r="F315" s="1245"/>
      <c r="G315" s="961">
        <f t="shared" si="55"/>
        <v>1</v>
      </c>
      <c r="H315" s="1245"/>
      <c r="I315" s="961">
        <f t="shared" si="56"/>
        <v>1</v>
      </c>
      <c r="J315" s="1245"/>
      <c r="K315" s="961">
        <f t="shared" si="57"/>
        <v>1</v>
      </c>
      <c r="L315" s="1245"/>
      <c r="M315" s="961">
        <f t="shared" si="58"/>
        <v>1</v>
      </c>
      <c r="N315" s="1245"/>
      <c r="O315" s="961">
        <f t="shared" si="59"/>
        <v>1</v>
      </c>
      <c r="P315" s="1245"/>
      <c r="Q315" s="961">
        <f t="shared" si="60"/>
        <v>1</v>
      </c>
      <c r="R315" s="961">
        <f t="shared" si="61"/>
        <v>0</v>
      </c>
      <c r="S315" s="935">
        <f t="shared" si="62"/>
        <v>0</v>
      </c>
    </row>
    <row r="316" spans="1:19">
      <c r="A316" s="1243"/>
      <c r="B316" s="1244"/>
      <c r="C316" s="961">
        <f t="shared" si="53"/>
        <v>1</v>
      </c>
      <c r="D316" s="1245"/>
      <c r="E316" s="961">
        <f t="shared" si="54"/>
        <v>1</v>
      </c>
      <c r="F316" s="1245"/>
      <c r="G316" s="961">
        <f t="shared" si="55"/>
        <v>1</v>
      </c>
      <c r="H316" s="1245"/>
      <c r="I316" s="961">
        <f t="shared" si="56"/>
        <v>1</v>
      </c>
      <c r="J316" s="1245"/>
      <c r="K316" s="961">
        <f t="shared" si="57"/>
        <v>1</v>
      </c>
      <c r="L316" s="1245"/>
      <c r="M316" s="961">
        <f t="shared" si="58"/>
        <v>1</v>
      </c>
      <c r="N316" s="1245"/>
      <c r="O316" s="961">
        <f t="shared" si="59"/>
        <v>1</v>
      </c>
      <c r="P316" s="1245"/>
      <c r="Q316" s="961">
        <f t="shared" si="60"/>
        <v>1</v>
      </c>
      <c r="R316" s="961">
        <f t="shared" si="61"/>
        <v>0</v>
      </c>
      <c r="S316" s="935">
        <f t="shared" si="62"/>
        <v>0</v>
      </c>
    </row>
    <row r="317" spans="1:19">
      <c r="A317" s="1243"/>
      <c r="B317" s="1244"/>
      <c r="C317" s="961">
        <f t="shared" si="53"/>
        <v>1</v>
      </c>
      <c r="D317" s="1245"/>
      <c r="E317" s="961">
        <f t="shared" si="54"/>
        <v>1</v>
      </c>
      <c r="F317" s="1245"/>
      <c r="G317" s="961">
        <f t="shared" si="55"/>
        <v>1</v>
      </c>
      <c r="H317" s="1245"/>
      <c r="I317" s="961">
        <f t="shared" si="56"/>
        <v>1</v>
      </c>
      <c r="J317" s="1245"/>
      <c r="K317" s="961">
        <f t="shared" si="57"/>
        <v>1</v>
      </c>
      <c r="L317" s="1245"/>
      <c r="M317" s="961">
        <f t="shared" si="58"/>
        <v>1</v>
      </c>
      <c r="N317" s="1245"/>
      <c r="O317" s="961">
        <f t="shared" si="59"/>
        <v>1</v>
      </c>
      <c r="P317" s="1245"/>
      <c r="Q317" s="961">
        <f t="shared" si="60"/>
        <v>1</v>
      </c>
      <c r="R317" s="961">
        <f t="shared" si="61"/>
        <v>0</v>
      </c>
      <c r="S317" s="935">
        <f t="shared" si="62"/>
        <v>0</v>
      </c>
    </row>
    <row r="318" spans="1:19">
      <c r="A318" s="1243"/>
      <c r="B318" s="1244"/>
      <c r="C318" s="961">
        <f t="shared" si="53"/>
        <v>1</v>
      </c>
      <c r="D318" s="1245"/>
      <c r="E318" s="961">
        <f t="shared" si="54"/>
        <v>1</v>
      </c>
      <c r="F318" s="1245"/>
      <c r="G318" s="961">
        <f t="shared" si="55"/>
        <v>1</v>
      </c>
      <c r="H318" s="1245"/>
      <c r="I318" s="961">
        <f t="shared" si="56"/>
        <v>1</v>
      </c>
      <c r="J318" s="1245"/>
      <c r="K318" s="961">
        <f t="shared" si="57"/>
        <v>1</v>
      </c>
      <c r="L318" s="1245"/>
      <c r="M318" s="961">
        <f t="shared" si="58"/>
        <v>1</v>
      </c>
      <c r="N318" s="1245"/>
      <c r="O318" s="961">
        <f t="shared" si="59"/>
        <v>1</v>
      </c>
      <c r="P318" s="1245"/>
      <c r="Q318" s="961">
        <f t="shared" si="60"/>
        <v>1</v>
      </c>
      <c r="R318" s="961">
        <f t="shared" si="61"/>
        <v>0</v>
      </c>
      <c r="S318" s="935">
        <f t="shared" si="62"/>
        <v>0</v>
      </c>
    </row>
    <row r="319" spans="1:19">
      <c r="A319" s="1243"/>
      <c r="B319" s="1244"/>
      <c r="C319" s="961">
        <f t="shared" si="53"/>
        <v>1</v>
      </c>
      <c r="D319" s="1245"/>
      <c r="E319" s="961">
        <f t="shared" si="54"/>
        <v>1</v>
      </c>
      <c r="F319" s="1245"/>
      <c r="G319" s="961">
        <f t="shared" si="55"/>
        <v>1</v>
      </c>
      <c r="H319" s="1245"/>
      <c r="I319" s="961">
        <f t="shared" si="56"/>
        <v>1</v>
      </c>
      <c r="J319" s="1245"/>
      <c r="K319" s="961">
        <f t="shared" si="57"/>
        <v>1</v>
      </c>
      <c r="L319" s="1245"/>
      <c r="M319" s="961">
        <f t="shared" si="58"/>
        <v>1</v>
      </c>
      <c r="N319" s="1245"/>
      <c r="O319" s="961">
        <f t="shared" si="59"/>
        <v>1</v>
      </c>
      <c r="P319" s="1245"/>
      <c r="Q319" s="961">
        <f t="shared" si="60"/>
        <v>1</v>
      </c>
      <c r="R319" s="961">
        <f t="shared" si="61"/>
        <v>0</v>
      </c>
      <c r="S319" s="935">
        <f t="shared" si="62"/>
        <v>0</v>
      </c>
    </row>
    <row r="320" spans="1:19">
      <c r="A320" s="1243"/>
      <c r="B320" s="1244"/>
      <c r="C320" s="961">
        <f t="shared" si="53"/>
        <v>1</v>
      </c>
      <c r="D320" s="1245"/>
      <c r="E320" s="961">
        <f t="shared" si="54"/>
        <v>1</v>
      </c>
      <c r="F320" s="1245"/>
      <c r="G320" s="961">
        <f t="shared" si="55"/>
        <v>1</v>
      </c>
      <c r="H320" s="1245"/>
      <c r="I320" s="961">
        <f t="shared" si="56"/>
        <v>1</v>
      </c>
      <c r="J320" s="1245"/>
      <c r="K320" s="961">
        <f t="shared" si="57"/>
        <v>1</v>
      </c>
      <c r="L320" s="1245"/>
      <c r="M320" s="961">
        <f t="shared" si="58"/>
        <v>1</v>
      </c>
      <c r="N320" s="1245"/>
      <c r="O320" s="961">
        <f t="shared" si="59"/>
        <v>1</v>
      </c>
      <c r="P320" s="1245"/>
      <c r="Q320" s="961">
        <f t="shared" si="60"/>
        <v>1</v>
      </c>
      <c r="R320" s="961">
        <f t="shared" si="61"/>
        <v>0</v>
      </c>
      <c r="S320" s="935">
        <f t="shared" si="62"/>
        <v>0</v>
      </c>
    </row>
    <row r="321" spans="1:19">
      <c r="A321" s="1243"/>
      <c r="B321" s="1244"/>
      <c r="C321" s="961">
        <f t="shared" si="53"/>
        <v>1</v>
      </c>
      <c r="D321" s="1245"/>
      <c r="E321" s="961">
        <f t="shared" si="54"/>
        <v>1</v>
      </c>
      <c r="F321" s="1245"/>
      <c r="G321" s="961">
        <f t="shared" si="55"/>
        <v>1</v>
      </c>
      <c r="H321" s="1245"/>
      <c r="I321" s="961">
        <f t="shared" si="56"/>
        <v>1</v>
      </c>
      <c r="J321" s="1245"/>
      <c r="K321" s="961">
        <f t="shared" si="57"/>
        <v>1</v>
      </c>
      <c r="L321" s="1245"/>
      <c r="M321" s="961">
        <f t="shared" si="58"/>
        <v>1</v>
      </c>
      <c r="N321" s="1245"/>
      <c r="O321" s="961">
        <f t="shared" si="59"/>
        <v>1</v>
      </c>
      <c r="P321" s="1245"/>
      <c r="Q321" s="961">
        <f t="shared" si="60"/>
        <v>1</v>
      </c>
      <c r="R321" s="961">
        <f t="shared" si="61"/>
        <v>0</v>
      </c>
      <c r="S321" s="935">
        <f t="shared" ref="S321:S384" si="63">ROUND(R321*B321/10000,0)</f>
        <v>0</v>
      </c>
    </row>
    <row r="322" spans="1:19">
      <c r="A322" s="1243"/>
      <c r="B322" s="1244"/>
      <c r="C322" s="961">
        <f t="shared" si="53"/>
        <v>1</v>
      </c>
      <c r="D322" s="1245"/>
      <c r="E322" s="961">
        <f t="shared" si="54"/>
        <v>1</v>
      </c>
      <c r="F322" s="1245"/>
      <c r="G322" s="961">
        <f t="shared" si="55"/>
        <v>1</v>
      </c>
      <c r="H322" s="1245"/>
      <c r="I322" s="961">
        <f t="shared" si="56"/>
        <v>1</v>
      </c>
      <c r="J322" s="1245"/>
      <c r="K322" s="961">
        <f t="shared" si="57"/>
        <v>1</v>
      </c>
      <c r="L322" s="1245"/>
      <c r="M322" s="961">
        <f t="shared" si="58"/>
        <v>1</v>
      </c>
      <c r="N322" s="1245"/>
      <c r="O322" s="961">
        <f t="shared" si="59"/>
        <v>1</v>
      </c>
      <c r="P322" s="1245"/>
      <c r="Q322" s="961">
        <f t="shared" si="60"/>
        <v>1</v>
      </c>
      <c r="R322" s="961">
        <f t="shared" si="61"/>
        <v>0</v>
      </c>
      <c r="S322" s="935">
        <f t="shared" si="63"/>
        <v>0</v>
      </c>
    </row>
    <row r="323" spans="1:19">
      <c r="A323" s="1243"/>
      <c r="B323" s="1244"/>
      <c r="C323" s="961">
        <f t="shared" si="53"/>
        <v>1</v>
      </c>
      <c r="D323" s="1245"/>
      <c r="E323" s="961">
        <f t="shared" si="54"/>
        <v>1</v>
      </c>
      <c r="F323" s="1245"/>
      <c r="G323" s="961">
        <f t="shared" si="55"/>
        <v>1</v>
      </c>
      <c r="H323" s="1245"/>
      <c r="I323" s="961">
        <f t="shared" si="56"/>
        <v>1</v>
      </c>
      <c r="J323" s="1245"/>
      <c r="K323" s="961">
        <f t="shared" si="57"/>
        <v>1</v>
      </c>
      <c r="L323" s="1245"/>
      <c r="M323" s="961">
        <f t="shared" si="58"/>
        <v>1</v>
      </c>
      <c r="N323" s="1245"/>
      <c r="O323" s="961">
        <f t="shared" si="59"/>
        <v>1</v>
      </c>
      <c r="P323" s="1245"/>
      <c r="Q323" s="961">
        <f t="shared" si="60"/>
        <v>1</v>
      </c>
      <c r="R323" s="961">
        <f t="shared" si="61"/>
        <v>0</v>
      </c>
      <c r="S323" s="935">
        <f t="shared" si="63"/>
        <v>0</v>
      </c>
    </row>
    <row r="324" spans="1:19">
      <c r="A324" s="1243"/>
      <c r="B324" s="1244"/>
      <c r="C324" s="961">
        <f t="shared" si="53"/>
        <v>1</v>
      </c>
      <c r="D324" s="1245"/>
      <c r="E324" s="961">
        <f t="shared" si="54"/>
        <v>1</v>
      </c>
      <c r="F324" s="1245"/>
      <c r="G324" s="961">
        <f t="shared" si="55"/>
        <v>1</v>
      </c>
      <c r="H324" s="1245"/>
      <c r="I324" s="961">
        <f t="shared" si="56"/>
        <v>1</v>
      </c>
      <c r="J324" s="1245"/>
      <c r="K324" s="961">
        <f t="shared" si="57"/>
        <v>1</v>
      </c>
      <c r="L324" s="1245"/>
      <c r="M324" s="961">
        <f t="shared" si="58"/>
        <v>1</v>
      </c>
      <c r="N324" s="1245"/>
      <c r="O324" s="961">
        <f t="shared" si="59"/>
        <v>1</v>
      </c>
      <c r="P324" s="1245"/>
      <c r="Q324" s="961">
        <f t="shared" si="60"/>
        <v>1</v>
      </c>
      <c r="R324" s="961">
        <f t="shared" si="61"/>
        <v>0</v>
      </c>
      <c r="S324" s="935">
        <f t="shared" si="63"/>
        <v>0</v>
      </c>
    </row>
    <row r="325" spans="1:19">
      <c r="A325" s="1243"/>
      <c r="B325" s="1244"/>
      <c r="C325" s="961">
        <f t="shared" si="53"/>
        <v>1</v>
      </c>
      <c r="D325" s="1245"/>
      <c r="E325" s="961">
        <f t="shared" si="54"/>
        <v>1</v>
      </c>
      <c r="F325" s="1245"/>
      <c r="G325" s="961">
        <f t="shared" si="55"/>
        <v>1</v>
      </c>
      <c r="H325" s="1245"/>
      <c r="I325" s="961">
        <f t="shared" si="56"/>
        <v>1</v>
      </c>
      <c r="J325" s="1245"/>
      <c r="K325" s="961">
        <f t="shared" si="57"/>
        <v>1</v>
      </c>
      <c r="L325" s="1245"/>
      <c r="M325" s="961">
        <f t="shared" si="58"/>
        <v>1</v>
      </c>
      <c r="N325" s="1245"/>
      <c r="O325" s="961">
        <f t="shared" si="59"/>
        <v>1</v>
      </c>
      <c r="P325" s="1245"/>
      <c r="Q325" s="961">
        <f t="shared" si="60"/>
        <v>1</v>
      </c>
      <c r="R325" s="961">
        <f t="shared" si="61"/>
        <v>0</v>
      </c>
      <c r="S325" s="935">
        <f t="shared" si="63"/>
        <v>0</v>
      </c>
    </row>
    <row r="326" spans="1:19">
      <c r="A326" s="1243"/>
      <c r="B326" s="1244"/>
      <c r="C326" s="961">
        <f t="shared" si="53"/>
        <v>1</v>
      </c>
      <c r="D326" s="1245"/>
      <c r="E326" s="961">
        <f t="shared" si="54"/>
        <v>1</v>
      </c>
      <c r="F326" s="1245"/>
      <c r="G326" s="961">
        <f t="shared" si="55"/>
        <v>1</v>
      </c>
      <c r="H326" s="1245"/>
      <c r="I326" s="961">
        <f t="shared" si="56"/>
        <v>1</v>
      </c>
      <c r="J326" s="1245"/>
      <c r="K326" s="961">
        <f t="shared" si="57"/>
        <v>1</v>
      </c>
      <c r="L326" s="1245"/>
      <c r="M326" s="961">
        <f t="shared" si="58"/>
        <v>1</v>
      </c>
      <c r="N326" s="1245"/>
      <c r="O326" s="961">
        <f t="shared" si="59"/>
        <v>1</v>
      </c>
      <c r="P326" s="1245"/>
      <c r="Q326" s="961">
        <f t="shared" si="60"/>
        <v>1</v>
      </c>
      <c r="R326" s="961">
        <f t="shared" si="61"/>
        <v>0</v>
      </c>
      <c r="S326" s="935">
        <f t="shared" si="63"/>
        <v>0</v>
      </c>
    </row>
    <row r="327" spans="1:19">
      <c r="A327" s="1243"/>
      <c r="B327" s="1244"/>
      <c r="C327" s="961">
        <f t="shared" si="53"/>
        <v>1</v>
      </c>
      <c r="D327" s="1245"/>
      <c r="E327" s="961">
        <f t="shared" si="54"/>
        <v>1</v>
      </c>
      <c r="F327" s="1245"/>
      <c r="G327" s="961">
        <f t="shared" si="55"/>
        <v>1</v>
      </c>
      <c r="H327" s="1245"/>
      <c r="I327" s="961">
        <f t="shared" si="56"/>
        <v>1</v>
      </c>
      <c r="J327" s="1245"/>
      <c r="K327" s="961">
        <f t="shared" si="57"/>
        <v>1</v>
      </c>
      <c r="L327" s="1245"/>
      <c r="M327" s="961">
        <f t="shared" si="58"/>
        <v>1</v>
      </c>
      <c r="N327" s="1245"/>
      <c r="O327" s="961">
        <f t="shared" si="59"/>
        <v>1</v>
      </c>
      <c r="P327" s="1245"/>
      <c r="Q327" s="961">
        <f t="shared" si="60"/>
        <v>1</v>
      </c>
      <c r="R327" s="961">
        <f t="shared" si="61"/>
        <v>0</v>
      </c>
      <c r="S327" s="935">
        <f t="shared" si="63"/>
        <v>0</v>
      </c>
    </row>
    <row r="328" spans="1:19">
      <c r="A328" s="1243"/>
      <c r="B328" s="1244"/>
      <c r="C328" s="961">
        <f t="shared" si="53"/>
        <v>1</v>
      </c>
      <c r="D328" s="1245"/>
      <c r="E328" s="961">
        <f t="shared" si="54"/>
        <v>1</v>
      </c>
      <c r="F328" s="1245"/>
      <c r="G328" s="961">
        <f t="shared" si="55"/>
        <v>1</v>
      </c>
      <c r="H328" s="1245"/>
      <c r="I328" s="961">
        <f t="shared" si="56"/>
        <v>1</v>
      </c>
      <c r="J328" s="1245"/>
      <c r="K328" s="961">
        <f t="shared" si="57"/>
        <v>1</v>
      </c>
      <c r="L328" s="1245"/>
      <c r="M328" s="961">
        <f t="shared" si="58"/>
        <v>1</v>
      </c>
      <c r="N328" s="1245"/>
      <c r="O328" s="961">
        <f t="shared" si="59"/>
        <v>1</v>
      </c>
      <c r="P328" s="1245"/>
      <c r="Q328" s="961">
        <f t="shared" si="60"/>
        <v>1</v>
      </c>
      <c r="R328" s="961">
        <f t="shared" si="61"/>
        <v>0</v>
      </c>
      <c r="S328" s="935">
        <f t="shared" si="63"/>
        <v>0</v>
      </c>
    </row>
    <row r="329" spans="1:19">
      <c r="A329" s="1243"/>
      <c r="B329" s="1244"/>
      <c r="C329" s="961">
        <f t="shared" si="53"/>
        <v>1</v>
      </c>
      <c r="D329" s="1245"/>
      <c r="E329" s="961">
        <f t="shared" si="54"/>
        <v>1</v>
      </c>
      <c r="F329" s="1245"/>
      <c r="G329" s="961">
        <f t="shared" si="55"/>
        <v>1</v>
      </c>
      <c r="H329" s="1245"/>
      <c r="I329" s="961">
        <f t="shared" si="56"/>
        <v>1</v>
      </c>
      <c r="J329" s="1245"/>
      <c r="K329" s="961">
        <f t="shared" si="57"/>
        <v>1</v>
      </c>
      <c r="L329" s="1245"/>
      <c r="M329" s="961">
        <f t="shared" si="58"/>
        <v>1</v>
      </c>
      <c r="N329" s="1245"/>
      <c r="O329" s="961">
        <f t="shared" si="59"/>
        <v>1</v>
      </c>
      <c r="P329" s="1245"/>
      <c r="Q329" s="961">
        <f t="shared" si="60"/>
        <v>1</v>
      </c>
      <c r="R329" s="961">
        <f t="shared" si="61"/>
        <v>0</v>
      </c>
      <c r="S329" s="935">
        <f t="shared" si="63"/>
        <v>0</v>
      </c>
    </row>
    <row r="330" spans="1:19">
      <c r="A330" s="1243"/>
      <c r="B330" s="1244"/>
      <c r="C330" s="961">
        <f t="shared" si="53"/>
        <v>1</v>
      </c>
      <c r="D330" s="1245"/>
      <c r="E330" s="961">
        <f t="shared" si="54"/>
        <v>1</v>
      </c>
      <c r="F330" s="1245"/>
      <c r="G330" s="961">
        <f t="shared" si="55"/>
        <v>1</v>
      </c>
      <c r="H330" s="1245"/>
      <c r="I330" s="961">
        <f t="shared" si="56"/>
        <v>1</v>
      </c>
      <c r="J330" s="1245"/>
      <c r="K330" s="961">
        <f t="shared" si="57"/>
        <v>1</v>
      </c>
      <c r="L330" s="1245"/>
      <c r="M330" s="961">
        <f t="shared" si="58"/>
        <v>1</v>
      </c>
      <c r="N330" s="1245"/>
      <c r="O330" s="961">
        <f t="shared" si="59"/>
        <v>1</v>
      </c>
      <c r="P330" s="1245"/>
      <c r="Q330" s="961">
        <f t="shared" si="60"/>
        <v>1</v>
      </c>
      <c r="R330" s="961">
        <f t="shared" si="61"/>
        <v>0</v>
      </c>
      <c r="S330" s="935">
        <f t="shared" si="63"/>
        <v>0</v>
      </c>
    </row>
    <row r="331" spans="1:19">
      <c r="A331" s="1243"/>
      <c r="B331" s="1244"/>
      <c r="C331" s="961">
        <f t="shared" si="53"/>
        <v>1</v>
      </c>
      <c r="D331" s="1245"/>
      <c r="E331" s="961">
        <f t="shared" si="54"/>
        <v>1</v>
      </c>
      <c r="F331" s="1245"/>
      <c r="G331" s="961">
        <f t="shared" si="55"/>
        <v>1</v>
      </c>
      <c r="H331" s="1245"/>
      <c r="I331" s="961">
        <f t="shared" si="56"/>
        <v>1</v>
      </c>
      <c r="J331" s="1245"/>
      <c r="K331" s="961">
        <f t="shared" si="57"/>
        <v>1</v>
      </c>
      <c r="L331" s="1245"/>
      <c r="M331" s="961">
        <f t="shared" si="58"/>
        <v>1</v>
      </c>
      <c r="N331" s="1245"/>
      <c r="O331" s="961">
        <f t="shared" si="59"/>
        <v>1</v>
      </c>
      <c r="P331" s="1245"/>
      <c r="Q331" s="961">
        <f t="shared" si="60"/>
        <v>1</v>
      </c>
      <c r="R331" s="961">
        <f t="shared" si="61"/>
        <v>0</v>
      </c>
      <c r="S331" s="935">
        <f t="shared" si="63"/>
        <v>0</v>
      </c>
    </row>
    <row r="332" spans="1:19">
      <c r="A332" s="1243"/>
      <c r="B332" s="1244"/>
      <c r="C332" s="961">
        <f t="shared" si="53"/>
        <v>1</v>
      </c>
      <c r="D332" s="1245"/>
      <c r="E332" s="961">
        <f t="shared" si="54"/>
        <v>1</v>
      </c>
      <c r="F332" s="1245"/>
      <c r="G332" s="961">
        <f t="shared" si="55"/>
        <v>1</v>
      </c>
      <c r="H332" s="1245"/>
      <c r="I332" s="961">
        <f t="shared" si="56"/>
        <v>1</v>
      </c>
      <c r="J332" s="1245"/>
      <c r="K332" s="961">
        <f t="shared" si="57"/>
        <v>1</v>
      </c>
      <c r="L332" s="1245"/>
      <c r="M332" s="961">
        <f t="shared" si="58"/>
        <v>1</v>
      </c>
      <c r="N332" s="1245"/>
      <c r="O332" s="961">
        <f t="shared" si="59"/>
        <v>1</v>
      </c>
      <c r="P332" s="1245"/>
      <c r="Q332" s="961">
        <f t="shared" si="60"/>
        <v>1</v>
      </c>
      <c r="R332" s="961">
        <f t="shared" si="61"/>
        <v>0</v>
      </c>
      <c r="S332" s="935">
        <f t="shared" si="63"/>
        <v>0</v>
      </c>
    </row>
    <row r="333" spans="1:19">
      <c r="A333" s="1243"/>
      <c r="B333" s="1244"/>
      <c r="C333" s="961">
        <f t="shared" si="53"/>
        <v>1</v>
      </c>
      <c r="D333" s="1245"/>
      <c r="E333" s="961">
        <f t="shared" si="54"/>
        <v>1</v>
      </c>
      <c r="F333" s="1245"/>
      <c r="G333" s="961">
        <f t="shared" si="55"/>
        <v>1</v>
      </c>
      <c r="H333" s="1245"/>
      <c r="I333" s="961">
        <f t="shared" si="56"/>
        <v>1</v>
      </c>
      <c r="J333" s="1245"/>
      <c r="K333" s="961">
        <f t="shared" si="57"/>
        <v>1</v>
      </c>
      <c r="L333" s="1245"/>
      <c r="M333" s="961">
        <f t="shared" si="58"/>
        <v>1</v>
      </c>
      <c r="N333" s="1245"/>
      <c r="O333" s="961">
        <f t="shared" si="59"/>
        <v>1</v>
      </c>
      <c r="P333" s="1245"/>
      <c r="Q333" s="961">
        <f t="shared" si="60"/>
        <v>1</v>
      </c>
      <c r="R333" s="961">
        <f t="shared" si="61"/>
        <v>0</v>
      </c>
      <c r="S333" s="935">
        <f t="shared" si="63"/>
        <v>0</v>
      </c>
    </row>
    <row r="334" spans="1:19">
      <c r="A334" s="1243"/>
      <c r="B334" s="1244"/>
      <c r="C334" s="961">
        <f t="shared" si="53"/>
        <v>1</v>
      </c>
      <c r="D334" s="1245"/>
      <c r="E334" s="961">
        <f t="shared" si="54"/>
        <v>1</v>
      </c>
      <c r="F334" s="1245"/>
      <c r="G334" s="961">
        <f t="shared" si="55"/>
        <v>1</v>
      </c>
      <c r="H334" s="1245"/>
      <c r="I334" s="961">
        <f t="shared" si="56"/>
        <v>1</v>
      </c>
      <c r="J334" s="1245"/>
      <c r="K334" s="961">
        <f t="shared" si="57"/>
        <v>1</v>
      </c>
      <c r="L334" s="1245"/>
      <c r="M334" s="961">
        <f t="shared" si="58"/>
        <v>1</v>
      </c>
      <c r="N334" s="1245"/>
      <c r="O334" s="961">
        <f t="shared" si="59"/>
        <v>1</v>
      </c>
      <c r="P334" s="1245"/>
      <c r="Q334" s="961">
        <f t="shared" si="60"/>
        <v>1</v>
      </c>
      <c r="R334" s="961">
        <f t="shared" si="61"/>
        <v>0</v>
      </c>
      <c r="S334" s="935">
        <f t="shared" si="63"/>
        <v>0</v>
      </c>
    </row>
    <row r="335" spans="1:19">
      <c r="A335" s="1243"/>
      <c r="B335" s="1244"/>
      <c r="C335" s="961">
        <f t="shared" si="53"/>
        <v>1</v>
      </c>
      <c r="D335" s="1245"/>
      <c r="E335" s="961">
        <f t="shared" si="54"/>
        <v>1</v>
      </c>
      <c r="F335" s="1245"/>
      <c r="G335" s="961">
        <f t="shared" si="55"/>
        <v>1</v>
      </c>
      <c r="H335" s="1245"/>
      <c r="I335" s="961">
        <f t="shared" si="56"/>
        <v>1</v>
      </c>
      <c r="J335" s="1245"/>
      <c r="K335" s="961">
        <f t="shared" si="57"/>
        <v>1</v>
      </c>
      <c r="L335" s="1245"/>
      <c r="M335" s="961">
        <f t="shared" si="58"/>
        <v>1</v>
      </c>
      <c r="N335" s="1245"/>
      <c r="O335" s="961">
        <f t="shared" si="59"/>
        <v>1</v>
      </c>
      <c r="P335" s="1245"/>
      <c r="Q335" s="961">
        <f t="shared" si="60"/>
        <v>1</v>
      </c>
      <c r="R335" s="961">
        <f t="shared" si="61"/>
        <v>0</v>
      </c>
      <c r="S335" s="935">
        <f t="shared" si="63"/>
        <v>0</v>
      </c>
    </row>
    <row r="336" spans="1:19">
      <c r="A336" s="1243"/>
      <c r="B336" s="1244"/>
      <c r="C336" s="961">
        <f t="shared" si="53"/>
        <v>1</v>
      </c>
      <c r="D336" s="1245"/>
      <c r="E336" s="961">
        <f t="shared" si="54"/>
        <v>1</v>
      </c>
      <c r="F336" s="1245"/>
      <c r="G336" s="961">
        <f t="shared" si="55"/>
        <v>1</v>
      </c>
      <c r="H336" s="1245"/>
      <c r="I336" s="961">
        <f t="shared" si="56"/>
        <v>1</v>
      </c>
      <c r="J336" s="1245"/>
      <c r="K336" s="961">
        <f t="shared" si="57"/>
        <v>1</v>
      </c>
      <c r="L336" s="1245"/>
      <c r="M336" s="961">
        <f t="shared" si="58"/>
        <v>1</v>
      </c>
      <c r="N336" s="1245"/>
      <c r="O336" s="961">
        <f t="shared" si="59"/>
        <v>1</v>
      </c>
      <c r="P336" s="1245"/>
      <c r="Q336" s="961">
        <f t="shared" si="60"/>
        <v>1</v>
      </c>
      <c r="R336" s="961">
        <f t="shared" si="61"/>
        <v>0</v>
      </c>
      <c r="S336" s="935">
        <f t="shared" si="63"/>
        <v>0</v>
      </c>
    </row>
    <row r="337" spans="1:19">
      <c r="A337" s="1243"/>
      <c r="B337" s="1244"/>
      <c r="C337" s="961">
        <f t="shared" si="53"/>
        <v>1</v>
      </c>
      <c r="D337" s="1245"/>
      <c r="E337" s="961">
        <f t="shared" si="54"/>
        <v>1</v>
      </c>
      <c r="F337" s="1245"/>
      <c r="G337" s="961">
        <f t="shared" si="55"/>
        <v>1</v>
      </c>
      <c r="H337" s="1245"/>
      <c r="I337" s="961">
        <f t="shared" si="56"/>
        <v>1</v>
      </c>
      <c r="J337" s="1245"/>
      <c r="K337" s="961">
        <f t="shared" si="57"/>
        <v>1</v>
      </c>
      <c r="L337" s="1245"/>
      <c r="M337" s="961">
        <f t="shared" si="58"/>
        <v>1</v>
      </c>
      <c r="N337" s="1245"/>
      <c r="O337" s="961">
        <f t="shared" si="59"/>
        <v>1</v>
      </c>
      <c r="P337" s="1245"/>
      <c r="Q337" s="961">
        <f t="shared" si="60"/>
        <v>1</v>
      </c>
      <c r="R337" s="961">
        <f t="shared" si="61"/>
        <v>0</v>
      </c>
      <c r="S337" s="935">
        <f t="shared" si="63"/>
        <v>0</v>
      </c>
    </row>
    <row r="338" spans="1:19">
      <c r="A338" s="1243"/>
      <c r="B338" s="1244"/>
      <c r="C338" s="961">
        <f t="shared" si="53"/>
        <v>1</v>
      </c>
      <c r="D338" s="1245"/>
      <c r="E338" s="961">
        <f t="shared" si="54"/>
        <v>1</v>
      </c>
      <c r="F338" s="1245"/>
      <c r="G338" s="961">
        <f t="shared" si="55"/>
        <v>1</v>
      </c>
      <c r="H338" s="1245"/>
      <c r="I338" s="961">
        <f t="shared" si="56"/>
        <v>1</v>
      </c>
      <c r="J338" s="1245"/>
      <c r="K338" s="961">
        <f t="shared" si="57"/>
        <v>1</v>
      </c>
      <c r="L338" s="1245"/>
      <c r="M338" s="961">
        <f t="shared" si="58"/>
        <v>1</v>
      </c>
      <c r="N338" s="1245"/>
      <c r="O338" s="961">
        <f t="shared" si="59"/>
        <v>1</v>
      </c>
      <c r="P338" s="1245"/>
      <c r="Q338" s="961">
        <f t="shared" si="60"/>
        <v>1</v>
      </c>
      <c r="R338" s="961">
        <f t="shared" si="61"/>
        <v>0</v>
      </c>
      <c r="S338" s="935">
        <f t="shared" si="63"/>
        <v>0</v>
      </c>
    </row>
    <row r="339" spans="1:19">
      <c r="A339" s="1243"/>
      <c r="B339" s="1244"/>
      <c r="C339" s="961">
        <f t="shared" si="53"/>
        <v>1</v>
      </c>
      <c r="D339" s="1245"/>
      <c r="E339" s="961">
        <f t="shared" si="54"/>
        <v>1</v>
      </c>
      <c r="F339" s="1245"/>
      <c r="G339" s="961">
        <f t="shared" si="55"/>
        <v>1</v>
      </c>
      <c r="H339" s="1245"/>
      <c r="I339" s="961">
        <f t="shared" si="56"/>
        <v>1</v>
      </c>
      <c r="J339" s="1245"/>
      <c r="K339" s="961">
        <f t="shared" si="57"/>
        <v>1</v>
      </c>
      <c r="L339" s="1245"/>
      <c r="M339" s="961">
        <f t="shared" si="58"/>
        <v>1</v>
      </c>
      <c r="N339" s="1245"/>
      <c r="O339" s="961">
        <f t="shared" si="59"/>
        <v>1</v>
      </c>
      <c r="P339" s="1245"/>
      <c r="Q339" s="961">
        <f t="shared" si="60"/>
        <v>1</v>
      </c>
      <c r="R339" s="961">
        <f t="shared" si="61"/>
        <v>0</v>
      </c>
      <c r="S339" s="935">
        <f t="shared" si="63"/>
        <v>0</v>
      </c>
    </row>
    <row r="340" spans="1:19">
      <c r="A340" s="1243"/>
      <c r="B340" s="1244"/>
      <c r="C340" s="961">
        <f t="shared" si="53"/>
        <v>1</v>
      </c>
      <c r="D340" s="1245"/>
      <c r="E340" s="961">
        <f t="shared" si="54"/>
        <v>1</v>
      </c>
      <c r="F340" s="1245"/>
      <c r="G340" s="961">
        <f t="shared" si="55"/>
        <v>1</v>
      </c>
      <c r="H340" s="1245"/>
      <c r="I340" s="961">
        <f t="shared" si="56"/>
        <v>1</v>
      </c>
      <c r="J340" s="1245"/>
      <c r="K340" s="961">
        <f t="shared" si="57"/>
        <v>1</v>
      </c>
      <c r="L340" s="1245"/>
      <c r="M340" s="961">
        <f t="shared" si="58"/>
        <v>1</v>
      </c>
      <c r="N340" s="1245"/>
      <c r="O340" s="961">
        <f t="shared" si="59"/>
        <v>1</v>
      </c>
      <c r="P340" s="1245"/>
      <c r="Q340" s="961">
        <f t="shared" si="60"/>
        <v>1</v>
      </c>
      <c r="R340" s="961">
        <f t="shared" si="61"/>
        <v>0</v>
      </c>
      <c r="S340" s="935">
        <f t="shared" si="63"/>
        <v>0</v>
      </c>
    </row>
    <row r="341" spans="1:19">
      <c r="A341" s="1243"/>
      <c r="B341" s="1244"/>
      <c r="C341" s="961">
        <f t="shared" si="53"/>
        <v>1</v>
      </c>
      <c r="D341" s="1245"/>
      <c r="E341" s="961">
        <f t="shared" si="54"/>
        <v>1</v>
      </c>
      <c r="F341" s="1245"/>
      <c r="G341" s="961">
        <f t="shared" si="55"/>
        <v>1</v>
      </c>
      <c r="H341" s="1245"/>
      <c r="I341" s="961">
        <f t="shared" si="56"/>
        <v>1</v>
      </c>
      <c r="J341" s="1245"/>
      <c r="K341" s="961">
        <f t="shared" si="57"/>
        <v>1</v>
      </c>
      <c r="L341" s="1245"/>
      <c r="M341" s="961">
        <f t="shared" si="58"/>
        <v>1</v>
      </c>
      <c r="N341" s="1245"/>
      <c r="O341" s="961">
        <f t="shared" si="59"/>
        <v>1</v>
      </c>
      <c r="P341" s="1245"/>
      <c r="Q341" s="961">
        <f t="shared" si="60"/>
        <v>1</v>
      </c>
      <c r="R341" s="961">
        <f t="shared" si="61"/>
        <v>0</v>
      </c>
      <c r="S341" s="935">
        <f t="shared" si="63"/>
        <v>0</v>
      </c>
    </row>
    <row r="342" spans="1:19">
      <c r="A342" s="1243"/>
      <c r="B342" s="1244"/>
      <c r="C342" s="961">
        <f t="shared" si="53"/>
        <v>1</v>
      </c>
      <c r="D342" s="1245"/>
      <c r="E342" s="961">
        <f t="shared" si="54"/>
        <v>1</v>
      </c>
      <c r="F342" s="1245"/>
      <c r="G342" s="961">
        <f t="shared" si="55"/>
        <v>1</v>
      </c>
      <c r="H342" s="1245"/>
      <c r="I342" s="961">
        <f t="shared" si="56"/>
        <v>1</v>
      </c>
      <c r="J342" s="1245"/>
      <c r="K342" s="961">
        <f t="shared" si="57"/>
        <v>1</v>
      </c>
      <c r="L342" s="1245"/>
      <c r="M342" s="961">
        <f t="shared" si="58"/>
        <v>1</v>
      </c>
      <c r="N342" s="1245"/>
      <c r="O342" s="961">
        <f t="shared" si="59"/>
        <v>1</v>
      </c>
      <c r="P342" s="1245"/>
      <c r="Q342" s="961">
        <f t="shared" si="60"/>
        <v>1</v>
      </c>
      <c r="R342" s="961">
        <f t="shared" si="61"/>
        <v>0</v>
      </c>
      <c r="S342" s="935">
        <f t="shared" si="63"/>
        <v>0</v>
      </c>
    </row>
    <row r="343" spans="1:19">
      <c r="A343" s="1243"/>
      <c r="B343" s="1244"/>
      <c r="C343" s="961">
        <f t="shared" si="53"/>
        <v>1</v>
      </c>
      <c r="D343" s="1245"/>
      <c r="E343" s="961">
        <f t="shared" si="54"/>
        <v>1</v>
      </c>
      <c r="F343" s="1245"/>
      <c r="G343" s="961">
        <f t="shared" si="55"/>
        <v>1</v>
      </c>
      <c r="H343" s="1245"/>
      <c r="I343" s="961">
        <f t="shared" si="56"/>
        <v>1</v>
      </c>
      <c r="J343" s="1245"/>
      <c r="K343" s="961">
        <f t="shared" si="57"/>
        <v>1</v>
      </c>
      <c r="L343" s="1245"/>
      <c r="M343" s="961">
        <f t="shared" si="58"/>
        <v>1</v>
      </c>
      <c r="N343" s="1245"/>
      <c r="O343" s="961">
        <f t="shared" si="59"/>
        <v>1</v>
      </c>
      <c r="P343" s="1245"/>
      <c r="Q343" s="961">
        <f t="shared" si="60"/>
        <v>1</v>
      </c>
      <c r="R343" s="961">
        <f t="shared" si="61"/>
        <v>0</v>
      </c>
      <c r="S343" s="935">
        <f t="shared" si="63"/>
        <v>0</v>
      </c>
    </row>
    <row r="344" spans="1:19">
      <c r="A344" s="1243"/>
      <c r="B344" s="1244"/>
      <c r="C344" s="961">
        <f t="shared" si="53"/>
        <v>1</v>
      </c>
      <c r="D344" s="1245"/>
      <c r="E344" s="961">
        <f t="shared" si="54"/>
        <v>1</v>
      </c>
      <c r="F344" s="1245"/>
      <c r="G344" s="961">
        <f t="shared" si="55"/>
        <v>1</v>
      </c>
      <c r="H344" s="1245"/>
      <c r="I344" s="961">
        <f t="shared" si="56"/>
        <v>1</v>
      </c>
      <c r="J344" s="1245"/>
      <c r="K344" s="961">
        <f t="shared" si="57"/>
        <v>1</v>
      </c>
      <c r="L344" s="1245"/>
      <c r="M344" s="961">
        <f t="shared" si="58"/>
        <v>1</v>
      </c>
      <c r="N344" s="1245"/>
      <c r="O344" s="961">
        <f t="shared" si="59"/>
        <v>1</v>
      </c>
      <c r="P344" s="1245"/>
      <c r="Q344" s="961">
        <f t="shared" si="60"/>
        <v>1</v>
      </c>
      <c r="R344" s="961">
        <f t="shared" si="61"/>
        <v>0</v>
      </c>
      <c r="S344" s="935">
        <f t="shared" si="63"/>
        <v>0</v>
      </c>
    </row>
    <row r="345" spans="1:19">
      <c r="A345" s="1243"/>
      <c r="B345" s="1244"/>
      <c r="C345" s="961">
        <f t="shared" si="53"/>
        <v>1</v>
      </c>
      <c r="D345" s="1245"/>
      <c r="E345" s="961">
        <f t="shared" si="54"/>
        <v>1</v>
      </c>
      <c r="F345" s="1245"/>
      <c r="G345" s="961">
        <f t="shared" si="55"/>
        <v>1</v>
      </c>
      <c r="H345" s="1245"/>
      <c r="I345" s="961">
        <f t="shared" si="56"/>
        <v>1</v>
      </c>
      <c r="J345" s="1245"/>
      <c r="K345" s="961">
        <f t="shared" si="57"/>
        <v>1</v>
      </c>
      <c r="L345" s="1245"/>
      <c r="M345" s="961">
        <f t="shared" si="58"/>
        <v>1</v>
      </c>
      <c r="N345" s="1245"/>
      <c r="O345" s="961">
        <f t="shared" si="59"/>
        <v>1</v>
      </c>
      <c r="P345" s="1245"/>
      <c r="Q345" s="961">
        <f t="shared" si="60"/>
        <v>1</v>
      </c>
      <c r="R345" s="961">
        <f t="shared" si="61"/>
        <v>0</v>
      </c>
      <c r="S345" s="935">
        <f t="shared" si="63"/>
        <v>0</v>
      </c>
    </row>
    <row r="346" spans="1:19">
      <c r="A346" s="1243"/>
      <c r="B346" s="1244"/>
      <c r="C346" s="961">
        <f t="shared" ref="C346:C409" si="64">IF(B346="",1,(LOOKUP(B346,$3:$3,$4:$4)-LOOKUP($B$24,$3:$3,$4:$4)+100)/100)</f>
        <v>1</v>
      </c>
      <c r="D346" s="1245"/>
      <c r="E346" s="961">
        <f t="shared" ref="E346:E409" si="65">(SUMIF($5:$5,D346,$6:$6)-SUMIF($5:$5,$D$24,$6:$6)+100)/100</f>
        <v>1</v>
      </c>
      <c r="F346" s="1245"/>
      <c r="G346" s="961">
        <f t="shared" ref="G346:G409" si="66">(SUMIF($7:$7,F346,$8:$8)-SUMIF($7:$7,$F$24,$8:$8)+100)/100</f>
        <v>1</v>
      </c>
      <c r="H346" s="1245"/>
      <c r="I346" s="961">
        <f t="shared" ref="I346:I409" si="67">(SUMIF($9:$9,H346,$10:$10)-SUMIF($9:$9,$H$24,$10:$10)+100)/100</f>
        <v>1</v>
      </c>
      <c r="J346" s="1245"/>
      <c r="K346" s="961">
        <f t="shared" ref="K346:K409" si="68">(SUMIF($11:$11,J346,$12:$12)-SUMIF($11:$11,$J$24,$12:$12)+100)/100</f>
        <v>1</v>
      </c>
      <c r="L346" s="1245"/>
      <c r="M346" s="961">
        <f t="shared" ref="M346:M409" si="69">(SUMIF($13:$13,L346,$14:$14)-SUMIF($13:$13,$L$24,$14:$14)+100)/100</f>
        <v>1</v>
      </c>
      <c r="N346" s="1245"/>
      <c r="O346" s="961">
        <f t="shared" ref="O346:O409" si="70">(SUMIF($15:$15,N346,$16:$16)-SUMIF($15:$15,$N$24,$16:$16)+100)/100</f>
        <v>1</v>
      </c>
      <c r="P346" s="1245"/>
      <c r="Q346" s="961">
        <f t="shared" ref="Q346:Q409" si="71">(SUMIF($17:$17,P346,$18:$18)-SUMIF($17:$17,$P$24,$18:$18)+100)/100</f>
        <v>1</v>
      </c>
      <c r="R346" s="961">
        <f t="shared" ref="R346:R409" si="72">IF(B346="",0,ROUND($R$24*C346*E346*G346*I346*K346*M346*O346*Q346,0))</f>
        <v>0</v>
      </c>
      <c r="S346" s="935">
        <f t="shared" si="63"/>
        <v>0</v>
      </c>
    </row>
    <row r="347" spans="1:19">
      <c r="A347" s="1243"/>
      <c r="B347" s="1244"/>
      <c r="C347" s="961">
        <f t="shared" si="64"/>
        <v>1</v>
      </c>
      <c r="D347" s="1245"/>
      <c r="E347" s="961">
        <f t="shared" si="65"/>
        <v>1</v>
      </c>
      <c r="F347" s="1245"/>
      <c r="G347" s="961">
        <f t="shared" si="66"/>
        <v>1</v>
      </c>
      <c r="H347" s="1245"/>
      <c r="I347" s="961">
        <f t="shared" si="67"/>
        <v>1</v>
      </c>
      <c r="J347" s="1245"/>
      <c r="K347" s="961">
        <f t="shared" si="68"/>
        <v>1</v>
      </c>
      <c r="L347" s="1245"/>
      <c r="M347" s="961">
        <f t="shared" si="69"/>
        <v>1</v>
      </c>
      <c r="N347" s="1245"/>
      <c r="O347" s="961">
        <f t="shared" si="70"/>
        <v>1</v>
      </c>
      <c r="P347" s="1245"/>
      <c r="Q347" s="961">
        <f t="shared" si="71"/>
        <v>1</v>
      </c>
      <c r="R347" s="961">
        <f t="shared" si="72"/>
        <v>0</v>
      </c>
      <c r="S347" s="935">
        <f t="shared" si="63"/>
        <v>0</v>
      </c>
    </row>
    <row r="348" spans="1:19">
      <c r="A348" s="1243"/>
      <c r="B348" s="1244"/>
      <c r="C348" s="961">
        <f t="shared" si="64"/>
        <v>1</v>
      </c>
      <c r="D348" s="1245"/>
      <c r="E348" s="961">
        <f t="shared" si="65"/>
        <v>1</v>
      </c>
      <c r="F348" s="1245"/>
      <c r="G348" s="961">
        <f t="shared" si="66"/>
        <v>1</v>
      </c>
      <c r="H348" s="1245"/>
      <c r="I348" s="961">
        <f t="shared" si="67"/>
        <v>1</v>
      </c>
      <c r="J348" s="1245"/>
      <c r="K348" s="961">
        <f t="shared" si="68"/>
        <v>1</v>
      </c>
      <c r="L348" s="1245"/>
      <c r="M348" s="961">
        <f t="shared" si="69"/>
        <v>1</v>
      </c>
      <c r="N348" s="1245"/>
      <c r="O348" s="961">
        <f t="shared" si="70"/>
        <v>1</v>
      </c>
      <c r="P348" s="1245"/>
      <c r="Q348" s="961">
        <f t="shared" si="71"/>
        <v>1</v>
      </c>
      <c r="R348" s="961">
        <f t="shared" si="72"/>
        <v>0</v>
      </c>
      <c r="S348" s="935">
        <f t="shared" si="63"/>
        <v>0</v>
      </c>
    </row>
    <row r="349" spans="1:19">
      <c r="A349" s="1243"/>
      <c r="B349" s="1244"/>
      <c r="C349" s="961">
        <f t="shared" si="64"/>
        <v>1</v>
      </c>
      <c r="D349" s="1245"/>
      <c r="E349" s="961">
        <f t="shared" si="65"/>
        <v>1</v>
      </c>
      <c r="F349" s="1245"/>
      <c r="G349" s="961">
        <f t="shared" si="66"/>
        <v>1</v>
      </c>
      <c r="H349" s="1245"/>
      <c r="I349" s="961">
        <f t="shared" si="67"/>
        <v>1</v>
      </c>
      <c r="J349" s="1245"/>
      <c r="K349" s="961">
        <f t="shared" si="68"/>
        <v>1</v>
      </c>
      <c r="L349" s="1245"/>
      <c r="M349" s="961">
        <f t="shared" si="69"/>
        <v>1</v>
      </c>
      <c r="N349" s="1245"/>
      <c r="O349" s="961">
        <f t="shared" si="70"/>
        <v>1</v>
      </c>
      <c r="P349" s="1245"/>
      <c r="Q349" s="961">
        <f t="shared" si="71"/>
        <v>1</v>
      </c>
      <c r="R349" s="961">
        <f t="shared" si="72"/>
        <v>0</v>
      </c>
      <c r="S349" s="935">
        <f t="shared" si="63"/>
        <v>0</v>
      </c>
    </row>
    <row r="350" spans="1:19">
      <c r="A350" s="1243"/>
      <c r="B350" s="1244"/>
      <c r="C350" s="961">
        <f t="shared" si="64"/>
        <v>1</v>
      </c>
      <c r="D350" s="1245"/>
      <c r="E350" s="961">
        <f t="shared" si="65"/>
        <v>1</v>
      </c>
      <c r="F350" s="1245"/>
      <c r="G350" s="961">
        <f t="shared" si="66"/>
        <v>1</v>
      </c>
      <c r="H350" s="1245"/>
      <c r="I350" s="961">
        <f t="shared" si="67"/>
        <v>1</v>
      </c>
      <c r="J350" s="1245"/>
      <c r="K350" s="961">
        <f t="shared" si="68"/>
        <v>1</v>
      </c>
      <c r="L350" s="1245"/>
      <c r="M350" s="961">
        <f t="shared" si="69"/>
        <v>1</v>
      </c>
      <c r="N350" s="1245"/>
      <c r="O350" s="961">
        <f t="shared" si="70"/>
        <v>1</v>
      </c>
      <c r="P350" s="1245"/>
      <c r="Q350" s="961">
        <f t="shared" si="71"/>
        <v>1</v>
      </c>
      <c r="R350" s="961">
        <f t="shared" si="72"/>
        <v>0</v>
      </c>
      <c r="S350" s="935">
        <f t="shared" si="63"/>
        <v>0</v>
      </c>
    </row>
    <row r="351" spans="1:19">
      <c r="A351" s="1243"/>
      <c r="B351" s="1244"/>
      <c r="C351" s="961">
        <f t="shared" si="64"/>
        <v>1</v>
      </c>
      <c r="D351" s="1245"/>
      <c r="E351" s="961">
        <f t="shared" si="65"/>
        <v>1</v>
      </c>
      <c r="F351" s="1245"/>
      <c r="G351" s="961">
        <f t="shared" si="66"/>
        <v>1</v>
      </c>
      <c r="H351" s="1245"/>
      <c r="I351" s="961">
        <f t="shared" si="67"/>
        <v>1</v>
      </c>
      <c r="J351" s="1245"/>
      <c r="K351" s="961">
        <f t="shared" si="68"/>
        <v>1</v>
      </c>
      <c r="L351" s="1245"/>
      <c r="M351" s="961">
        <f t="shared" si="69"/>
        <v>1</v>
      </c>
      <c r="N351" s="1245"/>
      <c r="O351" s="961">
        <f t="shared" si="70"/>
        <v>1</v>
      </c>
      <c r="P351" s="1245"/>
      <c r="Q351" s="961">
        <f t="shared" si="71"/>
        <v>1</v>
      </c>
      <c r="R351" s="961">
        <f t="shared" si="72"/>
        <v>0</v>
      </c>
      <c r="S351" s="935">
        <f t="shared" si="63"/>
        <v>0</v>
      </c>
    </row>
    <row r="352" spans="1:19">
      <c r="A352" s="1243"/>
      <c r="B352" s="1244"/>
      <c r="C352" s="961">
        <f t="shared" si="64"/>
        <v>1</v>
      </c>
      <c r="D352" s="1245"/>
      <c r="E352" s="961">
        <f t="shared" si="65"/>
        <v>1</v>
      </c>
      <c r="F352" s="1245"/>
      <c r="G352" s="961">
        <f t="shared" si="66"/>
        <v>1</v>
      </c>
      <c r="H352" s="1245"/>
      <c r="I352" s="961">
        <f t="shared" si="67"/>
        <v>1</v>
      </c>
      <c r="J352" s="1245"/>
      <c r="K352" s="961">
        <f t="shared" si="68"/>
        <v>1</v>
      </c>
      <c r="L352" s="1245"/>
      <c r="M352" s="961">
        <f t="shared" si="69"/>
        <v>1</v>
      </c>
      <c r="N352" s="1245"/>
      <c r="O352" s="961">
        <f t="shared" si="70"/>
        <v>1</v>
      </c>
      <c r="P352" s="1245"/>
      <c r="Q352" s="961">
        <f t="shared" si="71"/>
        <v>1</v>
      </c>
      <c r="R352" s="961">
        <f t="shared" si="72"/>
        <v>0</v>
      </c>
      <c r="S352" s="935">
        <f t="shared" si="63"/>
        <v>0</v>
      </c>
    </row>
    <row r="353" spans="1:19">
      <c r="A353" s="1243"/>
      <c r="B353" s="1244"/>
      <c r="C353" s="961">
        <f t="shared" si="64"/>
        <v>1</v>
      </c>
      <c r="D353" s="1245"/>
      <c r="E353" s="961">
        <f t="shared" si="65"/>
        <v>1</v>
      </c>
      <c r="F353" s="1245"/>
      <c r="G353" s="961">
        <f t="shared" si="66"/>
        <v>1</v>
      </c>
      <c r="H353" s="1245"/>
      <c r="I353" s="961">
        <f t="shared" si="67"/>
        <v>1</v>
      </c>
      <c r="J353" s="1245"/>
      <c r="K353" s="961">
        <f t="shared" si="68"/>
        <v>1</v>
      </c>
      <c r="L353" s="1245"/>
      <c r="M353" s="961">
        <f t="shared" si="69"/>
        <v>1</v>
      </c>
      <c r="N353" s="1245"/>
      <c r="O353" s="961">
        <f t="shared" si="70"/>
        <v>1</v>
      </c>
      <c r="P353" s="1245"/>
      <c r="Q353" s="961">
        <f t="shared" si="71"/>
        <v>1</v>
      </c>
      <c r="R353" s="961">
        <f t="shared" si="72"/>
        <v>0</v>
      </c>
      <c r="S353" s="935">
        <f t="shared" si="63"/>
        <v>0</v>
      </c>
    </row>
    <row r="354" spans="1:19">
      <c r="A354" s="1243"/>
      <c r="B354" s="1244"/>
      <c r="C354" s="961">
        <f t="shared" si="64"/>
        <v>1</v>
      </c>
      <c r="D354" s="1245"/>
      <c r="E354" s="961">
        <f t="shared" si="65"/>
        <v>1</v>
      </c>
      <c r="F354" s="1245"/>
      <c r="G354" s="961">
        <f t="shared" si="66"/>
        <v>1</v>
      </c>
      <c r="H354" s="1245"/>
      <c r="I354" s="961">
        <f t="shared" si="67"/>
        <v>1</v>
      </c>
      <c r="J354" s="1245"/>
      <c r="K354" s="961">
        <f t="shared" si="68"/>
        <v>1</v>
      </c>
      <c r="L354" s="1245"/>
      <c r="M354" s="961">
        <f t="shared" si="69"/>
        <v>1</v>
      </c>
      <c r="N354" s="1245"/>
      <c r="O354" s="961">
        <f t="shared" si="70"/>
        <v>1</v>
      </c>
      <c r="P354" s="1245"/>
      <c r="Q354" s="961">
        <f t="shared" si="71"/>
        <v>1</v>
      </c>
      <c r="R354" s="961">
        <f t="shared" si="72"/>
        <v>0</v>
      </c>
      <c r="S354" s="935">
        <f t="shared" si="63"/>
        <v>0</v>
      </c>
    </row>
    <row r="355" spans="1:19">
      <c r="A355" s="1243"/>
      <c r="B355" s="1244"/>
      <c r="C355" s="961">
        <f t="shared" si="64"/>
        <v>1</v>
      </c>
      <c r="D355" s="1245"/>
      <c r="E355" s="961">
        <f t="shared" si="65"/>
        <v>1</v>
      </c>
      <c r="F355" s="1245"/>
      <c r="G355" s="961">
        <f t="shared" si="66"/>
        <v>1</v>
      </c>
      <c r="H355" s="1245"/>
      <c r="I355" s="961">
        <f t="shared" si="67"/>
        <v>1</v>
      </c>
      <c r="J355" s="1245"/>
      <c r="K355" s="961">
        <f t="shared" si="68"/>
        <v>1</v>
      </c>
      <c r="L355" s="1245"/>
      <c r="M355" s="961">
        <f t="shared" si="69"/>
        <v>1</v>
      </c>
      <c r="N355" s="1245"/>
      <c r="O355" s="961">
        <f t="shared" si="70"/>
        <v>1</v>
      </c>
      <c r="P355" s="1245"/>
      <c r="Q355" s="961">
        <f t="shared" si="71"/>
        <v>1</v>
      </c>
      <c r="R355" s="961">
        <f t="shared" si="72"/>
        <v>0</v>
      </c>
      <c r="S355" s="935">
        <f t="shared" si="63"/>
        <v>0</v>
      </c>
    </row>
    <row r="356" spans="1:19">
      <c r="A356" s="1243"/>
      <c r="B356" s="1244"/>
      <c r="C356" s="961">
        <f t="shared" si="64"/>
        <v>1</v>
      </c>
      <c r="D356" s="1245"/>
      <c r="E356" s="961">
        <f t="shared" si="65"/>
        <v>1</v>
      </c>
      <c r="F356" s="1245"/>
      <c r="G356" s="961">
        <f t="shared" si="66"/>
        <v>1</v>
      </c>
      <c r="H356" s="1245"/>
      <c r="I356" s="961">
        <f t="shared" si="67"/>
        <v>1</v>
      </c>
      <c r="J356" s="1245"/>
      <c r="K356" s="961">
        <f t="shared" si="68"/>
        <v>1</v>
      </c>
      <c r="L356" s="1245"/>
      <c r="M356" s="961">
        <f t="shared" si="69"/>
        <v>1</v>
      </c>
      <c r="N356" s="1245"/>
      <c r="O356" s="961">
        <f t="shared" si="70"/>
        <v>1</v>
      </c>
      <c r="P356" s="1245"/>
      <c r="Q356" s="961">
        <f t="shared" si="71"/>
        <v>1</v>
      </c>
      <c r="R356" s="961">
        <f t="shared" si="72"/>
        <v>0</v>
      </c>
      <c r="S356" s="935">
        <f t="shared" si="63"/>
        <v>0</v>
      </c>
    </row>
    <row r="357" spans="1:19">
      <c r="A357" s="1243"/>
      <c r="B357" s="1244"/>
      <c r="C357" s="961">
        <f t="shared" si="64"/>
        <v>1</v>
      </c>
      <c r="D357" s="1245"/>
      <c r="E357" s="961">
        <f t="shared" si="65"/>
        <v>1</v>
      </c>
      <c r="F357" s="1245"/>
      <c r="G357" s="961">
        <f t="shared" si="66"/>
        <v>1</v>
      </c>
      <c r="H357" s="1245"/>
      <c r="I357" s="961">
        <f t="shared" si="67"/>
        <v>1</v>
      </c>
      <c r="J357" s="1245"/>
      <c r="K357" s="961">
        <f t="shared" si="68"/>
        <v>1</v>
      </c>
      <c r="L357" s="1245"/>
      <c r="M357" s="961">
        <f t="shared" si="69"/>
        <v>1</v>
      </c>
      <c r="N357" s="1245"/>
      <c r="O357" s="961">
        <f t="shared" si="70"/>
        <v>1</v>
      </c>
      <c r="P357" s="1245"/>
      <c r="Q357" s="961">
        <f t="shared" si="71"/>
        <v>1</v>
      </c>
      <c r="R357" s="961">
        <f t="shared" si="72"/>
        <v>0</v>
      </c>
      <c r="S357" s="935">
        <f t="shared" si="63"/>
        <v>0</v>
      </c>
    </row>
    <row r="358" spans="1:19">
      <c r="A358" s="1243"/>
      <c r="B358" s="1244"/>
      <c r="C358" s="961">
        <f t="shared" si="64"/>
        <v>1</v>
      </c>
      <c r="D358" s="1245"/>
      <c r="E358" s="961">
        <f t="shared" si="65"/>
        <v>1</v>
      </c>
      <c r="F358" s="1245"/>
      <c r="G358" s="961">
        <f t="shared" si="66"/>
        <v>1</v>
      </c>
      <c r="H358" s="1245"/>
      <c r="I358" s="961">
        <f t="shared" si="67"/>
        <v>1</v>
      </c>
      <c r="J358" s="1245"/>
      <c r="K358" s="961">
        <f t="shared" si="68"/>
        <v>1</v>
      </c>
      <c r="L358" s="1245"/>
      <c r="M358" s="961">
        <f t="shared" si="69"/>
        <v>1</v>
      </c>
      <c r="N358" s="1245"/>
      <c r="O358" s="961">
        <f t="shared" si="70"/>
        <v>1</v>
      </c>
      <c r="P358" s="1245"/>
      <c r="Q358" s="961">
        <f t="shared" si="71"/>
        <v>1</v>
      </c>
      <c r="R358" s="961">
        <f t="shared" si="72"/>
        <v>0</v>
      </c>
      <c r="S358" s="935">
        <f t="shared" si="63"/>
        <v>0</v>
      </c>
    </row>
    <row r="359" spans="1:19">
      <c r="A359" s="1243"/>
      <c r="B359" s="1244"/>
      <c r="C359" s="961">
        <f t="shared" si="64"/>
        <v>1</v>
      </c>
      <c r="D359" s="1245"/>
      <c r="E359" s="961">
        <f t="shared" si="65"/>
        <v>1</v>
      </c>
      <c r="F359" s="1245"/>
      <c r="G359" s="961">
        <f t="shared" si="66"/>
        <v>1</v>
      </c>
      <c r="H359" s="1245"/>
      <c r="I359" s="961">
        <f t="shared" si="67"/>
        <v>1</v>
      </c>
      <c r="J359" s="1245"/>
      <c r="K359" s="961">
        <f t="shared" si="68"/>
        <v>1</v>
      </c>
      <c r="L359" s="1245"/>
      <c r="M359" s="961">
        <f t="shared" si="69"/>
        <v>1</v>
      </c>
      <c r="N359" s="1245"/>
      <c r="O359" s="961">
        <f t="shared" si="70"/>
        <v>1</v>
      </c>
      <c r="P359" s="1245"/>
      <c r="Q359" s="961">
        <f t="shared" si="71"/>
        <v>1</v>
      </c>
      <c r="R359" s="961">
        <f t="shared" si="72"/>
        <v>0</v>
      </c>
      <c r="S359" s="935">
        <f t="shared" si="63"/>
        <v>0</v>
      </c>
    </row>
    <row r="360" spans="1:19">
      <c r="A360" s="1243"/>
      <c r="B360" s="1244"/>
      <c r="C360" s="961">
        <f t="shared" si="64"/>
        <v>1</v>
      </c>
      <c r="D360" s="1245"/>
      <c r="E360" s="961">
        <f t="shared" si="65"/>
        <v>1</v>
      </c>
      <c r="F360" s="1245"/>
      <c r="G360" s="961">
        <f t="shared" si="66"/>
        <v>1</v>
      </c>
      <c r="H360" s="1245"/>
      <c r="I360" s="961">
        <f t="shared" si="67"/>
        <v>1</v>
      </c>
      <c r="J360" s="1245"/>
      <c r="K360" s="961">
        <f t="shared" si="68"/>
        <v>1</v>
      </c>
      <c r="L360" s="1245"/>
      <c r="M360" s="961">
        <f t="shared" si="69"/>
        <v>1</v>
      </c>
      <c r="N360" s="1245"/>
      <c r="O360" s="961">
        <f t="shared" si="70"/>
        <v>1</v>
      </c>
      <c r="P360" s="1245"/>
      <c r="Q360" s="961">
        <f t="shared" si="71"/>
        <v>1</v>
      </c>
      <c r="R360" s="961">
        <f t="shared" si="72"/>
        <v>0</v>
      </c>
      <c r="S360" s="935">
        <f t="shared" si="63"/>
        <v>0</v>
      </c>
    </row>
    <row r="361" spans="1:19">
      <c r="A361" s="1243"/>
      <c r="B361" s="1244"/>
      <c r="C361" s="961">
        <f t="shared" si="64"/>
        <v>1</v>
      </c>
      <c r="D361" s="1245"/>
      <c r="E361" s="961">
        <f t="shared" si="65"/>
        <v>1</v>
      </c>
      <c r="F361" s="1245"/>
      <c r="G361" s="961">
        <f t="shared" si="66"/>
        <v>1</v>
      </c>
      <c r="H361" s="1245"/>
      <c r="I361" s="961">
        <f t="shared" si="67"/>
        <v>1</v>
      </c>
      <c r="J361" s="1245"/>
      <c r="K361" s="961">
        <f t="shared" si="68"/>
        <v>1</v>
      </c>
      <c r="L361" s="1245"/>
      <c r="M361" s="961">
        <f t="shared" si="69"/>
        <v>1</v>
      </c>
      <c r="N361" s="1245"/>
      <c r="O361" s="961">
        <f t="shared" si="70"/>
        <v>1</v>
      </c>
      <c r="P361" s="1245"/>
      <c r="Q361" s="961">
        <f t="shared" si="71"/>
        <v>1</v>
      </c>
      <c r="R361" s="961">
        <f t="shared" si="72"/>
        <v>0</v>
      </c>
      <c r="S361" s="935">
        <f t="shared" si="63"/>
        <v>0</v>
      </c>
    </row>
    <row r="362" spans="1:19">
      <c r="A362" s="1243"/>
      <c r="B362" s="1244"/>
      <c r="C362" s="961">
        <f t="shared" si="64"/>
        <v>1</v>
      </c>
      <c r="D362" s="1245"/>
      <c r="E362" s="961">
        <f t="shared" si="65"/>
        <v>1</v>
      </c>
      <c r="F362" s="1245"/>
      <c r="G362" s="961">
        <f t="shared" si="66"/>
        <v>1</v>
      </c>
      <c r="H362" s="1245"/>
      <c r="I362" s="961">
        <f t="shared" si="67"/>
        <v>1</v>
      </c>
      <c r="J362" s="1245"/>
      <c r="K362" s="961">
        <f t="shared" si="68"/>
        <v>1</v>
      </c>
      <c r="L362" s="1245"/>
      <c r="M362" s="961">
        <f t="shared" si="69"/>
        <v>1</v>
      </c>
      <c r="N362" s="1245"/>
      <c r="O362" s="961">
        <f t="shared" si="70"/>
        <v>1</v>
      </c>
      <c r="P362" s="1245"/>
      <c r="Q362" s="961">
        <f t="shared" si="71"/>
        <v>1</v>
      </c>
      <c r="R362" s="961">
        <f t="shared" si="72"/>
        <v>0</v>
      </c>
      <c r="S362" s="935">
        <f t="shared" si="63"/>
        <v>0</v>
      </c>
    </row>
    <row r="363" spans="1:19">
      <c r="A363" s="1243"/>
      <c r="B363" s="1244"/>
      <c r="C363" s="961">
        <f t="shared" si="64"/>
        <v>1</v>
      </c>
      <c r="D363" s="1245"/>
      <c r="E363" s="961">
        <f t="shared" si="65"/>
        <v>1</v>
      </c>
      <c r="F363" s="1245"/>
      <c r="G363" s="961">
        <f t="shared" si="66"/>
        <v>1</v>
      </c>
      <c r="H363" s="1245"/>
      <c r="I363" s="961">
        <f t="shared" si="67"/>
        <v>1</v>
      </c>
      <c r="J363" s="1245"/>
      <c r="K363" s="961">
        <f t="shared" si="68"/>
        <v>1</v>
      </c>
      <c r="L363" s="1245"/>
      <c r="M363" s="961">
        <f t="shared" si="69"/>
        <v>1</v>
      </c>
      <c r="N363" s="1245"/>
      <c r="O363" s="961">
        <f t="shared" si="70"/>
        <v>1</v>
      </c>
      <c r="P363" s="1245"/>
      <c r="Q363" s="961">
        <f t="shared" si="71"/>
        <v>1</v>
      </c>
      <c r="R363" s="961">
        <f t="shared" si="72"/>
        <v>0</v>
      </c>
      <c r="S363" s="935">
        <f t="shared" si="63"/>
        <v>0</v>
      </c>
    </row>
    <row r="364" spans="1:19">
      <c r="A364" s="1243"/>
      <c r="B364" s="1244"/>
      <c r="C364" s="961">
        <f t="shared" si="64"/>
        <v>1</v>
      </c>
      <c r="D364" s="1245"/>
      <c r="E364" s="961">
        <f t="shared" si="65"/>
        <v>1</v>
      </c>
      <c r="F364" s="1245"/>
      <c r="G364" s="961">
        <f t="shared" si="66"/>
        <v>1</v>
      </c>
      <c r="H364" s="1245"/>
      <c r="I364" s="961">
        <f t="shared" si="67"/>
        <v>1</v>
      </c>
      <c r="J364" s="1245"/>
      <c r="K364" s="961">
        <f t="shared" si="68"/>
        <v>1</v>
      </c>
      <c r="L364" s="1245"/>
      <c r="M364" s="961">
        <f t="shared" si="69"/>
        <v>1</v>
      </c>
      <c r="N364" s="1245"/>
      <c r="O364" s="961">
        <f t="shared" si="70"/>
        <v>1</v>
      </c>
      <c r="P364" s="1245"/>
      <c r="Q364" s="961">
        <f t="shared" si="71"/>
        <v>1</v>
      </c>
      <c r="R364" s="961">
        <f t="shared" si="72"/>
        <v>0</v>
      </c>
      <c r="S364" s="935">
        <f t="shared" si="63"/>
        <v>0</v>
      </c>
    </row>
    <row r="365" spans="1:19">
      <c r="A365" s="1243"/>
      <c r="B365" s="1244"/>
      <c r="C365" s="961">
        <f t="shared" si="64"/>
        <v>1</v>
      </c>
      <c r="D365" s="1245"/>
      <c r="E365" s="961">
        <f t="shared" si="65"/>
        <v>1</v>
      </c>
      <c r="F365" s="1245"/>
      <c r="G365" s="961">
        <f t="shared" si="66"/>
        <v>1</v>
      </c>
      <c r="H365" s="1245"/>
      <c r="I365" s="961">
        <f t="shared" si="67"/>
        <v>1</v>
      </c>
      <c r="J365" s="1245"/>
      <c r="K365" s="961">
        <f t="shared" si="68"/>
        <v>1</v>
      </c>
      <c r="L365" s="1245"/>
      <c r="M365" s="961">
        <f t="shared" si="69"/>
        <v>1</v>
      </c>
      <c r="N365" s="1245"/>
      <c r="O365" s="961">
        <f t="shared" si="70"/>
        <v>1</v>
      </c>
      <c r="P365" s="1245"/>
      <c r="Q365" s="961">
        <f t="shared" si="71"/>
        <v>1</v>
      </c>
      <c r="R365" s="961">
        <f t="shared" si="72"/>
        <v>0</v>
      </c>
      <c r="S365" s="935">
        <f t="shared" si="63"/>
        <v>0</v>
      </c>
    </row>
    <row r="366" spans="1:19">
      <c r="A366" s="1243"/>
      <c r="B366" s="1244"/>
      <c r="C366" s="961">
        <f t="shared" si="64"/>
        <v>1</v>
      </c>
      <c r="D366" s="1245"/>
      <c r="E366" s="961">
        <f t="shared" si="65"/>
        <v>1</v>
      </c>
      <c r="F366" s="1245"/>
      <c r="G366" s="961">
        <f t="shared" si="66"/>
        <v>1</v>
      </c>
      <c r="H366" s="1245"/>
      <c r="I366" s="961">
        <f t="shared" si="67"/>
        <v>1</v>
      </c>
      <c r="J366" s="1245"/>
      <c r="K366" s="961">
        <f t="shared" si="68"/>
        <v>1</v>
      </c>
      <c r="L366" s="1245"/>
      <c r="M366" s="961">
        <f t="shared" si="69"/>
        <v>1</v>
      </c>
      <c r="N366" s="1245"/>
      <c r="O366" s="961">
        <f t="shared" si="70"/>
        <v>1</v>
      </c>
      <c r="P366" s="1245"/>
      <c r="Q366" s="961">
        <f t="shared" si="71"/>
        <v>1</v>
      </c>
      <c r="R366" s="961">
        <f t="shared" si="72"/>
        <v>0</v>
      </c>
      <c r="S366" s="935">
        <f t="shared" si="63"/>
        <v>0</v>
      </c>
    </row>
    <row r="367" spans="1:19">
      <c r="A367" s="1243"/>
      <c r="B367" s="1244"/>
      <c r="C367" s="961">
        <f t="shared" si="64"/>
        <v>1</v>
      </c>
      <c r="D367" s="1245"/>
      <c r="E367" s="961">
        <f t="shared" si="65"/>
        <v>1</v>
      </c>
      <c r="F367" s="1245"/>
      <c r="G367" s="961">
        <f t="shared" si="66"/>
        <v>1</v>
      </c>
      <c r="H367" s="1245"/>
      <c r="I367" s="961">
        <f t="shared" si="67"/>
        <v>1</v>
      </c>
      <c r="J367" s="1245"/>
      <c r="K367" s="961">
        <f t="shared" si="68"/>
        <v>1</v>
      </c>
      <c r="L367" s="1245"/>
      <c r="M367" s="961">
        <f t="shared" si="69"/>
        <v>1</v>
      </c>
      <c r="N367" s="1245"/>
      <c r="O367" s="961">
        <f t="shared" si="70"/>
        <v>1</v>
      </c>
      <c r="P367" s="1245"/>
      <c r="Q367" s="961">
        <f t="shared" si="71"/>
        <v>1</v>
      </c>
      <c r="R367" s="961">
        <f t="shared" si="72"/>
        <v>0</v>
      </c>
      <c r="S367" s="935">
        <f t="shared" si="63"/>
        <v>0</v>
      </c>
    </row>
    <row r="368" spans="1:19">
      <c r="A368" s="1243"/>
      <c r="B368" s="1244"/>
      <c r="C368" s="961">
        <f t="shared" si="64"/>
        <v>1</v>
      </c>
      <c r="D368" s="1245"/>
      <c r="E368" s="961">
        <f t="shared" si="65"/>
        <v>1</v>
      </c>
      <c r="F368" s="1245"/>
      <c r="G368" s="961">
        <f t="shared" si="66"/>
        <v>1</v>
      </c>
      <c r="H368" s="1245"/>
      <c r="I368" s="961">
        <f t="shared" si="67"/>
        <v>1</v>
      </c>
      <c r="J368" s="1245"/>
      <c r="K368" s="961">
        <f t="shared" si="68"/>
        <v>1</v>
      </c>
      <c r="L368" s="1245"/>
      <c r="M368" s="961">
        <f t="shared" si="69"/>
        <v>1</v>
      </c>
      <c r="N368" s="1245"/>
      <c r="O368" s="961">
        <f t="shared" si="70"/>
        <v>1</v>
      </c>
      <c r="P368" s="1245"/>
      <c r="Q368" s="961">
        <f t="shared" si="71"/>
        <v>1</v>
      </c>
      <c r="R368" s="961">
        <f t="shared" si="72"/>
        <v>0</v>
      </c>
      <c r="S368" s="935">
        <f t="shared" si="63"/>
        <v>0</v>
      </c>
    </row>
    <row r="369" spans="1:19">
      <c r="A369" s="1243"/>
      <c r="B369" s="1244"/>
      <c r="C369" s="961">
        <f t="shared" si="64"/>
        <v>1</v>
      </c>
      <c r="D369" s="1245"/>
      <c r="E369" s="961">
        <f t="shared" si="65"/>
        <v>1</v>
      </c>
      <c r="F369" s="1245"/>
      <c r="G369" s="961">
        <f t="shared" si="66"/>
        <v>1</v>
      </c>
      <c r="H369" s="1245"/>
      <c r="I369" s="961">
        <f t="shared" si="67"/>
        <v>1</v>
      </c>
      <c r="J369" s="1245"/>
      <c r="K369" s="961">
        <f t="shared" si="68"/>
        <v>1</v>
      </c>
      <c r="L369" s="1245"/>
      <c r="M369" s="961">
        <f t="shared" si="69"/>
        <v>1</v>
      </c>
      <c r="N369" s="1245"/>
      <c r="O369" s="961">
        <f t="shared" si="70"/>
        <v>1</v>
      </c>
      <c r="P369" s="1245"/>
      <c r="Q369" s="961">
        <f t="shared" si="71"/>
        <v>1</v>
      </c>
      <c r="R369" s="961">
        <f t="shared" si="72"/>
        <v>0</v>
      </c>
      <c r="S369" s="935">
        <f t="shared" si="63"/>
        <v>0</v>
      </c>
    </row>
    <row r="370" spans="1:19">
      <c r="A370" s="1243"/>
      <c r="B370" s="1244"/>
      <c r="C370" s="961">
        <f t="shared" si="64"/>
        <v>1</v>
      </c>
      <c r="D370" s="1245"/>
      <c r="E370" s="961">
        <f t="shared" si="65"/>
        <v>1</v>
      </c>
      <c r="F370" s="1245"/>
      <c r="G370" s="961">
        <f t="shared" si="66"/>
        <v>1</v>
      </c>
      <c r="H370" s="1245"/>
      <c r="I370" s="961">
        <f t="shared" si="67"/>
        <v>1</v>
      </c>
      <c r="J370" s="1245"/>
      <c r="K370" s="961">
        <f t="shared" si="68"/>
        <v>1</v>
      </c>
      <c r="L370" s="1245"/>
      <c r="M370" s="961">
        <f t="shared" si="69"/>
        <v>1</v>
      </c>
      <c r="N370" s="1245"/>
      <c r="O370" s="961">
        <f t="shared" si="70"/>
        <v>1</v>
      </c>
      <c r="P370" s="1245"/>
      <c r="Q370" s="961">
        <f t="shared" si="71"/>
        <v>1</v>
      </c>
      <c r="R370" s="961">
        <f t="shared" si="72"/>
        <v>0</v>
      </c>
      <c r="S370" s="935">
        <f t="shared" si="63"/>
        <v>0</v>
      </c>
    </row>
    <row r="371" spans="1:19">
      <c r="A371" s="1243"/>
      <c r="B371" s="1244"/>
      <c r="C371" s="961">
        <f t="shared" si="64"/>
        <v>1</v>
      </c>
      <c r="D371" s="1245"/>
      <c r="E371" s="961">
        <f t="shared" si="65"/>
        <v>1</v>
      </c>
      <c r="F371" s="1245"/>
      <c r="G371" s="961">
        <f t="shared" si="66"/>
        <v>1</v>
      </c>
      <c r="H371" s="1245"/>
      <c r="I371" s="961">
        <f t="shared" si="67"/>
        <v>1</v>
      </c>
      <c r="J371" s="1245"/>
      <c r="K371" s="961">
        <f t="shared" si="68"/>
        <v>1</v>
      </c>
      <c r="L371" s="1245"/>
      <c r="M371" s="961">
        <f t="shared" si="69"/>
        <v>1</v>
      </c>
      <c r="N371" s="1245"/>
      <c r="O371" s="961">
        <f t="shared" si="70"/>
        <v>1</v>
      </c>
      <c r="P371" s="1245"/>
      <c r="Q371" s="961">
        <f t="shared" si="71"/>
        <v>1</v>
      </c>
      <c r="R371" s="961">
        <f t="shared" si="72"/>
        <v>0</v>
      </c>
      <c r="S371" s="935">
        <f t="shared" si="63"/>
        <v>0</v>
      </c>
    </row>
    <row r="372" spans="1:19">
      <c r="A372" s="1243"/>
      <c r="B372" s="1244"/>
      <c r="C372" s="961">
        <f t="shared" si="64"/>
        <v>1</v>
      </c>
      <c r="D372" s="1245"/>
      <c r="E372" s="961">
        <f t="shared" si="65"/>
        <v>1</v>
      </c>
      <c r="F372" s="1245"/>
      <c r="G372" s="961">
        <f t="shared" si="66"/>
        <v>1</v>
      </c>
      <c r="H372" s="1245"/>
      <c r="I372" s="961">
        <f t="shared" si="67"/>
        <v>1</v>
      </c>
      <c r="J372" s="1245"/>
      <c r="K372" s="961">
        <f t="shared" si="68"/>
        <v>1</v>
      </c>
      <c r="L372" s="1245"/>
      <c r="M372" s="961">
        <f t="shared" si="69"/>
        <v>1</v>
      </c>
      <c r="N372" s="1245"/>
      <c r="O372" s="961">
        <f t="shared" si="70"/>
        <v>1</v>
      </c>
      <c r="P372" s="1245"/>
      <c r="Q372" s="961">
        <f t="shared" si="71"/>
        <v>1</v>
      </c>
      <c r="R372" s="961">
        <f t="shared" si="72"/>
        <v>0</v>
      </c>
      <c r="S372" s="935">
        <f t="shared" si="63"/>
        <v>0</v>
      </c>
    </row>
    <row r="373" spans="1:19">
      <c r="A373" s="1243"/>
      <c r="B373" s="1244"/>
      <c r="C373" s="961">
        <f t="shared" si="64"/>
        <v>1</v>
      </c>
      <c r="D373" s="1245"/>
      <c r="E373" s="961">
        <f t="shared" si="65"/>
        <v>1</v>
      </c>
      <c r="F373" s="1245"/>
      <c r="G373" s="961">
        <f t="shared" si="66"/>
        <v>1</v>
      </c>
      <c r="H373" s="1245"/>
      <c r="I373" s="961">
        <f t="shared" si="67"/>
        <v>1</v>
      </c>
      <c r="J373" s="1245"/>
      <c r="K373" s="961">
        <f t="shared" si="68"/>
        <v>1</v>
      </c>
      <c r="L373" s="1245"/>
      <c r="M373" s="961">
        <f t="shared" si="69"/>
        <v>1</v>
      </c>
      <c r="N373" s="1245"/>
      <c r="O373" s="961">
        <f t="shared" si="70"/>
        <v>1</v>
      </c>
      <c r="P373" s="1245"/>
      <c r="Q373" s="961">
        <f t="shared" si="71"/>
        <v>1</v>
      </c>
      <c r="R373" s="961">
        <f t="shared" si="72"/>
        <v>0</v>
      </c>
      <c r="S373" s="935">
        <f t="shared" si="63"/>
        <v>0</v>
      </c>
    </row>
    <row r="374" spans="1:19">
      <c r="A374" s="1243"/>
      <c r="B374" s="1244"/>
      <c r="C374" s="961">
        <f t="shared" si="64"/>
        <v>1</v>
      </c>
      <c r="D374" s="1245"/>
      <c r="E374" s="961">
        <f t="shared" si="65"/>
        <v>1</v>
      </c>
      <c r="F374" s="1245"/>
      <c r="G374" s="961">
        <f t="shared" si="66"/>
        <v>1</v>
      </c>
      <c r="H374" s="1245"/>
      <c r="I374" s="961">
        <f t="shared" si="67"/>
        <v>1</v>
      </c>
      <c r="J374" s="1245"/>
      <c r="K374" s="961">
        <f t="shared" si="68"/>
        <v>1</v>
      </c>
      <c r="L374" s="1245"/>
      <c r="M374" s="961">
        <f t="shared" si="69"/>
        <v>1</v>
      </c>
      <c r="N374" s="1245"/>
      <c r="O374" s="961">
        <f t="shared" si="70"/>
        <v>1</v>
      </c>
      <c r="P374" s="1245"/>
      <c r="Q374" s="961">
        <f t="shared" si="71"/>
        <v>1</v>
      </c>
      <c r="R374" s="961">
        <f t="shared" si="72"/>
        <v>0</v>
      </c>
      <c r="S374" s="935">
        <f t="shared" si="63"/>
        <v>0</v>
      </c>
    </row>
    <row r="375" spans="1:19">
      <c r="A375" s="1243"/>
      <c r="B375" s="1244"/>
      <c r="C375" s="961">
        <f t="shared" si="64"/>
        <v>1</v>
      </c>
      <c r="D375" s="1245"/>
      <c r="E375" s="961">
        <f t="shared" si="65"/>
        <v>1</v>
      </c>
      <c r="F375" s="1245"/>
      <c r="G375" s="961">
        <f t="shared" si="66"/>
        <v>1</v>
      </c>
      <c r="H375" s="1245"/>
      <c r="I375" s="961">
        <f t="shared" si="67"/>
        <v>1</v>
      </c>
      <c r="J375" s="1245"/>
      <c r="K375" s="961">
        <f t="shared" si="68"/>
        <v>1</v>
      </c>
      <c r="L375" s="1245"/>
      <c r="M375" s="961">
        <f t="shared" si="69"/>
        <v>1</v>
      </c>
      <c r="N375" s="1245"/>
      <c r="O375" s="961">
        <f t="shared" si="70"/>
        <v>1</v>
      </c>
      <c r="P375" s="1245"/>
      <c r="Q375" s="961">
        <f t="shared" si="71"/>
        <v>1</v>
      </c>
      <c r="R375" s="961">
        <f t="shared" si="72"/>
        <v>0</v>
      </c>
      <c r="S375" s="935">
        <f t="shared" si="63"/>
        <v>0</v>
      </c>
    </row>
    <row r="376" spans="1:19">
      <c r="A376" s="1243"/>
      <c r="B376" s="1244"/>
      <c r="C376" s="961">
        <f t="shared" si="64"/>
        <v>1</v>
      </c>
      <c r="D376" s="1245"/>
      <c r="E376" s="961">
        <f t="shared" si="65"/>
        <v>1</v>
      </c>
      <c r="F376" s="1245"/>
      <c r="G376" s="961">
        <f t="shared" si="66"/>
        <v>1</v>
      </c>
      <c r="H376" s="1245"/>
      <c r="I376" s="961">
        <f t="shared" si="67"/>
        <v>1</v>
      </c>
      <c r="J376" s="1245"/>
      <c r="K376" s="961">
        <f t="shared" si="68"/>
        <v>1</v>
      </c>
      <c r="L376" s="1245"/>
      <c r="M376" s="961">
        <f t="shared" si="69"/>
        <v>1</v>
      </c>
      <c r="N376" s="1245"/>
      <c r="O376" s="961">
        <f t="shared" si="70"/>
        <v>1</v>
      </c>
      <c r="P376" s="1245"/>
      <c r="Q376" s="961">
        <f t="shared" si="71"/>
        <v>1</v>
      </c>
      <c r="R376" s="961">
        <f t="shared" si="72"/>
        <v>0</v>
      </c>
      <c r="S376" s="935">
        <f t="shared" si="63"/>
        <v>0</v>
      </c>
    </row>
    <row r="377" spans="1:19">
      <c r="A377" s="1243"/>
      <c r="B377" s="1244"/>
      <c r="C377" s="961">
        <f t="shared" si="64"/>
        <v>1</v>
      </c>
      <c r="D377" s="1245"/>
      <c r="E377" s="961">
        <f t="shared" si="65"/>
        <v>1</v>
      </c>
      <c r="F377" s="1245"/>
      <c r="G377" s="961">
        <f t="shared" si="66"/>
        <v>1</v>
      </c>
      <c r="H377" s="1245"/>
      <c r="I377" s="961">
        <f t="shared" si="67"/>
        <v>1</v>
      </c>
      <c r="J377" s="1245"/>
      <c r="K377" s="961">
        <f t="shared" si="68"/>
        <v>1</v>
      </c>
      <c r="L377" s="1245"/>
      <c r="M377" s="961">
        <f t="shared" si="69"/>
        <v>1</v>
      </c>
      <c r="N377" s="1245"/>
      <c r="O377" s="961">
        <f t="shared" si="70"/>
        <v>1</v>
      </c>
      <c r="P377" s="1245"/>
      <c r="Q377" s="961">
        <f t="shared" si="71"/>
        <v>1</v>
      </c>
      <c r="R377" s="961">
        <f t="shared" si="72"/>
        <v>0</v>
      </c>
      <c r="S377" s="935">
        <f t="shared" si="63"/>
        <v>0</v>
      </c>
    </row>
    <row r="378" spans="1:19">
      <c r="A378" s="1243"/>
      <c r="B378" s="1244"/>
      <c r="C378" s="961">
        <f t="shared" si="64"/>
        <v>1</v>
      </c>
      <c r="D378" s="1245"/>
      <c r="E378" s="961">
        <f t="shared" si="65"/>
        <v>1</v>
      </c>
      <c r="F378" s="1245"/>
      <c r="G378" s="961">
        <f t="shared" si="66"/>
        <v>1</v>
      </c>
      <c r="H378" s="1245"/>
      <c r="I378" s="961">
        <f t="shared" si="67"/>
        <v>1</v>
      </c>
      <c r="J378" s="1245"/>
      <c r="K378" s="961">
        <f t="shared" si="68"/>
        <v>1</v>
      </c>
      <c r="L378" s="1245"/>
      <c r="M378" s="961">
        <f t="shared" si="69"/>
        <v>1</v>
      </c>
      <c r="N378" s="1245"/>
      <c r="O378" s="961">
        <f t="shared" si="70"/>
        <v>1</v>
      </c>
      <c r="P378" s="1245"/>
      <c r="Q378" s="961">
        <f t="shared" si="71"/>
        <v>1</v>
      </c>
      <c r="R378" s="961">
        <f t="shared" si="72"/>
        <v>0</v>
      </c>
      <c r="S378" s="935">
        <f t="shared" si="63"/>
        <v>0</v>
      </c>
    </row>
    <row r="379" spans="1:19">
      <c r="A379" s="1243"/>
      <c r="B379" s="1244"/>
      <c r="C379" s="961">
        <f t="shared" si="64"/>
        <v>1</v>
      </c>
      <c r="D379" s="1245"/>
      <c r="E379" s="961">
        <f t="shared" si="65"/>
        <v>1</v>
      </c>
      <c r="F379" s="1245"/>
      <c r="G379" s="961">
        <f t="shared" si="66"/>
        <v>1</v>
      </c>
      <c r="H379" s="1245"/>
      <c r="I379" s="961">
        <f t="shared" si="67"/>
        <v>1</v>
      </c>
      <c r="J379" s="1245"/>
      <c r="K379" s="961">
        <f t="shared" si="68"/>
        <v>1</v>
      </c>
      <c r="L379" s="1245"/>
      <c r="M379" s="961">
        <f t="shared" si="69"/>
        <v>1</v>
      </c>
      <c r="N379" s="1245"/>
      <c r="O379" s="961">
        <f t="shared" si="70"/>
        <v>1</v>
      </c>
      <c r="P379" s="1245"/>
      <c r="Q379" s="961">
        <f t="shared" si="71"/>
        <v>1</v>
      </c>
      <c r="R379" s="961">
        <f t="shared" si="72"/>
        <v>0</v>
      </c>
      <c r="S379" s="935">
        <f t="shared" si="63"/>
        <v>0</v>
      </c>
    </row>
    <row r="380" spans="1:19">
      <c r="A380" s="1243"/>
      <c r="B380" s="1244"/>
      <c r="C380" s="961">
        <f t="shared" si="64"/>
        <v>1</v>
      </c>
      <c r="D380" s="1245"/>
      <c r="E380" s="961">
        <f t="shared" si="65"/>
        <v>1</v>
      </c>
      <c r="F380" s="1245"/>
      <c r="G380" s="961">
        <f t="shared" si="66"/>
        <v>1</v>
      </c>
      <c r="H380" s="1245"/>
      <c r="I380" s="961">
        <f t="shared" si="67"/>
        <v>1</v>
      </c>
      <c r="J380" s="1245"/>
      <c r="K380" s="961">
        <f t="shared" si="68"/>
        <v>1</v>
      </c>
      <c r="L380" s="1245"/>
      <c r="M380" s="961">
        <f t="shared" si="69"/>
        <v>1</v>
      </c>
      <c r="N380" s="1245"/>
      <c r="O380" s="961">
        <f t="shared" si="70"/>
        <v>1</v>
      </c>
      <c r="P380" s="1245"/>
      <c r="Q380" s="961">
        <f t="shared" si="71"/>
        <v>1</v>
      </c>
      <c r="R380" s="961">
        <f t="shared" si="72"/>
        <v>0</v>
      </c>
      <c r="S380" s="935">
        <f t="shared" si="63"/>
        <v>0</v>
      </c>
    </row>
    <row r="381" spans="1:19">
      <c r="A381" s="1243"/>
      <c r="B381" s="1244"/>
      <c r="C381" s="961">
        <f t="shared" si="64"/>
        <v>1</v>
      </c>
      <c r="D381" s="1245"/>
      <c r="E381" s="961">
        <f t="shared" si="65"/>
        <v>1</v>
      </c>
      <c r="F381" s="1245"/>
      <c r="G381" s="961">
        <f t="shared" si="66"/>
        <v>1</v>
      </c>
      <c r="H381" s="1245"/>
      <c r="I381" s="961">
        <f t="shared" si="67"/>
        <v>1</v>
      </c>
      <c r="J381" s="1245"/>
      <c r="K381" s="961">
        <f t="shared" si="68"/>
        <v>1</v>
      </c>
      <c r="L381" s="1245"/>
      <c r="M381" s="961">
        <f t="shared" si="69"/>
        <v>1</v>
      </c>
      <c r="N381" s="1245"/>
      <c r="O381" s="961">
        <f t="shared" si="70"/>
        <v>1</v>
      </c>
      <c r="P381" s="1245"/>
      <c r="Q381" s="961">
        <f t="shared" si="71"/>
        <v>1</v>
      </c>
      <c r="R381" s="961">
        <f t="shared" si="72"/>
        <v>0</v>
      </c>
      <c r="S381" s="935">
        <f t="shared" si="63"/>
        <v>0</v>
      </c>
    </row>
    <row r="382" spans="1:19">
      <c r="A382" s="1243"/>
      <c r="B382" s="1244"/>
      <c r="C382" s="961">
        <f t="shared" si="64"/>
        <v>1</v>
      </c>
      <c r="D382" s="1245"/>
      <c r="E382" s="961">
        <f t="shared" si="65"/>
        <v>1</v>
      </c>
      <c r="F382" s="1245"/>
      <c r="G382" s="961">
        <f t="shared" si="66"/>
        <v>1</v>
      </c>
      <c r="H382" s="1245"/>
      <c r="I382" s="961">
        <f t="shared" si="67"/>
        <v>1</v>
      </c>
      <c r="J382" s="1245"/>
      <c r="K382" s="961">
        <f t="shared" si="68"/>
        <v>1</v>
      </c>
      <c r="L382" s="1245"/>
      <c r="M382" s="961">
        <f t="shared" si="69"/>
        <v>1</v>
      </c>
      <c r="N382" s="1245"/>
      <c r="O382" s="961">
        <f t="shared" si="70"/>
        <v>1</v>
      </c>
      <c r="P382" s="1245"/>
      <c r="Q382" s="961">
        <f t="shared" si="71"/>
        <v>1</v>
      </c>
      <c r="R382" s="961">
        <f t="shared" si="72"/>
        <v>0</v>
      </c>
      <c r="S382" s="935">
        <f t="shared" si="63"/>
        <v>0</v>
      </c>
    </row>
    <row r="383" spans="1:19">
      <c r="A383" s="1243"/>
      <c r="B383" s="1244"/>
      <c r="C383" s="961">
        <f t="shared" si="64"/>
        <v>1</v>
      </c>
      <c r="D383" s="1245"/>
      <c r="E383" s="961">
        <f t="shared" si="65"/>
        <v>1</v>
      </c>
      <c r="F383" s="1245"/>
      <c r="G383" s="961">
        <f t="shared" si="66"/>
        <v>1</v>
      </c>
      <c r="H383" s="1245"/>
      <c r="I383" s="961">
        <f t="shared" si="67"/>
        <v>1</v>
      </c>
      <c r="J383" s="1245"/>
      <c r="K383" s="961">
        <f t="shared" si="68"/>
        <v>1</v>
      </c>
      <c r="L383" s="1245"/>
      <c r="M383" s="961">
        <f t="shared" si="69"/>
        <v>1</v>
      </c>
      <c r="N383" s="1245"/>
      <c r="O383" s="961">
        <f t="shared" si="70"/>
        <v>1</v>
      </c>
      <c r="P383" s="1245"/>
      <c r="Q383" s="961">
        <f t="shared" si="71"/>
        <v>1</v>
      </c>
      <c r="R383" s="961">
        <f t="shared" si="72"/>
        <v>0</v>
      </c>
      <c r="S383" s="935">
        <f t="shared" si="63"/>
        <v>0</v>
      </c>
    </row>
    <row r="384" spans="1:19">
      <c r="A384" s="1243"/>
      <c r="B384" s="1244"/>
      <c r="C384" s="961">
        <f t="shared" si="64"/>
        <v>1</v>
      </c>
      <c r="D384" s="1245"/>
      <c r="E384" s="961">
        <f t="shared" si="65"/>
        <v>1</v>
      </c>
      <c r="F384" s="1245"/>
      <c r="G384" s="961">
        <f t="shared" si="66"/>
        <v>1</v>
      </c>
      <c r="H384" s="1245"/>
      <c r="I384" s="961">
        <f t="shared" si="67"/>
        <v>1</v>
      </c>
      <c r="J384" s="1245"/>
      <c r="K384" s="961">
        <f t="shared" si="68"/>
        <v>1</v>
      </c>
      <c r="L384" s="1245"/>
      <c r="M384" s="961">
        <f t="shared" si="69"/>
        <v>1</v>
      </c>
      <c r="N384" s="1245"/>
      <c r="O384" s="961">
        <f t="shared" si="70"/>
        <v>1</v>
      </c>
      <c r="P384" s="1245"/>
      <c r="Q384" s="961">
        <f t="shared" si="71"/>
        <v>1</v>
      </c>
      <c r="R384" s="961">
        <f t="shared" si="72"/>
        <v>0</v>
      </c>
      <c r="S384" s="935">
        <f t="shared" si="63"/>
        <v>0</v>
      </c>
    </row>
    <row r="385" spans="1:19">
      <c r="A385" s="1243"/>
      <c r="B385" s="1244"/>
      <c r="C385" s="961">
        <f t="shared" si="64"/>
        <v>1</v>
      </c>
      <c r="D385" s="1245"/>
      <c r="E385" s="961">
        <f t="shared" si="65"/>
        <v>1</v>
      </c>
      <c r="F385" s="1245"/>
      <c r="G385" s="961">
        <f t="shared" si="66"/>
        <v>1</v>
      </c>
      <c r="H385" s="1245"/>
      <c r="I385" s="961">
        <f t="shared" si="67"/>
        <v>1</v>
      </c>
      <c r="J385" s="1245"/>
      <c r="K385" s="961">
        <f t="shared" si="68"/>
        <v>1</v>
      </c>
      <c r="L385" s="1245"/>
      <c r="M385" s="961">
        <f t="shared" si="69"/>
        <v>1</v>
      </c>
      <c r="N385" s="1245"/>
      <c r="O385" s="961">
        <f t="shared" si="70"/>
        <v>1</v>
      </c>
      <c r="P385" s="1245"/>
      <c r="Q385" s="961">
        <f t="shared" si="71"/>
        <v>1</v>
      </c>
      <c r="R385" s="961">
        <f t="shared" si="72"/>
        <v>0</v>
      </c>
      <c r="S385" s="935">
        <f t="shared" ref="S385:S422" si="73">ROUND(R385*B385/10000,0)</f>
        <v>0</v>
      </c>
    </row>
    <row r="386" spans="1:19">
      <c r="A386" s="1243"/>
      <c r="B386" s="1244"/>
      <c r="C386" s="961">
        <f t="shared" si="64"/>
        <v>1</v>
      </c>
      <c r="D386" s="1245"/>
      <c r="E386" s="961">
        <f t="shared" si="65"/>
        <v>1</v>
      </c>
      <c r="F386" s="1245"/>
      <c r="G386" s="961">
        <f t="shared" si="66"/>
        <v>1</v>
      </c>
      <c r="H386" s="1245"/>
      <c r="I386" s="961">
        <f t="shared" si="67"/>
        <v>1</v>
      </c>
      <c r="J386" s="1245"/>
      <c r="K386" s="961">
        <f t="shared" si="68"/>
        <v>1</v>
      </c>
      <c r="L386" s="1245"/>
      <c r="M386" s="961">
        <f t="shared" si="69"/>
        <v>1</v>
      </c>
      <c r="N386" s="1245"/>
      <c r="O386" s="961">
        <f t="shared" si="70"/>
        <v>1</v>
      </c>
      <c r="P386" s="1245"/>
      <c r="Q386" s="961">
        <f t="shared" si="71"/>
        <v>1</v>
      </c>
      <c r="R386" s="961">
        <f t="shared" si="72"/>
        <v>0</v>
      </c>
      <c r="S386" s="935">
        <f t="shared" si="73"/>
        <v>0</v>
      </c>
    </row>
    <row r="387" spans="1:19">
      <c r="A387" s="1243"/>
      <c r="B387" s="1244"/>
      <c r="C387" s="961">
        <f t="shared" si="64"/>
        <v>1</v>
      </c>
      <c r="D387" s="1245"/>
      <c r="E387" s="961">
        <f t="shared" si="65"/>
        <v>1</v>
      </c>
      <c r="F387" s="1245"/>
      <c r="G387" s="961">
        <f t="shared" si="66"/>
        <v>1</v>
      </c>
      <c r="H387" s="1245"/>
      <c r="I387" s="961">
        <f t="shared" si="67"/>
        <v>1</v>
      </c>
      <c r="J387" s="1245"/>
      <c r="K387" s="961">
        <f t="shared" si="68"/>
        <v>1</v>
      </c>
      <c r="L387" s="1245"/>
      <c r="M387" s="961">
        <f t="shared" si="69"/>
        <v>1</v>
      </c>
      <c r="N387" s="1245"/>
      <c r="O387" s="961">
        <f t="shared" si="70"/>
        <v>1</v>
      </c>
      <c r="P387" s="1245"/>
      <c r="Q387" s="961">
        <f t="shared" si="71"/>
        <v>1</v>
      </c>
      <c r="R387" s="961">
        <f t="shared" si="72"/>
        <v>0</v>
      </c>
      <c r="S387" s="935">
        <f t="shared" si="73"/>
        <v>0</v>
      </c>
    </row>
    <row r="388" spans="1:19">
      <c r="A388" s="1243"/>
      <c r="B388" s="1244"/>
      <c r="C388" s="961">
        <f t="shared" si="64"/>
        <v>1</v>
      </c>
      <c r="D388" s="1245"/>
      <c r="E388" s="961">
        <f t="shared" si="65"/>
        <v>1</v>
      </c>
      <c r="F388" s="1245"/>
      <c r="G388" s="961">
        <f t="shared" si="66"/>
        <v>1</v>
      </c>
      <c r="H388" s="1245"/>
      <c r="I388" s="961">
        <f t="shared" si="67"/>
        <v>1</v>
      </c>
      <c r="J388" s="1245"/>
      <c r="K388" s="961">
        <f t="shared" si="68"/>
        <v>1</v>
      </c>
      <c r="L388" s="1245"/>
      <c r="M388" s="961">
        <f t="shared" si="69"/>
        <v>1</v>
      </c>
      <c r="N388" s="1245"/>
      <c r="O388" s="961">
        <f t="shared" si="70"/>
        <v>1</v>
      </c>
      <c r="P388" s="1245"/>
      <c r="Q388" s="961">
        <f t="shared" si="71"/>
        <v>1</v>
      </c>
      <c r="R388" s="961">
        <f t="shared" si="72"/>
        <v>0</v>
      </c>
      <c r="S388" s="935">
        <f t="shared" si="73"/>
        <v>0</v>
      </c>
    </row>
    <row r="389" spans="1:19">
      <c r="A389" s="1243"/>
      <c r="B389" s="1244"/>
      <c r="C389" s="961">
        <f t="shared" si="64"/>
        <v>1</v>
      </c>
      <c r="D389" s="1245"/>
      <c r="E389" s="961">
        <f t="shared" si="65"/>
        <v>1</v>
      </c>
      <c r="F389" s="1245"/>
      <c r="G389" s="961">
        <f t="shared" si="66"/>
        <v>1</v>
      </c>
      <c r="H389" s="1245"/>
      <c r="I389" s="961">
        <f t="shared" si="67"/>
        <v>1</v>
      </c>
      <c r="J389" s="1245"/>
      <c r="K389" s="961">
        <f t="shared" si="68"/>
        <v>1</v>
      </c>
      <c r="L389" s="1245"/>
      <c r="M389" s="961">
        <f t="shared" si="69"/>
        <v>1</v>
      </c>
      <c r="N389" s="1245"/>
      <c r="O389" s="961">
        <f t="shared" si="70"/>
        <v>1</v>
      </c>
      <c r="P389" s="1245"/>
      <c r="Q389" s="961">
        <f t="shared" si="71"/>
        <v>1</v>
      </c>
      <c r="R389" s="961">
        <f t="shared" si="72"/>
        <v>0</v>
      </c>
      <c r="S389" s="935">
        <f t="shared" si="73"/>
        <v>0</v>
      </c>
    </row>
    <row r="390" spans="1:19">
      <c r="A390" s="1243"/>
      <c r="B390" s="1244"/>
      <c r="C390" s="961">
        <f t="shared" si="64"/>
        <v>1</v>
      </c>
      <c r="D390" s="1245"/>
      <c r="E390" s="961">
        <f t="shared" si="65"/>
        <v>1</v>
      </c>
      <c r="F390" s="1245"/>
      <c r="G390" s="961">
        <f t="shared" si="66"/>
        <v>1</v>
      </c>
      <c r="H390" s="1245"/>
      <c r="I390" s="961">
        <f t="shared" si="67"/>
        <v>1</v>
      </c>
      <c r="J390" s="1245"/>
      <c r="K390" s="961">
        <f t="shared" si="68"/>
        <v>1</v>
      </c>
      <c r="L390" s="1245"/>
      <c r="M390" s="961">
        <f t="shared" si="69"/>
        <v>1</v>
      </c>
      <c r="N390" s="1245"/>
      <c r="O390" s="961">
        <f t="shared" si="70"/>
        <v>1</v>
      </c>
      <c r="P390" s="1245"/>
      <c r="Q390" s="961">
        <f t="shared" si="71"/>
        <v>1</v>
      </c>
      <c r="R390" s="961">
        <f t="shared" si="72"/>
        <v>0</v>
      </c>
      <c r="S390" s="935">
        <f t="shared" si="73"/>
        <v>0</v>
      </c>
    </row>
    <row r="391" spans="1:19">
      <c r="A391" s="1243"/>
      <c r="B391" s="1244"/>
      <c r="C391" s="961">
        <f t="shared" si="64"/>
        <v>1</v>
      </c>
      <c r="D391" s="1245"/>
      <c r="E391" s="961">
        <f t="shared" si="65"/>
        <v>1</v>
      </c>
      <c r="F391" s="1245"/>
      <c r="G391" s="961">
        <f t="shared" si="66"/>
        <v>1</v>
      </c>
      <c r="H391" s="1245"/>
      <c r="I391" s="961">
        <f t="shared" si="67"/>
        <v>1</v>
      </c>
      <c r="J391" s="1245"/>
      <c r="K391" s="961">
        <f t="shared" si="68"/>
        <v>1</v>
      </c>
      <c r="L391" s="1245"/>
      <c r="M391" s="961">
        <f t="shared" si="69"/>
        <v>1</v>
      </c>
      <c r="N391" s="1245"/>
      <c r="O391" s="961">
        <f t="shared" si="70"/>
        <v>1</v>
      </c>
      <c r="P391" s="1245"/>
      <c r="Q391" s="961">
        <f t="shared" si="71"/>
        <v>1</v>
      </c>
      <c r="R391" s="961">
        <f t="shared" si="72"/>
        <v>0</v>
      </c>
      <c r="S391" s="935">
        <f t="shared" si="73"/>
        <v>0</v>
      </c>
    </row>
    <row r="392" spans="1:19">
      <c r="A392" s="1243"/>
      <c r="B392" s="1244"/>
      <c r="C392" s="961">
        <f t="shared" si="64"/>
        <v>1</v>
      </c>
      <c r="D392" s="1245"/>
      <c r="E392" s="961">
        <f t="shared" si="65"/>
        <v>1</v>
      </c>
      <c r="F392" s="1245"/>
      <c r="G392" s="961">
        <f t="shared" si="66"/>
        <v>1</v>
      </c>
      <c r="H392" s="1245"/>
      <c r="I392" s="961">
        <f t="shared" si="67"/>
        <v>1</v>
      </c>
      <c r="J392" s="1245"/>
      <c r="K392" s="961">
        <f t="shared" si="68"/>
        <v>1</v>
      </c>
      <c r="L392" s="1245"/>
      <c r="M392" s="961">
        <f t="shared" si="69"/>
        <v>1</v>
      </c>
      <c r="N392" s="1245"/>
      <c r="O392" s="961">
        <f t="shared" si="70"/>
        <v>1</v>
      </c>
      <c r="P392" s="1245"/>
      <c r="Q392" s="961">
        <f t="shared" si="71"/>
        <v>1</v>
      </c>
      <c r="R392" s="961">
        <f t="shared" si="72"/>
        <v>0</v>
      </c>
      <c r="S392" s="935">
        <f t="shared" si="73"/>
        <v>0</v>
      </c>
    </row>
    <row r="393" spans="1:19">
      <c r="A393" s="1243"/>
      <c r="B393" s="1244"/>
      <c r="C393" s="961">
        <f t="shared" si="64"/>
        <v>1</v>
      </c>
      <c r="D393" s="1245"/>
      <c r="E393" s="961">
        <f t="shared" si="65"/>
        <v>1</v>
      </c>
      <c r="F393" s="1245"/>
      <c r="G393" s="961">
        <f t="shared" si="66"/>
        <v>1</v>
      </c>
      <c r="H393" s="1245"/>
      <c r="I393" s="961">
        <f t="shared" si="67"/>
        <v>1</v>
      </c>
      <c r="J393" s="1245"/>
      <c r="K393" s="961">
        <f t="shared" si="68"/>
        <v>1</v>
      </c>
      <c r="L393" s="1245"/>
      <c r="M393" s="961">
        <f t="shared" si="69"/>
        <v>1</v>
      </c>
      <c r="N393" s="1245"/>
      <c r="O393" s="961">
        <f t="shared" si="70"/>
        <v>1</v>
      </c>
      <c r="P393" s="1245"/>
      <c r="Q393" s="961">
        <f t="shared" si="71"/>
        <v>1</v>
      </c>
      <c r="R393" s="961">
        <f t="shared" si="72"/>
        <v>0</v>
      </c>
      <c r="S393" s="935">
        <f t="shared" si="73"/>
        <v>0</v>
      </c>
    </row>
    <row r="394" spans="1:19">
      <c r="A394" s="1243"/>
      <c r="B394" s="1244"/>
      <c r="C394" s="961">
        <f t="shared" si="64"/>
        <v>1</v>
      </c>
      <c r="D394" s="1245"/>
      <c r="E394" s="961">
        <f t="shared" si="65"/>
        <v>1</v>
      </c>
      <c r="F394" s="1245"/>
      <c r="G394" s="961">
        <f t="shared" si="66"/>
        <v>1</v>
      </c>
      <c r="H394" s="1245"/>
      <c r="I394" s="961">
        <f t="shared" si="67"/>
        <v>1</v>
      </c>
      <c r="J394" s="1245"/>
      <c r="K394" s="961">
        <f t="shared" si="68"/>
        <v>1</v>
      </c>
      <c r="L394" s="1245"/>
      <c r="M394" s="961">
        <f t="shared" si="69"/>
        <v>1</v>
      </c>
      <c r="N394" s="1245"/>
      <c r="O394" s="961">
        <f t="shared" si="70"/>
        <v>1</v>
      </c>
      <c r="P394" s="1245"/>
      <c r="Q394" s="961">
        <f t="shared" si="71"/>
        <v>1</v>
      </c>
      <c r="R394" s="961">
        <f t="shared" si="72"/>
        <v>0</v>
      </c>
      <c r="S394" s="935">
        <f t="shared" si="73"/>
        <v>0</v>
      </c>
    </row>
    <row r="395" spans="1:19">
      <c r="A395" s="1243"/>
      <c r="B395" s="1244"/>
      <c r="C395" s="961">
        <f t="shared" si="64"/>
        <v>1</v>
      </c>
      <c r="D395" s="1245"/>
      <c r="E395" s="961">
        <f t="shared" si="65"/>
        <v>1</v>
      </c>
      <c r="F395" s="1245"/>
      <c r="G395" s="961">
        <f t="shared" si="66"/>
        <v>1</v>
      </c>
      <c r="H395" s="1245"/>
      <c r="I395" s="961">
        <f t="shared" si="67"/>
        <v>1</v>
      </c>
      <c r="J395" s="1245"/>
      <c r="K395" s="961">
        <f t="shared" si="68"/>
        <v>1</v>
      </c>
      <c r="L395" s="1245"/>
      <c r="M395" s="961">
        <f t="shared" si="69"/>
        <v>1</v>
      </c>
      <c r="N395" s="1245"/>
      <c r="O395" s="961">
        <f t="shared" si="70"/>
        <v>1</v>
      </c>
      <c r="P395" s="1245"/>
      <c r="Q395" s="961">
        <f t="shared" si="71"/>
        <v>1</v>
      </c>
      <c r="R395" s="961">
        <f t="shared" si="72"/>
        <v>0</v>
      </c>
      <c r="S395" s="935">
        <f t="shared" si="73"/>
        <v>0</v>
      </c>
    </row>
    <row r="396" spans="1:19">
      <c r="A396" s="1243"/>
      <c r="B396" s="1244"/>
      <c r="C396" s="961">
        <f t="shared" si="64"/>
        <v>1</v>
      </c>
      <c r="D396" s="1245"/>
      <c r="E396" s="961">
        <f t="shared" si="65"/>
        <v>1</v>
      </c>
      <c r="F396" s="1245"/>
      <c r="G396" s="961">
        <f t="shared" si="66"/>
        <v>1</v>
      </c>
      <c r="H396" s="1245"/>
      <c r="I396" s="961">
        <f t="shared" si="67"/>
        <v>1</v>
      </c>
      <c r="J396" s="1245"/>
      <c r="K396" s="961">
        <f t="shared" si="68"/>
        <v>1</v>
      </c>
      <c r="L396" s="1245"/>
      <c r="M396" s="961">
        <f t="shared" si="69"/>
        <v>1</v>
      </c>
      <c r="N396" s="1245"/>
      <c r="O396" s="961">
        <f t="shared" si="70"/>
        <v>1</v>
      </c>
      <c r="P396" s="1245"/>
      <c r="Q396" s="961">
        <f t="shared" si="71"/>
        <v>1</v>
      </c>
      <c r="R396" s="961">
        <f t="shared" si="72"/>
        <v>0</v>
      </c>
      <c r="S396" s="935">
        <f t="shared" si="73"/>
        <v>0</v>
      </c>
    </row>
    <row r="397" spans="1:19">
      <c r="A397" s="1243"/>
      <c r="B397" s="1244"/>
      <c r="C397" s="961">
        <f t="shared" si="64"/>
        <v>1</v>
      </c>
      <c r="D397" s="1245"/>
      <c r="E397" s="961">
        <f t="shared" si="65"/>
        <v>1</v>
      </c>
      <c r="F397" s="1245"/>
      <c r="G397" s="961">
        <f t="shared" si="66"/>
        <v>1</v>
      </c>
      <c r="H397" s="1245"/>
      <c r="I397" s="961">
        <f t="shared" si="67"/>
        <v>1</v>
      </c>
      <c r="J397" s="1245"/>
      <c r="K397" s="961">
        <f t="shared" si="68"/>
        <v>1</v>
      </c>
      <c r="L397" s="1245"/>
      <c r="M397" s="961">
        <f t="shared" si="69"/>
        <v>1</v>
      </c>
      <c r="N397" s="1245"/>
      <c r="O397" s="961">
        <f t="shared" si="70"/>
        <v>1</v>
      </c>
      <c r="P397" s="1245"/>
      <c r="Q397" s="961">
        <f t="shared" si="71"/>
        <v>1</v>
      </c>
      <c r="R397" s="961">
        <f t="shared" si="72"/>
        <v>0</v>
      </c>
      <c r="S397" s="935">
        <f t="shared" si="73"/>
        <v>0</v>
      </c>
    </row>
    <row r="398" spans="1:19">
      <c r="A398" s="1243"/>
      <c r="B398" s="1244"/>
      <c r="C398" s="961">
        <f t="shared" si="64"/>
        <v>1</v>
      </c>
      <c r="D398" s="1245"/>
      <c r="E398" s="961">
        <f t="shared" si="65"/>
        <v>1</v>
      </c>
      <c r="F398" s="1245"/>
      <c r="G398" s="961">
        <f t="shared" si="66"/>
        <v>1</v>
      </c>
      <c r="H398" s="1245"/>
      <c r="I398" s="961">
        <f t="shared" si="67"/>
        <v>1</v>
      </c>
      <c r="J398" s="1245"/>
      <c r="K398" s="961">
        <f t="shared" si="68"/>
        <v>1</v>
      </c>
      <c r="L398" s="1245"/>
      <c r="M398" s="961">
        <f t="shared" si="69"/>
        <v>1</v>
      </c>
      <c r="N398" s="1245"/>
      <c r="O398" s="961">
        <f t="shared" si="70"/>
        <v>1</v>
      </c>
      <c r="P398" s="1245"/>
      <c r="Q398" s="961">
        <f t="shared" si="71"/>
        <v>1</v>
      </c>
      <c r="R398" s="961">
        <f t="shared" si="72"/>
        <v>0</v>
      </c>
      <c r="S398" s="935">
        <f t="shared" si="73"/>
        <v>0</v>
      </c>
    </row>
    <row r="399" spans="1:19">
      <c r="A399" s="1243"/>
      <c r="B399" s="1244"/>
      <c r="C399" s="961">
        <f t="shared" si="64"/>
        <v>1</v>
      </c>
      <c r="D399" s="1245"/>
      <c r="E399" s="961">
        <f t="shared" si="65"/>
        <v>1</v>
      </c>
      <c r="F399" s="1245"/>
      <c r="G399" s="961">
        <f t="shared" si="66"/>
        <v>1</v>
      </c>
      <c r="H399" s="1245"/>
      <c r="I399" s="961">
        <f t="shared" si="67"/>
        <v>1</v>
      </c>
      <c r="J399" s="1245"/>
      <c r="K399" s="961">
        <f t="shared" si="68"/>
        <v>1</v>
      </c>
      <c r="L399" s="1245"/>
      <c r="M399" s="961">
        <f t="shared" si="69"/>
        <v>1</v>
      </c>
      <c r="N399" s="1245"/>
      <c r="O399" s="961">
        <f t="shared" si="70"/>
        <v>1</v>
      </c>
      <c r="P399" s="1245"/>
      <c r="Q399" s="961">
        <f t="shared" si="71"/>
        <v>1</v>
      </c>
      <c r="R399" s="961">
        <f t="shared" si="72"/>
        <v>0</v>
      </c>
      <c r="S399" s="935">
        <f t="shared" si="73"/>
        <v>0</v>
      </c>
    </row>
    <row r="400" spans="1:19">
      <c r="A400" s="1243"/>
      <c r="B400" s="1244"/>
      <c r="C400" s="961">
        <f t="shared" si="64"/>
        <v>1</v>
      </c>
      <c r="D400" s="1245"/>
      <c r="E400" s="961">
        <f t="shared" si="65"/>
        <v>1</v>
      </c>
      <c r="F400" s="1245"/>
      <c r="G400" s="961">
        <f t="shared" si="66"/>
        <v>1</v>
      </c>
      <c r="H400" s="1245"/>
      <c r="I400" s="961">
        <f t="shared" si="67"/>
        <v>1</v>
      </c>
      <c r="J400" s="1245"/>
      <c r="K400" s="961">
        <f t="shared" si="68"/>
        <v>1</v>
      </c>
      <c r="L400" s="1245"/>
      <c r="M400" s="961">
        <f t="shared" si="69"/>
        <v>1</v>
      </c>
      <c r="N400" s="1245"/>
      <c r="O400" s="961">
        <f t="shared" si="70"/>
        <v>1</v>
      </c>
      <c r="P400" s="1245"/>
      <c r="Q400" s="961">
        <f t="shared" si="71"/>
        <v>1</v>
      </c>
      <c r="R400" s="961">
        <f t="shared" si="72"/>
        <v>0</v>
      </c>
      <c r="S400" s="935">
        <f t="shared" si="73"/>
        <v>0</v>
      </c>
    </row>
    <row r="401" spans="1:19">
      <c r="A401" s="1243"/>
      <c r="B401" s="1244"/>
      <c r="C401" s="961">
        <f t="shared" si="64"/>
        <v>1</v>
      </c>
      <c r="D401" s="1245"/>
      <c r="E401" s="961">
        <f t="shared" si="65"/>
        <v>1</v>
      </c>
      <c r="F401" s="1245"/>
      <c r="G401" s="961">
        <f t="shared" si="66"/>
        <v>1</v>
      </c>
      <c r="H401" s="1245"/>
      <c r="I401" s="961">
        <f t="shared" si="67"/>
        <v>1</v>
      </c>
      <c r="J401" s="1245"/>
      <c r="K401" s="961">
        <f t="shared" si="68"/>
        <v>1</v>
      </c>
      <c r="L401" s="1245"/>
      <c r="M401" s="961">
        <f t="shared" si="69"/>
        <v>1</v>
      </c>
      <c r="N401" s="1245"/>
      <c r="O401" s="961">
        <f t="shared" si="70"/>
        <v>1</v>
      </c>
      <c r="P401" s="1245"/>
      <c r="Q401" s="961">
        <f t="shared" si="71"/>
        <v>1</v>
      </c>
      <c r="R401" s="961">
        <f t="shared" si="72"/>
        <v>0</v>
      </c>
      <c r="S401" s="935">
        <f t="shared" si="73"/>
        <v>0</v>
      </c>
    </row>
    <row r="402" spans="1:19">
      <c r="A402" s="1243"/>
      <c r="B402" s="1244"/>
      <c r="C402" s="961">
        <f t="shared" si="64"/>
        <v>1</v>
      </c>
      <c r="D402" s="1245"/>
      <c r="E402" s="961">
        <f t="shared" si="65"/>
        <v>1</v>
      </c>
      <c r="F402" s="1245"/>
      <c r="G402" s="961">
        <f t="shared" si="66"/>
        <v>1</v>
      </c>
      <c r="H402" s="1245"/>
      <c r="I402" s="961">
        <f t="shared" si="67"/>
        <v>1</v>
      </c>
      <c r="J402" s="1245"/>
      <c r="K402" s="961">
        <f t="shared" si="68"/>
        <v>1</v>
      </c>
      <c r="L402" s="1245"/>
      <c r="M402" s="961">
        <f t="shared" si="69"/>
        <v>1</v>
      </c>
      <c r="N402" s="1245"/>
      <c r="O402" s="961">
        <f t="shared" si="70"/>
        <v>1</v>
      </c>
      <c r="P402" s="1245"/>
      <c r="Q402" s="961">
        <f t="shared" si="71"/>
        <v>1</v>
      </c>
      <c r="R402" s="961">
        <f t="shared" si="72"/>
        <v>0</v>
      </c>
      <c r="S402" s="935">
        <f t="shared" si="73"/>
        <v>0</v>
      </c>
    </row>
    <row r="403" spans="1:19">
      <c r="A403" s="1243"/>
      <c r="B403" s="1244"/>
      <c r="C403" s="961">
        <f t="shared" si="64"/>
        <v>1</v>
      </c>
      <c r="D403" s="1245"/>
      <c r="E403" s="961">
        <f t="shared" si="65"/>
        <v>1</v>
      </c>
      <c r="F403" s="1245"/>
      <c r="G403" s="961">
        <f t="shared" si="66"/>
        <v>1</v>
      </c>
      <c r="H403" s="1245"/>
      <c r="I403" s="961">
        <f t="shared" si="67"/>
        <v>1</v>
      </c>
      <c r="J403" s="1245"/>
      <c r="K403" s="961">
        <f t="shared" si="68"/>
        <v>1</v>
      </c>
      <c r="L403" s="1245"/>
      <c r="M403" s="961">
        <f t="shared" si="69"/>
        <v>1</v>
      </c>
      <c r="N403" s="1245"/>
      <c r="O403" s="961">
        <f t="shared" si="70"/>
        <v>1</v>
      </c>
      <c r="P403" s="1245"/>
      <c r="Q403" s="961">
        <f t="shared" si="71"/>
        <v>1</v>
      </c>
      <c r="R403" s="961">
        <f t="shared" si="72"/>
        <v>0</v>
      </c>
      <c r="S403" s="935">
        <f t="shared" si="73"/>
        <v>0</v>
      </c>
    </row>
    <row r="404" spans="1:19">
      <c r="A404" s="1243"/>
      <c r="B404" s="1244"/>
      <c r="C404" s="961">
        <f t="shared" si="64"/>
        <v>1</v>
      </c>
      <c r="D404" s="1245"/>
      <c r="E404" s="961">
        <f t="shared" si="65"/>
        <v>1</v>
      </c>
      <c r="F404" s="1245"/>
      <c r="G404" s="961">
        <f t="shared" si="66"/>
        <v>1</v>
      </c>
      <c r="H404" s="1245"/>
      <c r="I404" s="961">
        <f t="shared" si="67"/>
        <v>1</v>
      </c>
      <c r="J404" s="1245"/>
      <c r="K404" s="961">
        <f t="shared" si="68"/>
        <v>1</v>
      </c>
      <c r="L404" s="1245"/>
      <c r="M404" s="961">
        <f t="shared" si="69"/>
        <v>1</v>
      </c>
      <c r="N404" s="1245"/>
      <c r="O404" s="961">
        <f t="shared" si="70"/>
        <v>1</v>
      </c>
      <c r="P404" s="1245"/>
      <c r="Q404" s="961">
        <f t="shared" si="71"/>
        <v>1</v>
      </c>
      <c r="R404" s="961">
        <f t="shared" si="72"/>
        <v>0</v>
      </c>
      <c r="S404" s="935">
        <f t="shared" si="73"/>
        <v>0</v>
      </c>
    </row>
    <row r="405" spans="1:19">
      <c r="A405" s="1243"/>
      <c r="B405" s="1244"/>
      <c r="C405" s="961">
        <f t="shared" si="64"/>
        <v>1</v>
      </c>
      <c r="D405" s="1245"/>
      <c r="E405" s="961">
        <f t="shared" si="65"/>
        <v>1</v>
      </c>
      <c r="F405" s="1245"/>
      <c r="G405" s="961">
        <f t="shared" si="66"/>
        <v>1</v>
      </c>
      <c r="H405" s="1245"/>
      <c r="I405" s="961">
        <f t="shared" si="67"/>
        <v>1</v>
      </c>
      <c r="J405" s="1245"/>
      <c r="K405" s="961">
        <f t="shared" si="68"/>
        <v>1</v>
      </c>
      <c r="L405" s="1245"/>
      <c r="M405" s="961">
        <f t="shared" si="69"/>
        <v>1</v>
      </c>
      <c r="N405" s="1245"/>
      <c r="O405" s="961">
        <f t="shared" si="70"/>
        <v>1</v>
      </c>
      <c r="P405" s="1245"/>
      <c r="Q405" s="961">
        <f t="shared" si="71"/>
        <v>1</v>
      </c>
      <c r="R405" s="961">
        <f t="shared" si="72"/>
        <v>0</v>
      </c>
      <c r="S405" s="935">
        <f t="shared" si="73"/>
        <v>0</v>
      </c>
    </row>
    <row r="406" spans="1:19">
      <c r="A406" s="1243"/>
      <c r="B406" s="1244"/>
      <c r="C406" s="961">
        <f t="shared" si="64"/>
        <v>1</v>
      </c>
      <c r="D406" s="1245"/>
      <c r="E406" s="961">
        <f t="shared" si="65"/>
        <v>1</v>
      </c>
      <c r="F406" s="1245"/>
      <c r="G406" s="961">
        <f t="shared" si="66"/>
        <v>1</v>
      </c>
      <c r="H406" s="1245"/>
      <c r="I406" s="961">
        <f t="shared" si="67"/>
        <v>1</v>
      </c>
      <c r="J406" s="1245"/>
      <c r="K406" s="961">
        <f t="shared" si="68"/>
        <v>1</v>
      </c>
      <c r="L406" s="1245"/>
      <c r="M406" s="961">
        <f t="shared" si="69"/>
        <v>1</v>
      </c>
      <c r="N406" s="1245"/>
      <c r="O406" s="961">
        <f t="shared" si="70"/>
        <v>1</v>
      </c>
      <c r="P406" s="1245"/>
      <c r="Q406" s="961">
        <f t="shared" si="71"/>
        <v>1</v>
      </c>
      <c r="R406" s="961">
        <f t="shared" si="72"/>
        <v>0</v>
      </c>
      <c r="S406" s="935">
        <f t="shared" si="73"/>
        <v>0</v>
      </c>
    </row>
    <row r="407" spans="1:19">
      <c r="A407" s="1243"/>
      <c r="B407" s="1244"/>
      <c r="C407" s="961">
        <f t="shared" si="64"/>
        <v>1</v>
      </c>
      <c r="D407" s="1245"/>
      <c r="E407" s="961">
        <f t="shared" si="65"/>
        <v>1</v>
      </c>
      <c r="F407" s="1245"/>
      <c r="G407" s="961">
        <f t="shared" si="66"/>
        <v>1</v>
      </c>
      <c r="H407" s="1245"/>
      <c r="I407" s="961">
        <f t="shared" si="67"/>
        <v>1</v>
      </c>
      <c r="J407" s="1245"/>
      <c r="K407" s="961">
        <f t="shared" si="68"/>
        <v>1</v>
      </c>
      <c r="L407" s="1245"/>
      <c r="M407" s="961">
        <f t="shared" si="69"/>
        <v>1</v>
      </c>
      <c r="N407" s="1245"/>
      <c r="O407" s="961">
        <f t="shared" si="70"/>
        <v>1</v>
      </c>
      <c r="P407" s="1245"/>
      <c r="Q407" s="961">
        <f t="shared" si="71"/>
        <v>1</v>
      </c>
      <c r="R407" s="961">
        <f t="shared" si="72"/>
        <v>0</v>
      </c>
      <c r="S407" s="935">
        <f t="shared" si="73"/>
        <v>0</v>
      </c>
    </row>
    <row r="408" spans="1:19">
      <c r="A408" s="1243"/>
      <c r="B408" s="1244"/>
      <c r="C408" s="961">
        <f t="shared" si="64"/>
        <v>1</v>
      </c>
      <c r="D408" s="1245"/>
      <c r="E408" s="961">
        <f t="shared" si="65"/>
        <v>1</v>
      </c>
      <c r="F408" s="1245"/>
      <c r="G408" s="961">
        <f t="shared" si="66"/>
        <v>1</v>
      </c>
      <c r="H408" s="1245"/>
      <c r="I408" s="961">
        <f t="shared" si="67"/>
        <v>1</v>
      </c>
      <c r="J408" s="1245"/>
      <c r="K408" s="961">
        <f t="shared" si="68"/>
        <v>1</v>
      </c>
      <c r="L408" s="1245"/>
      <c r="M408" s="961">
        <f t="shared" si="69"/>
        <v>1</v>
      </c>
      <c r="N408" s="1245"/>
      <c r="O408" s="961">
        <f t="shared" si="70"/>
        <v>1</v>
      </c>
      <c r="P408" s="1245"/>
      <c r="Q408" s="961">
        <f t="shared" si="71"/>
        <v>1</v>
      </c>
      <c r="R408" s="961">
        <f t="shared" si="72"/>
        <v>0</v>
      </c>
      <c r="S408" s="935">
        <f t="shared" si="73"/>
        <v>0</v>
      </c>
    </row>
    <row r="409" spans="1:19">
      <c r="A409" s="1243"/>
      <c r="B409" s="1244"/>
      <c r="C409" s="961">
        <f t="shared" si="64"/>
        <v>1</v>
      </c>
      <c r="D409" s="1245"/>
      <c r="E409" s="961">
        <f t="shared" si="65"/>
        <v>1</v>
      </c>
      <c r="F409" s="1245"/>
      <c r="G409" s="961">
        <f t="shared" si="66"/>
        <v>1</v>
      </c>
      <c r="H409" s="1245"/>
      <c r="I409" s="961">
        <f t="shared" si="67"/>
        <v>1</v>
      </c>
      <c r="J409" s="1245"/>
      <c r="K409" s="961">
        <f t="shared" si="68"/>
        <v>1</v>
      </c>
      <c r="L409" s="1245"/>
      <c r="M409" s="961">
        <f t="shared" si="69"/>
        <v>1</v>
      </c>
      <c r="N409" s="1245"/>
      <c r="O409" s="961">
        <f t="shared" si="70"/>
        <v>1</v>
      </c>
      <c r="P409" s="1245"/>
      <c r="Q409" s="961">
        <f t="shared" si="71"/>
        <v>1</v>
      </c>
      <c r="R409" s="961">
        <f t="shared" si="72"/>
        <v>0</v>
      </c>
      <c r="S409" s="935">
        <f t="shared" si="73"/>
        <v>0</v>
      </c>
    </row>
    <row r="410" spans="1:19">
      <c r="A410" s="1243"/>
      <c r="B410" s="1244"/>
      <c r="C410" s="961">
        <f t="shared" ref="C410:C473" si="74">IF(B410="",1,(LOOKUP(B410,$3:$3,$4:$4)-LOOKUP($B$24,$3:$3,$4:$4)+100)/100)</f>
        <v>1</v>
      </c>
      <c r="D410" s="1245"/>
      <c r="E410" s="961">
        <f t="shared" ref="E410:E473" si="75">(SUMIF($5:$5,D410,$6:$6)-SUMIF($5:$5,$D$24,$6:$6)+100)/100</f>
        <v>1</v>
      </c>
      <c r="F410" s="1245"/>
      <c r="G410" s="961">
        <f t="shared" ref="G410:G473" si="76">(SUMIF($7:$7,F410,$8:$8)-SUMIF($7:$7,$F$24,$8:$8)+100)/100</f>
        <v>1</v>
      </c>
      <c r="H410" s="1245"/>
      <c r="I410" s="961">
        <f t="shared" ref="I410:I473" si="77">(SUMIF($9:$9,H410,$10:$10)-SUMIF($9:$9,$H$24,$10:$10)+100)/100</f>
        <v>1</v>
      </c>
      <c r="J410" s="1245"/>
      <c r="K410" s="961">
        <f t="shared" ref="K410:K473" si="78">(SUMIF($11:$11,J410,$12:$12)-SUMIF($11:$11,$J$24,$12:$12)+100)/100</f>
        <v>1</v>
      </c>
      <c r="L410" s="1245"/>
      <c r="M410" s="961">
        <f t="shared" ref="M410:M473" si="79">(SUMIF($13:$13,L410,$14:$14)-SUMIF($13:$13,$L$24,$14:$14)+100)/100</f>
        <v>1</v>
      </c>
      <c r="N410" s="1245"/>
      <c r="O410" s="961">
        <f t="shared" ref="O410:O473" si="80">(SUMIF($15:$15,N410,$16:$16)-SUMIF($15:$15,$N$24,$16:$16)+100)/100</f>
        <v>1</v>
      </c>
      <c r="P410" s="1245"/>
      <c r="Q410" s="961">
        <f t="shared" ref="Q410:Q473" si="81">(SUMIF($17:$17,P410,$18:$18)-SUMIF($17:$17,$P$24,$18:$18)+100)/100</f>
        <v>1</v>
      </c>
      <c r="R410" s="961">
        <f t="shared" ref="R410:R473" si="82">IF(B410="",0,ROUND($R$24*C410*E410*G410*I410*K410*M410*O410*Q410,0))</f>
        <v>0</v>
      </c>
      <c r="S410" s="935">
        <f t="shared" si="73"/>
        <v>0</v>
      </c>
    </row>
    <row r="411" spans="1:19">
      <c r="A411" s="1243"/>
      <c r="B411" s="1244"/>
      <c r="C411" s="961">
        <f t="shared" si="74"/>
        <v>1</v>
      </c>
      <c r="D411" s="1245"/>
      <c r="E411" s="961">
        <f t="shared" si="75"/>
        <v>1</v>
      </c>
      <c r="F411" s="1245"/>
      <c r="G411" s="961">
        <f t="shared" si="76"/>
        <v>1</v>
      </c>
      <c r="H411" s="1245"/>
      <c r="I411" s="961">
        <f t="shared" si="77"/>
        <v>1</v>
      </c>
      <c r="J411" s="1245"/>
      <c r="K411" s="961">
        <f t="shared" si="78"/>
        <v>1</v>
      </c>
      <c r="L411" s="1245"/>
      <c r="M411" s="961">
        <f t="shared" si="79"/>
        <v>1</v>
      </c>
      <c r="N411" s="1245"/>
      <c r="O411" s="961">
        <f t="shared" si="80"/>
        <v>1</v>
      </c>
      <c r="P411" s="1245"/>
      <c r="Q411" s="961">
        <f t="shared" si="81"/>
        <v>1</v>
      </c>
      <c r="R411" s="961">
        <f t="shared" si="82"/>
        <v>0</v>
      </c>
      <c r="S411" s="935">
        <f t="shared" si="73"/>
        <v>0</v>
      </c>
    </row>
    <row r="412" spans="1:19">
      <c r="A412" s="1243"/>
      <c r="B412" s="1244"/>
      <c r="C412" s="961">
        <f t="shared" si="74"/>
        <v>1</v>
      </c>
      <c r="D412" s="1245"/>
      <c r="E412" s="961">
        <f t="shared" si="75"/>
        <v>1</v>
      </c>
      <c r="F412" s="1245"/>
      <c r="G412" s="961">
        <f t="shared" si="76"/>
        <v>1</v>
      </c>
      <c r="H412" s="1245"/>
      <c r="I412" s="961">
        <f t="shared" si="77"/>
        <v>1</v>
      </c>
      <c r="J412" s="1245"/>
      <c r="K412" s="961">
        <f t="shared" si="78"/>
        <v>1</v>
      </c>
      <c r="L412" s="1245"/>
      <c r="M412" s="961">
        <f t="shared" si="79"/>
        <v>1</v>
      </c>
      <c r="N412" s="1245"/>
      <c r="O412" s="961">
        <f t="shared" si="80"/>
        <v>1</v>
      </c>
      <c r="P412" s="1245"/>
      <c r="Q412" s="961">
        <f t="shared" si="81"/>
        <v>1</v>
      </c>
      <c r="R412" s="961">
        <f t="shared" si="82"/>
        <v>0</v>
      </c>
      <c r="S412" s="935">
        <f t="shared" si="73"/>
        <v>0</v>
      </c>
    </row>
    <row r="413" spans="1:19">
      <c r="A413" s="1243"/>
      <c r="B413" s="1244"/>
      <c r="C413" s="961">
        <f t="shared" si="74"/>
        <v>1</v>
      </c>
      <c r="D413" s="1245"/>
      <c r="E413" s="961">
        <f t="shared" si="75"/>
        <v>1</v>
      </c>
      <c r="F413" s="1245"/>
      <c r="G413" s="961">
        <f t="shared" si="76"/>
        <v>1</v>
      </c>
      <c r="H413" s="1245"/>
      <c r="I413" s="961">
        <f t="shared" si="77"/>
        <v>1</v>
      </c>
      <c r="J413" s="1245"/>
      <c r="K413" s="961">
        <f t="shared" si="78"/>
        <v>1</v>
      </c>
      <c r="L413" s="1245"/>
      <c r="M413" s="961">
        <f t="shared" si="79"/>
        <v>1</v>
      </c>
      <c r="N413" s="1245"/>
      <c r="O413" s="961">
        <f t="shared" si="80"/>
        <v>1</v>
      </c>
      <c r="P413" s="1245"/>
      <c r="Q413" s="961">
        <f t="shared" si="81"/>
        <v>1</v>
      </c>
      <c r="R413" s="961">
        <f t="shared" si="82"/>
        <v>0</v>
      </c>
      <c r="S413" s="935">
        <f t="shared" si="73"/>
        <v>0</v>
      </c>
    </row>
    <row r="414" spans="1:19">
      <c r="A414" s="1243"/>
      <c r="B414" s="1244"/>
      <c r="C414" s="961">
        <f t="shared" si="74"/>
        <v>1</v>
      </c>
      <c r="D414" s="1245"/>
      <c r="E414" s="961">
        <f t="shared" si="75"/>
        <v>1</v>
      </c>
      <c r="F414" s="1245"/>
      <c r="G414" s="961">
        <f t="shared" si="76"/>
        <v>1</v>
      </c>
      <c r="H414" s="1245"/>
      <c r="I414" s="961">
        <f t="shared" si="77"/>
        <v>1</v>
      </c>
      <c r="J414" s="1245"/>
      <c r="K414" s="961">
        <f t="shared" si="78"/>
        <v>1</v>
      </c>
      <c r="L414" s="1245"/>
      <c r="M414" s="961">
        <f t="shared" si="79"/>
        <v>1</v>
      </c>
      <c r="N414" s="1245"/>
      <c r="O414" s="961">
        <f t="shared" si="80"/>
        <v>1</v>
      </c>
      <c r="P414" s="1245"/>
      <c r="Q414" s="961">
        <f t="shared" si="81"/>
        <v>1</v>
      </c>
      <c r="R414" s="961">
        <f t="shared" si="82"/>
        <v>0</v>
      </c>
      <c r="S414" s="935">
        <f t="shared" si="73"/>
        <v>0</v>
      </c>
    </row>
    <row r="415" spans="1:19">
      <c r="A415" s="1243"/>
      <c r="B415" s="1244"/>
      <c r="C415" s="961">
        <f t="shared" si="74"/>
        <v>1</v>
      </c>
      <c r="D415" s="1245"/>
      <c r="E415" s="961">
        <f t="shared" si="75"/>
        <v>1</v>
      </c>
      <c r="F415" s="1245"/>
      <c r="G415" s="961">
        <f t="shared" si="76"/>
        <v>1</v>
      </c>
      <c r="H415" s="1245"/>
      <c r="I415" s="961">
        <f t="shared" si="77"/>
        <v>1</v>
      </c>
      <c r="J415" s="1245"/>
      <c r="K415" s="961">
        <f t="shared" si="78"/>
        <v>1</v>
      </c>
      <c r="L415" s="1245"/>
      <c r="M415" s="961">
        <f t="shared" si="79"/>
        <v>1</v>
      </c>
      <c r="N415" s="1245"/>
      <c r="O415" s="961">
        <f t="shared" si="80"/>
        <v>1</v>
      </c>
      <c r="P415" s="1245"/>
      <c r="Q415" s="961">
        <f t="shared" si="81"/>
        <v>1</v>
      </c>
      <c r="R415" s="961">
        <f t="shared" si="82"/>
        <v>0</v>
      </c>
      <c r="S415" s="935">
        <f t="shared" si="73"/>
        <v>0</v>
      </c>
    </row>
    <row r="416" spans="1:19">
      <c r="A416" s="1243"/>
      <c r="B416" s="1244"/>
      <c r="C416" s="961">
        <f t="shared" si="74"/>
        <v>1</v>
      </c>
      <c r="D416" s="1245"/>
      <c r="E416" s="961">
        <f t="shared" si="75"/>
        <v>1</v>
      </c>
      <c r="F416" s="1245"/>
      <c r="G416" s="961">
        <f t="shared" si="76"/>
        <v>1</v>
      </c>
      <c r="H416" s="1245"/>
      <c r="I416" s="961">
        <f t="shared" si="77"/>
        <v>1</v>
      </c>
      <c r="J416" s="1245"/>
      <c r="K416" s="961">
        <f t="shared" si="78"/>
        <v>1</v>
      </c>
      <c r="L416" s="1245"/>
      <c r="M416" s="961">
        <f t="shared" si="79"/>
        <v>1</v>
      </c>
      <c r="N416" s="1245"/>
      <c r="O416" s="961">
        <f t="shared" si="80"/>
        <v>1</v>
      </c>
      <c r="P416" s="1245"/>
      <c r="Q416" s="961">
        <f t="shared" si="81"/>
        <v>1</v>
      </c>
      <c r="R416" s="961">
        <f t="shared" si="82"/>
        <v>0</v>
      </c>
      <c r="S416" s="935">
        <f t="shared" si="73"/>
        <v>0</v>
      </c>
    </row>
    <row r="417" spans="1:19">
      <c r="A417" s="1243"/>
      <c r="B417" s="1244"/>
      <c r="C417" s="961">
        <f t="shared" si="74"/>
        <v>1</v>
      </c>
      <c r="D417" s="1245"/>
      <c r="E417" s="961">
        <f t="shared" si="75"/>
        <v>1</v>
      </c>
      <c r="F417" s="1245"/>
      <c r="G417" s="961">
        <f t="shared" si="76"/>
        <v>1</v>
      </c>
      <c r="H417" s="1245"/>
      <c r="I417" s="961">
        <f t="shared" si="77"/>
        <v>1</v>
      </c>
      <c r="J417" s="1245"/>
      <c r="K417" s="961">
        <f t="shared" si="78"/>
        <v>1</v>
      </c>
      <c r="L417" s="1245"/>
      <c r="M417" s="961">
        <f t="shared" si="79"/>
        <v>1</v>
      </c>
      <c r="N417" s="1245"/>
      <c r="O417" s="961">
        <f t="shared" si="80"/>
        <v>1</v>
      </c>
      <c r="P417" s="1245"/>
      <c r="Q417" s="961">
        <f t="shared" si="81"/>
        <v>1</v>
      </c>
      <c r="R417" s="961">
        <f t="shared" si="82"/>
        <v>0</v>
      </c>
      <c r="S417" s="935">
        <f t="shared" si="73"/>
        <v>0</v>
      </c>
    </row>
    <row r="418" spans="1:19">
      <c r="A418" s="1243"/>
      <c r="B418" s="1244"/>
      <c r="C418" s="961">
        <f t="shared" si="74"/>
        <v>1</v>
      </c>
      <c r="D418" s="1245"/>
      <c r="E418" s="961">
        <f t="shared" si="75"/>
        <v>1</v>
      </c>
      <c r="F418" s="1245"/>
      <c r="G418" s="961">
        <f t="shared" si="76"/>
        <v>1</v>
      </c>
      <c r="H418" s="1245"/>
      <c r="I418" s="961">
        <f t="shared" si="77"/>
        <v>1</v>
      </c>
      <c r="J418" s="1245"/>
      <c r="K418" s="961">
        <f t="shared" si="78"/>
        <v>1</v>
      </c>
      <c r="L418" s="1245"/>
      <c r="M418" s="961">
        <f t="shared" si="79"/>
        <v>1</v>
      </c>
      <c r="N418" s="1245"/>
      <c r="O418" s="961">
        <f t="shared" si="80"/>
        <v>1</v>
      </c>
      <c r="P418" s="1245"/>
      <c r="Q418" s="961">
        <f t="shared" si="81"/>
        <v>1</v>
      </c>
      <c r="R418" s="961">
        <f t="shared" si="82"/>
        <v>0</v>
      </c>
      <c r="S418" s="935">
        <f t="shared" si="73"/>
        <v>0</v>
      </c>
    </row>
    <row r="419" spans="1:19">
      <c r="A419" s="1243"/>
      <c r="B419" s="1244"/>
      <c r="C419" s="961">
        <f t="shared" si="74"/>
        <v>1</v>
      </c>
      <c r="D419" s="1245"/>
      <c r="E419" s="961">
        <f t="shared" si="75"/>
        <v>1</v>
      </c>
      <c r="F419" s="1245"/>
      <c r="G419" s="961">
        <f t="shared" si="76"/>
        <v>1</v>
      </c>
      <c r="H419" s="1245"/>
      <c r="I419" s="961">
        <f t="shared" si="77"/>
        <v>1</v>
      </c>
      <c r="J419" s="1245"/>
      <c r="K419" s="961">
        <f t="shared" si="78"/>
        <v>1</v>
      </c>
      <c r="L419" s="1245"/>
      <c r="M419" s="961">
        <f t="shared" si="79"/>
        <v>1</v>
      </c>
      <c r="N419" s="1245"/>
      <c r="O419" s="961">
        <f t="shared" si="80"/>
        <v>1</v>
      </c>
      <c r="P419" s="1245"/>
      <c r="Q419" s="961">
        <f t="shared" si="81"/>
        <v>1</v>
      </c>
      <c r="R419" s="961">
        <f t="shared" si="82"/>
        <v>0</v>
      </c>
      <c r="S419" s="935">
        <f t="shared" si="73"/>
        <v>0</v>
      </c>
    </row>
    <row r="420" spans="1:19">
      <c r="A420" s="1243"/>
      <c r="B420" s="1244"/>
      <c r="C420" s="961">
        <f t="shared" si="74"/>
        <v>1</v>
      </c>
      <c r="D420" s="1245"/>
      <c r="E420" s="961">
        <f t="shared" si="75"/>
        <v>1</v>
      </c>
      <c r="F420" s="1245"/>
      <c r="G420" s="961">
        <f t="shared" si="76"/>
        <v>1</v>
      </c>
      <c r="H420" s="1245"/>
      <c r="I420" s="961">
        <f t="shared" si="77"/>
        <v>1</v>
      </c>
      <c r="J420" s="1245"/>
      <c r="K420" s="961">
        <f t="shared" si="78"/>
        <v>1</v>
      </c>
      <c r="L420" s="1245"/>
      <c r="M420" s="961">
        <f t="shared" si="79"/>
        <v>1</v>
      </c>
      <c r="N420" s="1245"/>
      <c r="O420" s="961">
        <f t="shared" si="80"/>
        <v>1</v>
      </c>
      <c r="P420" s="1245"/>
      <c r="Q420" s="961">
        <f t="shared" si="81"/>
        <v>1</v>
      </c>
      <c r="R420" s="961">
        <f t="shared" si="82"/>
        <v>0</v>
      </c>
      <c r="S420" s="935">
        <f t="shared" si="73"/>
        <v>0</v>
      </c>
    </row>
    <row r="421" spans="1:19">
      <c r="A421" s="1243"/>
      <c r="B421" s="1244"/>
      <c r="C421" s="961">
        <f t="shared" si="74"/>
        <v>1</v>
      </c>
      <c r="D421" s="1245"/>
      <c r="E421" s="961">
        <f t="shared" si="75"/>
        <v>1</v>
      </c>
      <c r="F421" s="1245"/>
      <c r="G421" s="961">
        <f t="shared" si="76"/>
        <v>1</v>
      </c>
      <c r="H421" s="1245"/>
      <c r="I421" s="961">
        <f t="shared" si="77"/>
        <v>1</v>
      </c>
      <c r="J421" s="1245"/>
      <c r="K421" s="961">
        <f t="shared" si="78"/>
        <v>1</v>
      </c>
      <c r="L421" s="1245"/>
      <c r="M421" s="961">
        <f t="shared" si="79"/>
        <v>1</v>
      </c>
      <c r="N421" s="1245"/>
      <c r="O421" s="961">
        <f t="shared" si="80"/>
        <v>1</v>
      </c>
      <c r="P421" s="1245"/>
      <c r="Q421" s="961">
        <f t="shared" si="81"/>
        <v>1</v>
      </c>
      <c r="R421" s="961">
        <f t="shared" si="82"/>
        <v>0</v>
      </c>
      <c r="S421" s="935">
        <f t="shared" si="73"/>
        <v>0</v>
      </c>
    </row>
    <row r="422" spans="1:19">
      <c r="A422" s="1243"/>
      <c r="B422" s="1244"/>
      <c r="C422" s="961">
        <f t="shared" si="74"/>
        <v>1</v>
      </c>
      <c r="D422" s="1245"/>
      <c r="E422" s="961">
        <f t="shared" si="75"/>
        <v>1</v>
      </c>
      <c r="F422" s="1245"/>
      <c r="G422" s="961">
        <f t="shared" si="76"/>
        <v>1</v>
      </c>
      <c r="H422" s="1245"/>
      <c r="I422" s="961">
        <f t="shared" si="77"/>
        <v>1</v>
      </c>
      <c r="J422" s="1245"/>
      <c r="K422" s="961">
        <f t="shared" si="78"/>
        <v>1</v>
      </c>
      <c r="L422" s="1245"/>
      <c r="M422" s="961">
        <f t="shared" si="79"/>
        <v>1</v>
      </c>
      <c r="N422" s="1245"/>
      <c r="O422" s="961">
        <f t="shared" si="80"/>
        <v>1</v>
      </c>
      <c r="P422" s="1245"/>
      <c r="Q422" s="961">
        <f t="shared" si="81"/>
        <v>1</v>
      </c>
      <c r="R422" s="961">
        <f t="shared" si="82"/>
        <v>0</v>
      </c>
      <c r="S422" s="935">
        <f t="shared" si="73"/>
        <v>0</v>
      </c>
    </row>
    <row r="423" spans="1:19">
      <c r="A423" s="1243"/>
      <c r="B423" s="1244"/>
      <c r="C423" s="961">
        <f t="shared" si="74"/>
        <v>1</v>
      </c>
      <c r="D423" s="1245"/>
      <c r="E423" s="961">
        <f t="shared" si="75"/>
        <v>1</v>
      </c>
      <c r="F423" s="1245"/>
      <c r="G423" s="961">
        <f t="shared" si="76"/>
        <v>1</v>
      </c>
      <c r="H423" s="1245"/>
      <c r="I423" s="961">
        <f t="shared" si="77"/>
        <v>1</v>
      </c>
      <c r="J423" s="1245"/>
      <c r="K423" s="961">
        <f t="shared" si="78"/>
        <v>1</v>
      </c>
      <c r="L423" s="1245"/>
      <c r="M423" s="961">
        <f t="shared" si="79"/>
        <v>1</v>
      </c>
      <c r="N423" s="1245"/>
      <c r="O423" s="961">
        <f t="shared" si="80"/>
        <v>1</v>
      </c>
      <c r="P423" s="1245"/>
      <c r="Q423" s="961">
        <f t="shared" si="81"/>
        <v>1</v>
      </c>
      <c r="R423" s="961">
        <f t="shared" si="82"/>
        <v>0</v>
      </c>
      <c r="S423" s="935">
        <f t="shared" ref="S423:S467" si="83">ROUND(R423*B423/10000,0)</f>
        <v>0</v>
      </c>
    </row>
    <row r="424" spans="1:19">
      <c r="A424" s="1243"/>
      <c r="B424" s="1244"/>
      <c r="C424" s="961">
        <f t="shared" si="74"/>
        <v>1</v>
      </c>
      <c r="D424" s="1245"/>
      <c r="E424" s="961">
        <f t="shared" si="75"/>
        <v>1</v>
      </c>
      <c r="F424" s="1245"/>
      <c r="G424" s="961">
        <f t="shared" si="76"/>
        <v>1</v>
      </c>
      <c r="H424" s="1245"/>
      <c r="I424" s="961">
        <f t="shared" si="77"/>
        <v>1</v>
      </c>
      <c r="J424" s="1245"/>
      <c r="K424" s="961">
        <f t="shared" si="78"/>
        <v>1</v>
      </c>
      <c r="L424" s="1245"/>
      <c r="M424" s="961">
        <f t="shared" si="79"/>
        <v>1</v>
      </c>
      <c r="N424" s="1245"/>
      <c r="O424" s="961">
        <f t="shared" si="80"/>
        <v>1</v>
      </c>
      <c r="P424" s="1245"/>
      <c r="Q424" s="961">
        <f t="shared" si="81"/>
        <v>1</v>
      </c>
      <c r="R424" s="961">
        <f t="shared" si="82"/>
        <v>0</v>
      </c>
      <c r="S424" s="935">
        <f t="shared" si="83"/>
        <v>0</v>
      </c>
    </row>
    <row r="425" spans="1:19">
      <c r="A425" s="1243"/>
      <c r="B425" s="1244"/>
      <c r="C425" s="961">
        <f t="shared" si="74"/>
        <v>1</v>
      </c>
      <c r="D425" s="1245"/>
      <c r="E425" s="961">
        <f t="shared" si="75"/>
        <v>1</v>
      </c>
      <c r="F425" s="1245"/>
      <c r="G425" s="961">
        <f t="shared" si="76"/>
        <v>1</v>
      </c>
      <c r="H425" s="1245"/>
      <c r="I425" s="961">
        <f t="shared" si="77"/>
        <v>1</v>
      </c>
      <c r="J425" s="1245"/>
      <c r="K425" s="961">
        <f t="shared" si="78"/>
        <v>1</v>
      </c>
      <c r="L425" s="1245"/>
      <c r="M425" s="961">
        <f t="shared" si="79"/>
        <v>1</v>
      </c>
      <c r="N425" s="1245"/>
      <c r="O425" s="961">
        <f t="shared" si="80"/>
        <v>1</v>
      </c>
      <c r="P425" s="1245"/>
      <c r="Q425" s="961">
        <f t="shared" si="81"/>
        <v>1</v>
      </c>
      <c r="R425" s="961">
        <f t="shared" si="82"/>
        <v>0</v>
      </c>
      <c r="S425" s="935">
        <f t="shared" si="83"/>
        <v>0</v>
      </c>
    </row>
    <row r="426" spans="1:19">
      <c r="A426" s="1243"/>
      <c r="B426" s="1244"/>
      <c r="C426" s="961">
        <f t="shared" si="74"/>
        <v>1</v>
      </c>
      <c r="D426" s="1245"/>
      <c r="E426" s="961">
        <f t="shared" si="75"/>
        <v>1</v>
      </c>
      <c r="F426" s="1245"/>
      <c r="G426" s="961">
        <f t="shared" si="76"/>
        <v>1</v>
      </c>
      <c r="H426" s="1245"/>
      <c r="I426" s="961">
        <f t="shared" si="77"/>
        <v>1</v>
      </c>
      <c r="J426" s="1245"/>
      <c r="K426" s="961">
        <f t="shared" si="78"/>
        <v>1</v>
      </c>
      <c r="L426" s="1245"/>
      <c r="M426" s="961">
        <f t="shared" si="79"/>
        <v>1</v>
      </c>
      <c r="N426" s="1245"/>
      <c r="O426" s="961">
        <f t="shared" si="80"/>
        <v>1</v>
      </c>
      <c r="P426" s="1245"/>
      <c r="Q426" s="961">
        <f t="shared" si="81"/>
        <v>1</v>
      </c>
      <c r="R426" s="961">
        <f t="shared" si="82"/>
        <v>0</v>
      </c>
      <c r="S426" s="935">
        <f t="shared" si="83"/>
        <v>0</v>
      </c>
    </row>
    <row r="427" spans="1:19">
      <c r="A427" s="1243"/>
      <c r="B427" s="1244"/>
      <c r="C427" s="961">
        <f t="shared" si="74"/>
        <v>1</v>
      </c>
      <c r="D427" s="1245"/>
      <c r="E427" s="961">
        <f t="shared" si="75"/>
        <v>1</v>
      </c>
      <c r="F427" s="1245"/>
      <c r="G427" s="961">
        <f t="shared" si="76"/>
        <v>1</v>
      </c>
      <c r="H427" s="1245"/>
      <c r="I427" s="961">
        <f t="shared" si="77"/>
        <v>1</v>
      </c>
      <c r="J427" s="1245"/>
      <c r="K427" s="961">
        <f t="shared" si="78"/>
        <v>1</v>
      </c>
      <c r="L427" s="1245"/>
      <c r="M427" s="961">
        <f t="shared" si="79"/>
        <v>1</v>
      </c>
      <c r="N427" s="1245"/>
      <c r="O427" s="961">
        <f t="shared" si="80"/>
        <v>1</v>
      </c>
      <c r="P427" s="1245"/>
      <c r="Q427" s="961">
        <f t="shared" si="81"/>
        <v>1</v>
      </c>
      <c r="R427" s="961">
        <f t="shared" si="82"/>
        <v>0</v>
      </c>
      <c r="S427" s="935">
        <f t="shared" si="83"/>
        <v>0</v>
      </c>
    </row>
    <row r="428" spans="1:19">
      <c r="A428" s="1243"/>
      <c r="B428" s="1244"/>
      <c r="C428" s="961">
        <f t="shared" si="74"/>
        <v>1</v>
      </c>
      <c r="D428" s="1245"/>
      <c r="E428" s="961">
        <f t="shared" si="75"/>
        <v>1</v>
      </c>
      <c r="F428" s="1245"/>
      <c r="G428" s="961">
        <f t="shared" si="76"/>
        <v>1</v>
      </c>
      <c r="H428" s="1245"/>
      <c r="I428" s="961">
        <f t="shared" si="77"/>
        <v>1</v>
      </c>
      <c r="J428" s="1245"/>
      <c r="K428" s="961">
        <f t="shared" si="78"/>
        <v>1</v>
      </c>
      <c r="L428" s="1245"/>
      <c r="M428" s="961">
        <f t="shared" si="79"/>
        <v>1</v>
      </c>
      <c r="N428" s="1245"/>
      <c r="O428" s="961">
        <f t="shared" si="80"/>
        <v>1</v>
      </c>
      <c r="P428" s="1245"/>
      <c r="Q428" s="961">
        <f t="shared" si="81"/>
        <v>1</v>
      </c>
      <c r="R428" s="961">
        <f t="shared" si="82"/>
        <v>0</v>
      </c>
      <c r="S428" s="935">
        <f t="shared" si="83"/>
        <v>0</v>
      </c>
    </row>
    <row r="429" spans="1:19">
      <c r="A429" s="1243"/>
      <c r="B429" s="1244"/>
      <c r="C429" s="961">
        <f t="shared" si="74"/>
        <v>1</v>
      </c>
      <c r="D429" s="1245"/>
      <c r="E429" s="961">
        <f t="shared" si="75"/>
        <v>1</v>
      </c>
      <c r="F429" s="1245"/>
      <c r="G429" s="961">
        <f t="shared" si="76"/>
        <v>1</v>
      </c>
      <c r="H429" s="1245"/>
      <c r="I429" s="961">
        <f t="shared" si="77"/>
        <v>1</v>
      </c>
      <c r="J429" s="1245"/>
      <c r="K429" s="961">
        <f t="shared" si="78"/>
        <v>1</v>
      </c>
      <c r="L429" s="1245"/>
      <c r="M429" s="961">
        <f t="shared" si="79"/>
        <v>1</v>
      </c>
      <c r="N429" s="1245"/>
      <c r="O429" s="961">
        <f t="shared" si="80"/>
        <v>1</v>
      </c>
      <c r="P429" s="1245"/>
      <c r="Q429" s="961">
        <f t="shared" si="81"/>
        <v>1</v>
      </c>
      <c r="R429" s="961">
        <f t="shared" si="82"/>
        <v>0</v>
      </c>
      <c r="S429" s="935">
        <f t="shared" si="83"/>
        <v>0</v>
      </c>
    </row>
    <row r="430" spans="1:19">
      <c r="A430" s="1243"/>
      <c r="B430" s="1244"/>
      <c r="C430" s="961">
        <f t="shared" si="74"/>
        <v>1</v>
      </c>
      <c r="D430" s="1245"/>
      <c r="E430" s="961">
        <f t="shared" si="75"/>
        <v>1</v>
      </c>
      <c r="F430" s="1245"/>
      <c r="G430" s="961">
        <f t="shared" si="76"/>
        <v>1</v>
      </c>
      <c r="H430" s="1245"/>
      <c r="I430" s="961">
        <f t="shared" si="77"/>
        <v>1</v>
      </c>
      <c r="J430" s="1245"/>
      <c r="K430" s="961">
        <f t="shared" si="78"/>
        <v>1</v>
      </c>
      <c r="L430" s="1245"/>
      <c r="M430" s="961">
        <f t="shared" si="79"/>
        <v>1</v>
      </c>
      <c r="N430" s="1245"/>
      <c r="O430" s="961">
        <f t="shared" si="80"/>
        <v>1</v>
      </c>
      <c r="P430" s="1245"/>
      <c r="Q430" s="961">
        <f t="shared" si="81"/>
        <v>1</v>
      </c>
      <c r="R430" s="961">
        <f t="shared" si="82"/>
        <v>0</v>
      </c>
      <c r="S430" s="935">
        <f t="shared" si="83"/>
        <v>0</v>
      </c>
    </row>
    <row r="431" spans="1:19">
      <c r="A431" s="1243"/>
      <c r="B431" s="1244"/>
      <c r="C431" s="961">
        <f t="shared" si="74"/>
        <v>1</v>
      </c>
      <c r="D431" s="1245"/>
      <c r="E431" s="961">
        <f t="shared" si="75"/>
        <v>1</v>
      </c>
      <c r="F431" s="1245"/>
      <c r="G431" s="961">
        <f t="shared" si="76"/>
        <v>1</v>
      </c>
      <c r="H431" s="1245"/>
      <c r="I431" s="961">
        <f t="shared" si="77"/>
        <v>1</v>
      </c>
      <c r="J431" s="1245"/>
      <c r="K431" s="961">
        <f t="shared" si="78"/>
        <v>1</v>
      </c>
      <c r="L431" s="1245"/>
      <c r="M431" s="961">
        <f t="shared" si="79"/>
        <v>1</v>
      </c>
      <c r="N431" s="1245"/>
      <c r="O431" s="961">
        <f t="shared" si="80"/>
        <v>1</v>
      </c>
      <c r="P431" s="1245"/>
      <c r="Q431" s="961">
        <f t="shared" si="81"/>
        <v>1</v>
      </c>
      <c r="R431" s="961">
        <f t="shared" si="82"/>
        <v>0</v>
      </c>
      <c r="S431" s="935">
        <f t="shared" si="83"/>
        <v>0</v>
      </c>
    </row>
    <row r="432" spans="1:19">
      <c r="A432" s="1243"/>
      <c r="B432" s="1244"/>
      <c r="C432" s="961">
        <f t="shared" si="74"/>
        <v>1</v>
      </c>
      <c r="D432" s="1245"/>
      <c r="E432" s="961">
        <f t="shared" si="75"/>
        <v>1</v>
      </c>
      <c r="F432" s="1245"/>
      <c r="G432" s="961">
        <f t="shared" si="76"/>
        <v>1</v>
      </c>
      <c r="H432" s="1245"/>
      <c r="I432" s="961">
        <f t="shared" si="77"/>
        <v>1</v>
      </c>
      <c r="J432" s="1245"/>
      <c r="K432" s="961">
        <f t="shared" si="78"/>
        <v>1</v>
      </c>
      <c r="L432" s="1245"/>
      <c r="M432" s="961">
        <f t="shared" si="79"/>
        <v>1</v>
      </c>
      <c r="N432" s="1245"/>
      <c r="O432" s="961">
        <f t="shared" si="80"/>
        <v>1</v>
      </c>
      <c r="P432" s="1245"/>
      <c r="Q432" s="961">
        <f t="shared" si="81"/>
        <v>1</v>
      </c>
      <c r="R432" s="961">
        <f t="shared" si="82"/>
        <v>0</v>
      </c>
      <c r="S432" s="935">
        <f t="shared" si="83"/>
        <v>0</v>
      </c>
    </row>
    <row r="433" spans="1:19">
      <c r="A433" s="1243"/>
      <c r="B433" s="1244"/>
      <c r="C433" s="961">
        <f t="shared" si="74"/>
        <v>1</v>
      </c>
      <c r="D433" s="1245"/>
      <c r="E433" s="961">
        <f t="shared" si="75"/>
        <v>1</v>
      </c>
      <c r="F433" s="1245"/>
      <c r="G433" s="961">
        <f t="shared" si="76"/>
        <v>1</v>
      </c>
      <c r="H433" s="1245"/>
      <c r="I433" s="961">
        <f t="shared" si="77"/>
        <v>1</v>
      </c>
      <c r="J433" s="1245"/>
      <c r="K433" s="961">
        <f t="shared" si="78"/>
        <v>1</v>
      </c>
      <c r="L433" s="1245"/>
      <c r="M433" s="961">
        <f t="shared" si="79"/>
        <v>1</v>
      </c>
      <c r="N433" s="1245"/>
      <c r="O433" s="961">
        <f t="shared" si="80"/>
        <v>1</v>
      </c>
      <c r="P433" s="1245"/>
      <c r="Q433" s="961">
        <f t="shared" si="81"/>
        <v>1</v>
      </c>
      <c r="R433" s="961">
        <f t="shared" si="82"/>
        <v>0</v>
      </c>
      <c r="S433" s="935">
        <f t="shared" si="83"/>
        <v>0</v>
      </c>
    </row>
    <row r="434" spans="1:19">
      <c r="A434" s="1243"/>
      <c r="B434" s="1244"/>
      <c r="C434" s="961">
        <f t="shared" si="74"/>
        <v>1</v>
      </c>
      <c r="D434" s="1245"/>
      <c r="E434" s="961">
        <f t="shared" si="75"/>
        <v>1</v>
      </c>
      <c r="F434" s="1245"/>
      <c r="G434" s="961">
        <f t="shared" si="76"/>
        <v>1</v>
      </c>
      <c r="H434" s="1245"/>
      <c r="I434" s="961">
        <f t="shared" si="77"/>
        <v>1</v>
      </c>
      <c r="J434" s="1245"/>
      <c r="K434" s="961">
        <f t="shared" si="78"/>
        <v>1</v>
      </c>
      <c r="L434" s="1245"/>
      <c r="M434" s="961">
        <f t="shared" si="79"/>
        <v>1</v>
      </c>
      <c r="N434" s="1245"/>
      <c r="O434" s="961">
        <f t="shared" si="80"/>
        <v>1</v>
      </c>
      <c r="P434" s="1245"/>
      <c r="Q434" s="961">
        <f t="shared" si="81"/>
        <v>1</v>
      </c>
      <c r="R434" s="961">
        <f t="shared" si="82"/>
        <v>0</v>
      </c>
      <c r="S434" s="935">
        <f t="shared" si="83"/>
        <v>0</v>
      </c>
    </row>
    <row r="435" spans="1:19">
      <c r="A435" s="1243"/>
      <c r="B435" s="1244"/>
      <c r="C435" s="961">
        <f t="shared" si="74"/>
        <v>1</v>
      </c>
      <c r="D435" s="1245"/>
      <c r="E435" s="961">
        <f t="shared" si="75"/>
        <v>1</v>
      </c>
      <c r="F435" s="1245"/>
      <c r="G435" s="961">
        <f t="shared" si="76"/>
        <v>1</v>
      </c>
      <c r="H435" s="1245"/>
      <c r="I435" s="961">
        <f t="shared" si="77"/>
        <v>1</v>
      </c>
      <c r="J435" s="1245"/>
      <c r="K435" s="961">
        <f t="shared" si="78"/>
        <v>1</v>
      </c>
      <c r="L435" s="1245"/>
      <c r="M435" s="961">
        <f t="shared" si="79"/>
        <v>1</v>
      </c>
      <c r="N435" s="1245"/>
      <c r="O435" s="961">
        <f t="shared" si="80"/>
        <v>1</v>
      </c>
      <c r="P435" s="1245"/>
      <c r="Q435" s="961">
        <f t="shared" si="81"/>
        <v>1</v>
      </c>
      <c r="R435" s="961">
        <f t="shared" si="82"/>
        <v>0</v>
      </c>
      <c r="S435" s="935">
        <f t="shared" si="83"/>
        <v>0</v>
      </c>
    </row>
    <row r="436" spans="1:19">
      <c r="A436" s="1243"/>
      <c r="B436" s="1244"/>
      <c r="C436" s="961">
        <f t="shared" si="74"/>
        <v>1</v>
      </c>
      <c r="D436" s="1245"/>
      <c r="E436" s="961">
        <f t="shared" si="75"/>
        <v>1</v>
      </c>
      <c r="F436" s="1245"/>
      <c r="G436" s="961">
        <f t="shared" si="76"/>
        <v>1</v>
      </c>
      <c r="H436" s="1245"/>
      <c r="I436" s="961">
        <f t="shared" si="77"/>
        <v>1</v>
      </c>
      <c r="J436" s="1245"/>
      <c r="K436" s="961">
        <f t="shared" si="78"/>
        <v>1</v>
      </c>
      <c r="L436" s="1245"/>
      <c r="M436" s="961">
        <f t="shared" si="79"/>
        <v>1</v>
      </c>
      <c r="N436" s="1245"/>
      <c r="O436" s="961">
        <f t="shared" si="80"/>
        <v>1</v>
      </c>
      <c r="P436" s="1245"/>
      <c r="Q436" s="961">
        <f t="shared" si="81"/>
        <v>1</v>
      </c>
      <c r="R436" s="961">
        <f t="shared" si="82"/>
        <v>0</v>
      </c>
      <c r="S436" s="935">
        <f t="shared" si="83"/>
        <v>0</v>
      </c>
    </row>
    <row r="437" spans="1:19">
      <c r="A437" s="1243"/>
      <c r="B437" s="1244"/>
      <c r="C437" s="961">
        <f t="shared" si="74"/>
        <v>1</v>
      </c>
      <c r="D437" s="1245"/>
      <c r="E437" s="961">
        <f t="shared" si="75"/>
        <v>1</v>
      </c>
      <c r="F437" s="1245"/>
      <c r="G437" s="961">
        <f t="shared" si="76"/>
        <v>1</v>
      </c>
      <c r="H437" s="1245"/>
      <c r="I437" s="961">
        <f t="shared" si="77"/>
        <v>1</v>
      </c>
      <c r="J437" s="1245"/>
      <c r="K437" s="961">
        <f t="shared" si="78"/>
        <v>1</v>
      </c>
      <c r="L437" s="1245"/>
      <c r="M437" s="961">
        <f t="shared" si="79"/>
        <v>1</v>
      </c>
      <c r="N437" s="1245"/>
      <c r="O437" s="961">
        <f t="shared" si="80"/>
        <v>1</v>
      </c>
      <c r="P437" s="1245"/>
      <c r="Q437" s="961">
        <f t="shared" si="81"/>
        <v>1</v>
      </c>
      <c r="R437" s="961">
        <f t="shared" si="82"/>
        <v>0</v>
      </c>
      <c r="S437" s="935">
        <f t="shared" si="83"/>
        <v>0</v>
      </c>
    </row>
    <row r="438" spans="1:19">
      <c r="A438" s="1243"/>
      <c r="B438" s="1244"/>
      <c r="C438" s="961">
        <f t="shared" si="74"/>
        <v>1</v>
      </c>
      <c r="D438" s="1245"/>
      <c r="E438" s="961">
        <f t="shared" si="75"/>
        <v>1</v>
      </c>
      <c r="F438" s="1245"/>
      <c r="G438" s="961">
        <f t="shared" si="76"/>
        <v>1</v>
      </c>
      <c r="H438" s="1245"/>
      <c r="I438" s="961">
        <f t="shared" si="77"/>
        <v>1</v>
      </c>
      <c r="J438" s="1245"/>
      <c r="K438" s="961">
        <f t="shared" si="78"/>
        <v>1</v>
      </c>
      <c r="L438" s="1245"/>
      <c r="M438" s="961">
        <f t="shared" si="79"/>
        <v>1</v>
      </c>
      <c r="N438" s="1245"/>
      <c r="O438" s="961">
        <f t="shared" si="80"/>
        <v>1</v>
      </c>
      <c r="P438" s="1245"/>
      <c r="Q438" s="961">
        <f t="shared" si="81"/>
        <v>1</v>
      </c>
      <c r="R438" s="961">
        <f t="shared" si="82"/>
        <v>0</v>
      </c>
      <c r="S438" s="935">
        <f t="shared" si="83"/>
        <v>0</v>
      </c>
    </row>
    <row r="439" spans="1:19">
      <c r="A439" s="1243"/>
      <c r="B439" s="1244"/>
      <c r="C439" s="961">
        <f t="shared" si="74"/>
        <v>1</v>
      </c>
      <c r="D439" s="1245"/>
      <c r="E439" s="961">
        <f t="shared" si="75"/>
        <v>1</v>
      </c>
      <c r="F439" s="1245"/>
      <c r="G439" s="961">
        <f t="shared" si="76"/>
        <v>1</v>
      </c>
      <c r="H439" s="1245"/>
      <c r="I439" s="961">
        <f t="shared" si="77"/>
        <v>1</v>
      </c>
      <c r="J439" s="1245"/>
      <c r="K439" s="961">
        <f t="shared" si="78"/>
        <v>1</v>
      </c>
      <c r="L439" s="1245"/>
      <c r="M439" s="961">
        <f t="shared" si="79"/>
        <v>1</v>
      </c>
      <c r="N439" s="1245"/>
      <c r="O439" s="961">
        <f t="shared" si="80"/>
        <v>1</v>
      </c>
      <c r="P439" s="1245"/>
      <c r="Q439" s="961">
        <f t="shared" si="81"/>
        <v>1</v>
      </c>
      <c r="R439" s="961">
        <f t="shared" si="82"/>
        <v>0</v>
      </c>
      <c r="S439" s="935">
        <f t="shared" si="83"/>
        <v>0</v>
      </c>
    </row>
    <row r="440" spans="1:19">
      <c r="A440" s="1243"/>
      <c r="B440" s="1244"/>
      <c r="C440" s="961">
        <f t="shared" si="74"/>
        <v>1</v>
      </c>
      <c r="D440" s="1245"/>
      <c r="E440" s="961">
        <f t="shared" si="75"/>
        <v>1</v>
      </c>
      <c r="F440" s="1245"/>
      <c r="G440" s="961">
        <f t="shared" si="76"/>
        <v>1</v>
      </c>
      <c r="H440" s="1245"/>
      <c r="I440" s="961">
        <f t="shared" si="77"/>
        <v>1</v>
      </c>
      <c r="J440" s="1245"/>
      <c r="K440" s="961">
        <f t="shared" si="78"/>
        <v>1</v>
      </c>
      <c r="L440" s="1245"/>
      <c r="M440" s="961">
        <f t="shared" si="79"/>
        <v>1</v>
      </c>
      <c r="N440" s="1245"/>
      <c r="O440" s="961">
        <f t="shared" si="80"/>
        <v>1</v>
      </c>
      <c r="P440" s="1245"/>
      <c r="Q440" s="961">
        <f t="shared" si="81"/>
        <v>1</v>
      </c>
      <c r="R440" s="961">
        <f t="shared" si="82"/>
        <v>0</v>
      </c>
      <c r="S440" s="935">
        <f t="shared" si="83"/>
        <v>0</v>
      </c>
    </row>
    <row r="441" spans="1:19">
      <c r="A441" s="1243"/>
      <c r="B441" s="1244"/>
      <c r="C441" s="961">
        <f t="shared" si="74"/>
        <v>1</v>
      </c>
      <c r="D441" s="1245"/>
      <c r="E441" s="961">
        <f t="shared" si="75"/>
        <v>1</v>
      </c>
      <c r="F441" s="1245"/>
      <c r="G441" s="961">
        <f t="shared" si="76"/>
        <v>1</v>
      </c>
      <c r="H441" s="1245"/>
      <c r="I441" s="961">
        <f t="shared" si="77"/>
        <v>1</v>
      </c>
      <c r="J441" s="1245"/>
      <c r="K441" s="961">
        <f t="shared" si="78"/>
        <v>1</v>
      </c>
      <c r="L441" s="1245"/>
      <c r="M441" s="961">
        <f t="shared" si="79"/>
        <v>1</v>
      </c>
      <c r="N441" s="1245"/>
      <c r="O441" s="961">
        <f t="shared" si="80"/>
        <v>1</v>
      </c>
      <c r="P441" s="1245"/>
      <c r="Q441" s="961">
        <f t="shared" si="81"/>
        <v>1</v>
      </c>
      <c r="R441" s="961">
        <f t="shared" si="82"/>
        <v>0</v>
      </c>
      <c r="S441" s="935">
        <f t="shared" si="83"/>
        <v>0</v>
      </c>
    </row>
    <row r="442" spans="1:19">
      <c r="A442" s="1243"/>
      <c r="B442" s="1244"/>
      <c r="C442" s="961">
        <f t="shared" si="74"/>
        <v>1</v>
      </c>
      <c r="D442" s="1245"/>
      <c r="E442" s="961">
        <f t="shared" si="75"/>
        <v>1</v>
      </c>
      <c r="F442" s="1245"/>
      <c r="G442" s="961">
        <f t="shared" si="76"/>
        <v>1</v>
      </c>
      <c r="H442" s="1245"/>
      <c r="I442" s="961">
        <f t="shared" si="77"/>
        <v>1</v>
      </c>
      <c r="J442" s="1245"/>
      <c r="K442" s="961">
        <f t="shared" si="78"/>
        <v>1</v>
      </c>
      <c r="L442" s="1245"/>
      <c r="M442" s="961">
        <f t="shared" si="79"/>
        <v>1</v>
      </c>
      <c r="N442" s="1245"/>
      <c r="O442" s="961">
        <f t="shared" si="80"/>
        <v>1</v>
      </c>
      <c r="P442" s="1245"/>
      <c r="Q442" s="961">
        <f t="shared" si="81"/>
        <v>1</v>
      </c>
      <c r="R442" s="961">
        <f t="shared" si="82"/>
        <v>0</v>
      </c>
      <c r="S442" s="935">
        <f t="shared" si="83"/>
        <v>0</v>
      </c>
    </row>
    <row r="443" spans="1:19">
      <c r="A443" s="1243"/>
      <c r="B443" s="1244"/>
      <c r="C443" s="961">
        <f t="shared" si="74"/>
        <v>1</v>
      </c>
      <c r="D443" s="1245"/>
      <c r="E443" s="961">
        <f t="shared" si="75"/>
        <v>1</v>
      </c>
      <c r="F443" s="1245"/>
      <c r="G443" s="961">
        <f t="shared" si="76"/>
        <v>1</v>
      </c>
      <c r="H443" s="1245"/>
      <c r="I443" s="961">
        <f t="shared" si="77"/>
        <v>1</v>
      </c>
      <c r="J443" s="1245"/>
      <c r="K443" s="961">
        <f t="shared" si="78"/>
        <v>1</v>
      </c>
      <c r="L443" s="1245"/>
      <c r="M443" s="961">
        <f t="shared" si="79"/>
        <v>1</v>
      </c>
      <c r="N443" s="1245"/>
      <c r="O443" s="961">
        <f t="shared" si="80"/>
        <v>1</v>
      </c>
      <c r="P443" s="1245"/>
      <c r="Q443" s="961">
        <f t="shared" si="81"/>
        <v>1</v>
      </c>
      <c r="R443" s="961">
        <f t="shared" si="82"/>
        <v>0</v>
      </c>
      <c r="S443" s="935">
        <f t="shared" si="83"/>
        <v>0</v>
      </c>
    </row>
    <row r="444" spans="1:19">
      <c r="A444" s="1243"/>
      <c r="B444" s="1244"/>
      <c r="C444" s="961">
        <f t="shared" si="74"/>
        <v>1</v>
      </c>
      <c r="D444" s="1245"/>
      <c r="E444" s="961">
        <f t="shared" si="75"/>
        <v>1</v>
      </c>
      <c r="F444" s="1245"/>
      <c r="G444" s="961">
        <f t="shared" si="76"/>
        <v>1</v>
      </c>
      <c r="H444" s="1245"/>
      <c r="I444" s="961">
        <f t="shared" si="77"/>
        <v>1</v>
      </c>
      <c r="J444" s="1245"/>
      <c r="K444" s="961">
        <f t="shared" si="78"/>
        <v>1</v>
      </c>
      <c r="L444" s="1245"/>
      <c r="M444" s="961">
        <f t="shared" si="79"/>
        <v>1</v>
      </c>
      <c r="N444" s="1245"/>
      <c r="O444" s="961">
        <f t="shared" si="80"/>
        <v>1</v>
      </c>
      <c r="P444" s="1245"/>
      <c r="Q444" s="961">
        <f t="shared" si="81"/>
        <v>1</v>
      </c>
      <c r="R444" s="961">
        <f t="shared" si="82"/>
        <v>0</v>
      </c>
      <c r="S444" s="935">
        <f t="shared" si="83"/>
        <v>0</v>
      </c>
    </row>
    <row r="445" spans="1:19">
      <c r="A445" s="1243"/>
      <c r="B445" s="1244"/>
      <c r="C445" s="961">
        <f t="shared" si="74"/>
        <v>1</v>
      </c>
      <c r="D445" s="1245"/>
      <c r="E445" s="961">
        <f t="shared" si="75"/>
        <v>1</v>
      </c>
      <c r="F445" s="1245"/>
      <c r="G445" s="961">
        <f t="shared" si="76"/>
        <v>1</v>
      </c>
      <c r="H445" s="1245"/>
      <c r="I445" s="961">
        <f t="shared" si="77"/>
        <v>1</v>
      </c>
      <c r="J445" s="1245"/>
      <c r="K445" s="961">
        <f t="shared" si="78"/>
        <v>1</v>
      </c>
      <c r="L445" s="1245"/>
      <c r="M445" s="961">
        <f t="shared" si="79"/>
        <v>1</v>
      </c>
      <c r="N445" s="1245"/>
      <c r="O445" s="961">
        <f t="shared" si="80"/>
        <v>1</v>
      </c>
      <c r="P445" s="1245"/>
      <c r="Q445" s="961">
        <f t="shared" si="81"/>
        <v>1</v>
      </c>
      <c r="R445" s="961">
        <f t="shared" si="82"/>
        <v>0</v>
      </c>
      <c r="S445" s="935">
        <f t="shared" si="83"/>
        <v>0</v>
      </c>
    </row>
    <row r="446" spans="1:19">
      <c r="A446" s="1243"/>
      <c r="B446" s="1244"/>
      <c r="C446" s="961">
        <f t="shared" si="74"/>
        <v>1</v>
      </c>
      <c r="D446" s="1245"/>
      <c r="E446" s="961">
        <f t="shared" si="75"/>
        <v>1</v>
      </c>
      <c r="F446" s="1245"/>
      <c r="G446" s="961">
        <f t="shared" si="76"/>
        <v>1</v>
      </c>
      <c r="H446" s="1245"/>
      <c r="I446" s="961">
        <f t="shared" si="77"/>
        <v>1</v>
      </c>
      <c r="J446" s="1245"/>
      <c r="K446" s="961">
        <f t="shared" si="78"/>
        <v>1</v>
      </c>
      <c r="L446" s="1245"/>
      <c r="M446" s="961">
        <f t="shared" si="79"/>
        <v>1</v>
      </c>
      <c r="N446" s="1245"/>
      <c r="O446" s="961">
        <f t="shared" si="80"/>
        <v>1</v>
      </c>
      <c r="P446" s="1245"/>
      <c r="Q446" s="961">
        <f t="shared" si="81"/>
        <v>1</v>
      </c>
      <c r="R446" s="961">
        <f t="shared" si="82"/>
        <v>0</v>
      </c>
      <c r="S446" s="935">
        <f t="shared" si="83"/>
        <v>0</v>
      </c>
    </row>
    <row r="447" spans="1:19">
      <c r="A447" s="1243"/>
      <c r="B447" s="1244"/>
      <c r="C447" s="961">
        <f t="shared" si="74"/>
        <v>1</v>
      </c>
      <c r="D447" s="1245"/>
      <c r="E447" s="961">
        <f t="shared" si="75"/>
        <v>1</v>
      </c>
      <c r="F447" s="1245"/>
      <c r="G447" s="961">
        <f t="shared" si="76"/>
        <v>1</v>
      </c>
      <c r="H447" s="1245"/>
      <c r="I447" s="961">
        <f t="shared" si="77"/>
        <v>1</v>
      </c>
      <c r="J447" s="1245"/>
      <c r="K447" s="961">
        <f t="shared" si="78"/>
        <v>1</v>
      </c>
      <c r="L447" s="1245"/>
      <c r="M447" s="961">
        <f t="shared" si="79"/>
        <v>1</v>
      </c>
      <c r="N447" s="1245"/>
      <c r="O447" s="961">
        <f t="shared" si="80"/>
        <v>1</v>
      </c>
      <c r="P447" s="1245"/>
      <c r="Q447" s="961">
        <f t="shared" si="81"/>
        <v>1</v>
      </c>
      <c r="R447" s="961">
        <f t="shared" si="82"/>
        <v>0</v>
      </c>
      <c r="S447" s="935">
        <f t="shared" si="83"/>
        <v>0</v>
      </c>
    </row>
    <row r="448" spans="1:19">
      <c r="A448" s="1243"/>
      <c r="B448" s="1244"/>
      <c r="C448" s="961">
        <f t="shared" si="74"/>
        <v>1</v>
      </c>
      <c r="D448" s="1245"/>
      <c r="E448" s="961">
        <f t="shared" si="75"/>
        <v>1</v>
      </c>
      <c r="F448" s="1245"/>
      <c r="G448" s="961">
        <f t="shared" si="76"/>
        <v>1</v>
      </c>
      <c r="H448" s="1245"/>
      <c r="I448" s="961">
        <f t="shared" si="77"/>
        <v>1</v>
      </c>
      <c r="J448" s="1245"/>
      <c r="K448" s="961">
        <f t="shared" si="78"/>
        <v>1</v>
      </c>
      <c r="L448" s="1245"/>
      <c r="M448" s="961">
        <f t="shared" si="79"/>
        <v>1</v>
      </c>
      <c r="N448" s="1245"/>
      <c r="O448" s="961">
        <f t="shared" si="80"/>
        <v>1</v>
      </c>
      <c r="P448" s="1245"/>
      <c r="Q448" s="961">
        <f t="shared" si="81"/>
        <v>1</v>
      </c>
      <c r="R448" s="961">
        <f t="shared" si="82"/>
        <v>0</v>
      </c>
      <c r="S448" s="935">
        <f t="shared" si="83"/>
        <v>0</v>
      </c>
    </row>
    <row r="449" spans="1:19">
      <c r="A449" s="1243"/>
      <c r="B449" s="1244"/>
      <c r="C449" s="961">
        <f t="shared" si="74"/>
        <v>1</v>
      </c>
      <c r="D449" s="1245"/>
      <c r="E449" s="961">
        <f t="shared" si="75"/>
        <v>1</v>
      </c>
      <c r="F449" s="1245"/>
      <c r="G449" s="961">
        <f t="shared" si="76"/>
        <v>1</v>
      </c>
      <c r="H449" s="1245"/>
      <c r="I449" s="961">
        <f t="shared" si="77"/>
        <v>1</v>
      </c>
      <c r="J449" s="1245"/>
      <c r="K449" s="961">
        <f t="shared" si="78"/>
        <v>1</v>
      </c>
      <c r="L449" s="1245"/>
      <c r="M449" s="961">
        <f t="shared" si="79"/>
        <v>1</v>
      </c>
      <c r="N449" s="1245"/>
      <c r="O449" s="961">
        <f t="shared" si="80"/>
        <v>1</v>
      </c>
      <c r="P449" s="1245"/>
      <c r="Q449" s="961">
        <f t="shared" si="81"/>
        <v>1</v>
      </c>
      <c r="R449" s="961">
        <f t="shared" si="82"/>
        <v>0</v>
      </c>
      <c r="S449" s="935">
        <f t="shared" si="83"/>
        <v>0</v>
      </c>
    </row>
    <row r="450" spans="1:19">
      <c r="A450" s="1243"/>
      <c r="B450" s="1244"/>
      <c r="C450" s="961">
        <f t="shared" si="74"/>
        <v>1</v>
      </c>
      <c r="D450" s="1245"/>
      <c r="E450" s="961">
        <f t="shared" si="75"/>
        <v>1</v>
      </c>
      <c r="F450" s="1245"/>
      <c r="G450" s="961">
        <f t="shared" si="76"/>
        <v>1</v>
      </c>
      <c r="H450" s="1245"/>
      <c r="I450" s="961">
        <f t="shared" si="77"/>
        <v>1</v>
      </c>
      <c r="J450" s="1245"/>
      <c r="K450" s="961">
        <f t="shared" si="78"/>
        <v>1</v>
      </c>
      <c r="L450" s="1245"/>
      <c r="M450" s="961">
        <f t="shared" si="79"/>
        <v>1</v>
      </c>
      <c r="N450" s="1245"/>
      <c r="O450" s="961">
        <f t="shared" si="80"/>
        <v>1</v>
      </c>
      <c r="P450" s="1245"/>
      <c r="Q450" s="961">
        <f t="shared" si="81"/>
        <v>1</v>
      </c>
      <c r="R450" s="961">
        <f t="shared" si="82"/>
        <v>0</v>
      </c>
      <c r="S450" s="935">
        <f t="shared" si="83"/>
        <v>0</v>
      </c>
    </row>
    <row r="451" spans="1:19">
      <c r="A451" s="1243"/>
      <c r="B451" s="1244"/>
      <c r="C451" s="961">
        <f t="shared" si="74"/>
        <v>1</v>
      </c>
      <c r="D451" s="1245"/>
      <c r="E451" s="961">
        <f t="shared" si="75"/>
        <v>1</v>
      </c>
      <c r="F451" s="1245"/>
      <c r="G451" s="961">
        <f t="shared" si="76"/>
        <v>1</v>
      </c>
      <c r="H451" s="1245"/>
      <c r="I451" s="961">
        <f t="shared" si="77"/>
        <v>1</v>
      </c>
      <c r="J451" s="1245"/>
      <c r="K451" s="961">
        <f t="shared" si="78"/>
        <v>1</v>
      </c>
      <c r="L451" s="1245"/>
      <c r="M451" s="961">
        <f t="shared" si="79"/>
        <v>1</v>
      </c>
      <c r="N451" s="1245"/>
      <c r="O451" s="961">
        <f t="shared" si="80"/>
        <v>1</v>
      </c>
      <c r="P451" s="1245"/>
      <c r="Q451" s="961">
        <f t="shared" si="81"/>
        <v>1</v>
      </c>
      <c r="R451" s="961">
        <f t="shared" si="82"/>
        <v>0</v>
      </c>
      <c r="S451" s="935">
        <f t="shared" si="83"/>
        <v>0</v>
      </c>
    </row>
    <row r="452" spans="1:19">
      <c r="A452" s="1243"/>
      <c r="B452" s="1244"/>
      <c r="C452" s="961">
        <f t="shared" si="74"/>
        <v>1</v>
      </c>
      <c r="D452" s="1245"/>
      <c r="E452" s="961">
        <f t="shared" si="75"/>
        <v>1</v>
      </c>
      <c r="F452" s="1245"/>
      <c r="G452" s="961">
        <f t="shared" si="76"/>
        <v>1</v>
      </c>
      <c r="H452" s="1245"/>
      <c r="I452" s="961">
        <f t="shared" si="77"/>
        <v>1</v>
      </c>
      <c r="J452" s="1245"/>
      <c r="K452" s="961">
        <f t="shared" si="78"/>
        <v>1</v>
      </c>
      <c r="L452" s="1245"/>
      <c r="M452" s="961">
        <f t="shared" si="79"/>
        <v>1</v>
      </c>
      <c r="N452" s="1245"/>
      <c r="O452" s="961">
        <f t="shared" si="80"/>
        <v>1</v>
      </c>
      <c r="P452" s="1245"/>
      <c r="Q452" s="961">
        <f t="shared" si="81"/>
        <v>1</v>
      </c>
      <c r="R452" s="961">
        <f t="shared" si="82"/>
        <v>0</v>
      </c>
      <c r="S452" s="935">
        <f t="shared" si="83"/>
        <v>0</v>
      </c>
    </row>
    <row r="453" spans="1:19">
      <c r="A453" s="1243"/>
      <c r="B453" s="1244"/>
      <c r="C453" s="961">
        <f t="shared" si="74"/>
        <v>1</v>
      </c>
      <c r="D453" s="1245"/>
      <c r="E453" s="961">
        <f t="shared" si="75"/>
        <v>1</v>
      </c>
      <c r="F453" s="1245"/>
      <c r="G453" s="961">
        <f t="shared" si="76"/>
        <v>1</v>
      </c>
      <c r="H453" s="1245"/>
      <c r="I453" s="961">
        <f t="shared" si="77"/>
        <v>1</v>
      </c>
      <c r="J453" s="1245"/>
      <c r="K453" s="961">
        <f t="shared" si="78"/>
        <v>1</v>
      </c>
      <c r="L453" s="1245"/>
      <c r="M453" s="961">
        <f t="shared" si="79"/>
        <v>1</v>
      </c>
      <c r="N453" s="1245"/>
      <c r="O453" s="961">
        <f t="shared" si="80"/>
        <v>1</v>
      </c>
      <c r="P453" s="1245"/>
      <c r="Q453" s="961">
        <f t="shared" si="81"/>
        <v>1</v>
      </c>
      <c r="R453" s="961">
        <f t="shared" si="82"/>
        <v>0</v>
      </c>
      <c r="S453" s="935">
        <f t="shared" si="83"/>
        <v>0</v>
      </c>
    </row>
    <row r="454" spans="1:19">
      <c r="A454" s="1243"/>
      <c r="B454" s="1244"/>
      <c r="C454" s="961">
        <f t="shared" si="74"/>
        <v>1</v>
      </c>
      <c r="D454" s="1245"/>
      <c r="E454" s="961">
        <f t="shared" si="75"/>
        <v>1</v>
      </c>
      <c r="F454" s="1245"/>
      <c r="G454" s="961">
        <f t="shared" si="76"/>
        <v>1</v>
      </c>
      <c r="H454" s="1245"/>
      <c r="I454" s="961">
        <f t="shared" si="77"/>
        <v>1</v>
      </c>
      <c r="J454" s="1245"/>
      <c r="K454" s="961">
        <f t="shared" si="78"/>
        <v>1</v>
      </c>
      <c r="L454" s="1245"/>
      <c r="M454" s="961">
        <f t="shared" si="79"/>
        <v>1</v>
      </c>
      <c r="N454" s="1245"/>
      <c r="O454" s="961">
        <f t="shared" si="80"/>
        <v>1</v>
      </c>
      <c r="P454" s="1245"/>
      <c r="Q454" s="961">
        <f t="shared" si="81"/>
        <v>1</v>
      </c>
      <c r="R454" s="961">
        <f t="shared" si="82"/>
        <v>0</v>
      </c>
      <c r="S454" s="935">
        <f t="shared" si="83"/>
        <v>0</v>
      </c>
    </row>
    <row r="455" spans="1:19">
      <c r="A455" s="1243"/>
      <c r="B455" s="1244"/>
      <c r="C455" s="961">
        <f t="shared" si="74"/>
        <v>1</v>
      </c>
      <c r="D455" s="1245"/>
      <c r="E455" s="961">
        <f t="shared" si="75"/>
        <v>1</v>
      </c>
      <c r="F455" s="1245"/>
      <c r="G455" s="961">
        <f t="shared" si="76"/>
        <v>1</v>
      </c>
      <c r="H455" s="1245"/>
      <c r="I455" s="961">
        <f t="shared" si="77"/>
        <v>1</v>
      </c>
      <c r="J455" s="1245"/>
      <c r="K455" s="961">
        <f t="shared" si="78"/>
        <v>1</v>
      </c>
      <c r="L455" s="1245"/>
      <c r="M455" s="961">
        <f t="shared" si="79"/>
        <v>1</v>
      </c>
      <c r="N455" s="1245"/>
      <c r="O455" s="961">
        <f t="shared" si="80"/>
        <v>1</v>
      </c>
      <c r="P455" s="1245"/>
      <c r="Q455" s="961">
        <f t="shared" si="81"/>
        <v>1</v>
      </c>
      <c r="R455" s="961">
        <f t="shared" si="82"/>
        <v>0</v>
      </c>
      <c r="S455" s="935">
        <f t="shared" si="83"/>
        <v>0</v>
      </c>
    </row>
    <row r="456" spans="1:19">
      <c r="A456" s="1243"/>
      <c r="B456" s="1244"/>
      <c r="C456" s="961">
        <f t="shared" si="74"/>
        <v>1</v>
      </c>
      <c r="D456" s="1245"/>
      <c r="E456" s="961">
        <f t="shared" si="75"/>
        <v>1</v>
      </c>
      <c r="F456" s="1245"/>
      <c r="G456" s="961">
        <f t="shared" si="76"/>
        <v>1</v>
      </c>
      <c r="H456" s="1245"/>
      <c r="I456" s="961">
        <f t="shared" si="77"/>
        <v>1</v>
      </c>
      <c r="J456" s="1245"/>
      <c r="K456" s="961">
        <f t="shared" si="78"/>
        <v>1</v>
      </c>
      <c r="L456" s="1245"/>
      <c r="M456" s="961">
        <f t="shared" si="79"/>
        <v>1</v>
      </c>
      <c r="N456" s="1245"/>
      <c r="O456" s="961">
        <f t="shared" si="80"/>
        <v>1</v>
      </c>
      <c r="P456" s="1245"/>
      <c r="Q456" s="961">
        <f t="shared" si="81"/>
        <v>1</v>
      </c>
      <c r="R456" s="961">
        <f t="shared" si="82"/>
        <v>0</v>
      </c>
      <c r="S456" s="935">
        <f t="shared" si="83"/>
        <v>0</v>
      </c>
    </row>
    <row r="457" spans="1:19">
      <c r="A457" s="1243"/>
      <c r="B457" s="1244"/>
      <c r="C457" s="961">
        <f t="shared" si="74"/>
        <v>1</v>
      </c>
      <c r="D457" s="1245"/>
      <c r="E457" s="961">
        <f t="shared" si="75"/>
        <v>1</v>
      </c>
      <c r="F457" s="1245"/>
      <c r="G457" s="961">
        <f t="shared" si="76"/>
        <v>1</v>
      </c>
      <c r="H457" s="1245"/>
      <c r="I457" s="961">
        <f t="shared" si="77"/>
        <v>1</v>
      </c>
      <c r="J457" s="1245"/>
      <c r="K457" s="961">
        <f t="shared" si="78"/>
        <v>1</v>
      </c>
      <c r="L457" s="1245"/>
      <c r="M457" s="961">
        <f t="shared" si="79"/>
        <v>1</v>
      </c>
      <c r="N457" s="1245"/>
      <c r="O457" s="961">
        <f t="shared" si="80"/>
        <v>1</v>
      </c>
      <c r="P457" s="1245"/>
      <c r="Q457" s="961">
        <f t="shared" si="81"/>
        <v>1</v>
      </c>
      <c r="R457" s="961">
        <f t="shared" si="82"/>
        <v>0</v>
      </c>
      <c r="S457" s="935">
        <f t="shared" si="83"/>
        <v>0</v>
      </c>
    </row>
    <row r="458" spans="1:19">
      <c r="A458" s="1243"/>
      <c r="B458" s="1244"/>
      <c r="C458" s="961">
        <f t="shared" si="74"/>
        <v>1</v>
      </c>
      <c r="D458" s="1245"/>
      <c r="E458" s="961">
        <f t="shared" si="75"/>
        <v>1</v>
      </c>
      <c r="F458" s="1245"/>
      <c r="G458" s="961">
        <f t="shared" si="76"/>
        <v>1</v>
      </c>
      <c r="H458" s="1245"/>
      <c r="I458" s="961">
        <f t="shared" si="77"/>
        <v>1</v>
      </c>
      <c r="J458" s="1245"/>
      <c r="K458" s="961">
        <f t="shared" si="78"/>
        <v>1</v>
      </c>
      <c r="L458" s="1245"/>
      <c r="M458" s="961">
        <f t="shared" si="79"/>
        <v>1</v>
      </c>
      <c r="N458" s="1245"/>
      <c r="O458" s="961">
        <f t="shared" si="80"/>
        <v>1</v>
      </c>
      <c r="P458" s="1245"/>
      <c r="Q458" s="961">
        <f t="shared" si="81"/>
        <v>1</v>
      </c>
      <c r="R458" s="961">
        <f t="shared" si="82"/>
        <v>0</v>
      </c>
      <c r="S458" s="935">
        <f t="shared" si="83"/>
        <v>0</v>
      </c>
    </row>
    <row r="459" spans="1:19">
      <c r="A459" s="1243"/>
      <c r="B459" s="1244"/>
      <c r="C459" s="961">
        <f t="shared" si="74"/>
        <v>1</v>
      </c>
      <c r="D459" s="1245"/>
      <c r="E459" s="961">
        <f t="shared" si="75"/>
        <v>1</v>
      </c>
      <c r="F459" s="1245"/>
      <c r="G459" s="961">
        <f t="shared" si="76"/>
        <v>1</v>
      </c>
      <c r="H459" s="1245"/>
      <c r="I459" s="961">
        <f t="shared" si="77"/>
        <v>1</v>
      </c>
      <c r="J459" s="1245"/>
      <c r="K459" s="961">
        <f t="shared" si="78"/>
        <v>1</v>
      </c>
      <c r="L459" s="1245"/>
      <c r="M459" s="961">
        <f t="shared" si="79"/>
        <v>1</v>
      </c>
      <c r="N459" s="1245"/>
      <c r="O459" s="961">
        <f t="shared" si="80"/>
        <v>1</v>
      </c>
      <c r="P459" s="1245"/>
      <c r="Q459" s="961">
        <f t="shared" si="81"/>
        <v>1</v>
      </c>
      <c r="R459" s="961">
        <f t="shared" si="82"/>
        <v>0</v>
      </c>
      <c r="S459" s="935">
        <f t="shared" si="83"/>
        <v>0</v>
      </c>
    </row>
    <row r="460" spans="1:19">
      <c r="A460" s="1243"/>
      <c r="B460" s="1244"/>
      <c r="C460" s="961">
        <f t="shared" si="74"/>
        <v>1</v>
      </c>
      <c r="D460" s="1245"/>
      <c r="E460" s="961">
        <f t="shared" si="75"/>
        <v>1</v>
      </c>
      <c r="F460" s="1245"/>
      <c r="G460" s="961">
        <f t="shared" si="76"/>
        <v>1</v>
      </c>
      <c r="H460" s="1245"/>
      <c r="I460" s="961">
        <f t="shared" si="77"/>
        <v>1</v>
      </c>
      <c r="J460" s="1245"/>
      <c r="K460" s="961">
        <f t="shared" si="78"/>
        <v>1</v>
      </c>
      <c r="L460" s="1245"/>
      <c r="M460" s="961">
        <f t="shared" si="79"/>
        <v>1</v>
      </c>
      <c r="N460" s="1245"/>
      <c r="O460" s="961">
        <f t="shared" si="80"/>
        <v>1</v>
      </c>
      <c r="P460" s="1245"/>
      <c r="Q460" s="961">
        <f t="shared" si="81"/>
        <v>1</v>
      </c>
      <c r="R460" s="961">
        <f t="shared" si="82"/>
        <v>0</v>
      </c>
      <c r="S460" s="935">
        <f t="shared" si="83"/>
        <v>0</v>
      </c>
    </row>
    <row r="461" spans="1:19">
      <c r="A461" s="1243"/>
      <c r="B461" s="1244"/>
      <c r="C461" s="961">
        <f t="shared" si="74"/>
        <v>1</v>
      </c>
      <c r="D461" s="1245"/>
      <c r="E461" s="961">
        <f t="shared" si="75"/>
        <v>1</v>
      </c>
      <c r="F461" s="1245"/>
      <c r="G461" s="961">
        <f t="shared" si="76"/>
        <v>1</v>
      </c>
      <c r="H461" s="1245"/>
      <c r="I461" s="961">
        <f t="shared" si="77"/>
        <v>1</v>
      </c>
      <c r="J461" s="1245"/>
      <c r="K461" s="961">
        <f t="shared" si="78"/>
        <v>1</v>
      </c>
      <c r="L461" s="1245"/>
      <c r="M461" s="961">
        <f t="shared" si="79"/>
        <v>1</v>
      </c>
      <c r="N461" s="1245"/>
      <c r="O461" s="961">
        <f t="shared" si="80"/>
        <v>1</v>
      </c>
      <c r="P461" s="1245"/>
      <c r="Q461" s="961">
        <f t="shared" si="81"/>
        <v>1</v>
      </c>
      <c r="R461" s="961">
        <f t="shared" si="82"/>
        <v>0</v>
      </c>
      <c r="S461" s="935">
        <f t="shared" si="83"/>
        <v>0</v>
      </c>
    </row>
    <row r="462" spans="1:19">
      <c r="A462" s="1243"/>
      <c r="B462" s="1244"/>
      <c r="C462" s="961">
        <f t="shared" si="74"/>
        <v>1</v>
      </c>
      <c r="D462" s="1245"/>
      <c r="E462" s="961">
        <f t="shared" si="75"/>
        <v>1</v>
      </c>
      <c r="F462" s="1245"/>
      <c r="G462" s="961">
        <f t="shared" si="76"/>
        <v>1</v>
      </c>
      <c r="H462" s="1245"/>
      <c r="I462" s="961">
        <f t="shared" si="77"/>
        <v>1</v>
      </c>
      <c r="J462" s="1245"/>
      <c r="K462" s="961">
        <f t="shared" si="78"/>
        <v>1</v>
      </c>
      <c r="L462" s="1245"/>
      <c r="M462" s="961">
        <f t="shared" si="79"/>
        <v>1</v>
      </c>
      <c r="N462" s="1245"/>
      <c r="O462" s="961">
        <f t="shared" si="80"/>
        <v>1</v>
      </c>
      <c r="P462" s="1245"/>
      <c r="Q462" s="961">
        <f t="shared" si="81"/>
        <v>1</v>
      </c>
      <c r="R462" s="961">
        <f t="shared" si="82"/>
        <v>0</v>
      </c>
      <c r="S462" s="935">
        <f t="shared" si="83"/>
        <v>0</v>
      </c>
    </row>
    <row r="463" spans="1:19">
      <c r="A463" s="1243"/>
      <c r="B463" s="1244"/>
      <c r="C463" s="961">
        <f t="shared" si="74"/>
        <v>1</v>
      </c>
      <c r="D463" s="1245"/>
      <c r="E463" s="961">
        <f t="shared" si="75"/>
        <v>1</v>
      </c>
      <c r="F463" s="1245"/>
      <c r="G463" s="961">
        <f t="shared" si="76"/>
        <v>1</v>
      </c>
      <c r="H463" s="1245"/>
      <c r="I463" s="961">
        <f t="shared" si="77"/>
        <v>1</v>
      </c>
      <c r="J463" s="1245"/>
      <c r="K463" s="961">
        <f t="shared" si="78"/>
        <v>1</v>
      </c>
      <c r="L463" s="1245"/>
      <c r="M463" s="961">
        <f t="shared" si="79"/>
        <v>1</v>
      </c>
      <c r="N463" s="1245"/>
      <c r="O463" s="961">
        <f t="shared" si="80"/>
        <v>1</v>
      </c>
      <c r="P463" s="1245"/>
      <c r="Q463" s="961">
        <f t="shared" si="81"/>
        <v>1</v>
      </c>
      <c r="R463" s="961">
        <f t="shared" si="82"/>
        <v>0</v>
      </c>
      <c r="S463" s="935">
        <f t="shared" si="83"/>
        <v>0</v>
      </c>
    </row>
    <row r="464" spans="1:19">
      <c r="A464" s="1243"/>
      <c r="B464" s="1244"/>
      <c r="C464" s="961">
        <f t="shared" si="74"/>
        <v>1</v>
      </c>
      <c r="D464" s="1245"/>
      <c r="E464" s="961">
        <f t="shared" si="75"/>
        <v>1</v>
      </c>
      <c r="F464" s="1245"/>
      <c r="G464" s="961">
        <f t="shared" si="76"/>
        <v>1</v>
      </c>
      <c r="H464" s="1245"/>
      <c r="I464" s="961">
        <f t="shared" si="77"/>
        <v>1</v>
      </c>
      <c r="J464" s="1245"/>
      <c r="K464" s="961">
        <f t="shared" si="78"/>
        <v>1</v>
      </c>
      <c r="L464" s="1245"/>
      <c r="M464" s="961">
        <f t="shared" si="79"/>
        <v>1</v>
      </c>
      <c r="N464" s="1245"/>
      <c r="O464" s="961">
        <f t="shared" si="80"/>
        <v>1</v>
      </c>
      <c r="P464" s="1245"/>
      <c r="Q464" s="961">
        <f t="shared" si="81"/>
        <v>1</v>
      </c>
      <c r="R464" s="961">
        <f t="shared" si="82"/>
        <v>0</v>
      </c>
      <c r="S464" s="935">
        <f t="shared" si="83"/>
        <v>0</v>
      </c>
    </row>
    <row r="465" spans="1:19">
      <c r="A465" s="1243"/>
      <c r="B465" s="1244"/>
      <c r="C465" s="961">
        <f t="shared" si="74"/>
        <v>1</v>
      </c>
      <c r="D465" s="1245"/>
      <c r="E465" s="961">
        <f t="shared" si="75"/>
        <v>1</v>
      </c>
      <c r="F465" s="1245"/>
      <c r="G465" s="961">
        <f t="shared" si="76"/>
        <v>1</v>
      </c>
      <c r="H465" s="1245"/>
      <c r="I465" s="961">
        <f t="shared" si="77"/>
        <v>1</v>
      </c>
      <c r="J465" s="1245"/>
      <c r="K465" s="961">
        <f t="shared" si="78"/>
        <v>1</v>
      </c>
      <c r="L465" s="1245"/>
      <c r="M465" s="961">
        <f t="shared" si="79"/>
        <v>1</v>
      </c>
      <c r="N465" s="1245"/>
      <c r="O465" s="961">
        <f t="shared" si="80"/>
        <v>1</v>
      </c>
      <c r="P465" s="1245"/>
      <c r="Q465" s="961">
        <f t="shared" si="81"/>
        <v>1</v>
      </c>
      <c r="R465" s="961">
        <f t="shared" si="82"/>
        <v>0</v>
      </c>
      <c r="S465" s="935">
        <f t="shared" si="83"/>
        <v>0</v>
      </c>
    </row>
    <row r="466" spans="1:19">
      <c r="A466" s="1243"/>
      <c r="B466" s="1244"/>
      <c r="C466" s="961">
        <f t="shared" si="74"/>
        <v>1</v>
      </c>
      <c r="D466" s="1245"/>
      <c r="E466" s="961">
        <f t="shared" si="75"/>
        <v>1</v>
      </c>
      <c r="F466" s="1245"/>
      <c r="G466" s="961">
        <f t="shared" si="76"/>
        <v>1</v>
      </c>
      <c r="H466" s="1245"/>
      <c r="I466" s="961">
        <f t="shared" si="77"/>
        <v>1</v>
      </c>
      <c r="J466" s="1245"/>
      <c r="K466" s="961">
        <f t="shared" si="78"/>
        <v>1</v>
      </c>
      <c r="L466" s="1245"/>
      <c r="M466" s="961">
        <f t="shared" si="79"/>
        <v>1</v>
      </c>
      <c r="N466" s="1245"/>
      <c r="O466" s="961">
        <f t="shared" si="80"/>
        <v>1</v>
      </c>
      <c r="P466" s="1245"/>
      <c r="Q466" s="961">
        <f t="shared" si="81"/>
        <v>1</v>
      </c>
      <c r="R466" s="961">
        <f t="shared" si="82"/>
        <v>0</v>
      </c>
      <c r="S466" s="935">
        <f t="shared" si="83"/>
        <v>0</v>
      </c>
    </row>
    <row r="467" spans="1:19">
      <c r="A467" s="1243"/>
      <c r="B467" s="1244"/>
      <c r="C467" s="961">
        <f t="shared" si="74"/>
        <v>1</v>
      </c>
      <c r="D467" s="1245"/>
      <c r="E467" s="961">
        <f t="shared" si="75"/>
        <v>1</v>
      </c>
      <c r="F467" s="1245"/>
      <c r="G467" s="961">
        <f t="shared" si="76"/>
        <v>1</v>
      </c>
      <c r="H467" s="1245"/>
      <c r="I467" s="961">
        <f t="shared" si="77"/>
        <v>1</v>
      </c>
      <c r="J467" s="1245"/>
      <c r="K467" s="961">
        <f t="shared" si="78"/>
        <v>1</v>
      </c>
      <c r="L467" s="1245"/>
      <c r="M467" s="961">
        <f t="shared" si="79"/>
        <v>1</v>
      </c>
      <c r="N467" s="1245"/>
      <c r="O467" s="961">
        <f t="shared" si="80"/>
        <v>1</v>
      </c>
      <c r="P467" s="1245"/>
      <c r="Q467" s="961">
        <f t="shared" si="81"/>
        <v>1</v>
      </c>
      <c r="R467" s="961">
        <f t="shared" si="82"/>
        <v>0</v>
      </c>
      <c r="S467" s="935">
        <f t="shared" si="83"/>
        <v>0</v>
      </c>
    </row>
    <row r="468" spans="1:19">
      <c r="A468" s="1243"/>
      <c r="B468" s="1244"/>
      <c r="C468" s="961">
        <f t="shared" si="74"/>
        <v>1</v>
      </c>
      <c r="D468" s="1245"/>
      <c r="E468" s="961">
        <f t="shared" si="75"/>
        <v>1</v>
      </c>
      <c r="F468" s="1245"/>
      <c r="G468" s="961">
        <f t="shared" si="76"/>
        <v>1</v>
      </c>
      <c r="H468" s="1245"/>
      <c r="I468" s="961">
        <f t="shared" si="77"/>
        <v>1</v>
      </c>
      <c r="J468" s="1245"/>
      <c r="K468" s="961">
        <f t="shared" si="78"/>
        <v>1</v>
      </c>
      <c r="L468" s="1245"/>
      <c r="M468" s="961">
        <f t="shared" si="79"/>
        <v>1</v>
      </c>
      <c r="N468" s="1245"/>
      <c r="O468" s="961">
        <f t="shared" si="80"/>
        <v>1</v>
      </c>
      <c r="P468" s="1245"/>
      <c r="Q468" s="961">
        <f t="shared" si="81"/>
        <v>1</v>
      </c>
      <c r="R468" s="961">
        <f t="shared" si="82"/>
        <v>0</v>
      </c>
      <c r="S468" s="935">
        <f t="shared" ref="S468:S497" si="84">ROUND(R468*B468/10000,0)</f>
        <v>0</v>
      </c>
    </row>
    <row r="469" spans="1:19">
      <c r="A469" s="1243"/>
      <c r="B469" s="1244"/>
      <c r="C469" s="961">
        <f t="shared" si="74"/>
        <v>1</v>
      </c>
      <c r="D469" s="1245"/>
      <c r="E469" s="961">
        <f t="shared" si="75"/>
        <v>1</v>
      </c>
      <c r="F469" s="1245"/>
      <c r="G469" s="961">
        <f t="shared" si="76"/>
        <v>1</v>
      </c>
      <c r="H469" s="1245"/>
      <c r="I469" s="961">
        <f t="shared" si="77"/>
        <v>1</v>
      </c>
      <c r="J469" s="1245"/>
      <c r="K469" s="961">
        <f t="shared" si="78"/>
        <v>1</v>
      </c>
      <c r="L469" s="1245"/>
      <c r="M469" s="961">
        <f t="shared" si="79"/>
        <v>1</v>
      </c>
      <c r="N469" s="1245"/>
      <c r="O469" s="961">
        <f t="shared" si="80"/>
        <v>1</v>
      </c>
      <c r="P469" s="1245"/>
      <c r="Q469" s="961">
        <f t="shared" si="81"/>
        <v>1</v>
      </c>
      <c r="R469" s="961">
        <f t="shared" si="82"/>
        <v>0</v>
      </c>
      <c r="S469" s="935">
        <f t="shared" si="84"/>
        <v>0</v>
      </c>
    </row>
    <row r="470" spans="1:19">
      <c r="A470" s="1243"/>
      <c r="B470" s="1244"/>
      <c r="C470" s="961">
        <f t="shared" si="74"/>
        <v>1</v>
      </c>
      <c r="D470" s="1245"/>
      <c r="E470" s="961">
        <f t="shared" si="75"/>
        <v>1</v>
      </c>
      <c r="F470" s="1245"/>
      <c r="G470" s="961">
        <f t="shared" si="76"/>
        <v>1</v>
      </c>
      <c r="H470" s="1245"/>
      <c r="I470" s="961">
        <f t="shared" si="77"/>
        <v>1</v>
      </c>
      <c r="J470" s="1245"/>
      <c r="K470" s="961">
        <f t="shared" si="78"/>
        <v>1</v>
      </c>
      <c r="L470" s="1245"/>
      <c r="M470" s="961">
        <f t="shared" si="79"/>
        <v>1</v>
      </c>
      <c r="N470" s="1245"/>
      <c r="O470" s="961">
        <f t="shared" si="80"/>
        <v>1</v>
      </c>
      <c r="P470" s="1245"/>
      <c r="Q470" s="961">
        <f t="shared" si="81"/>
        <v>1</v>
      </c>
      <c r="R470" s="961">
        <f t="shared" si="82"/>
        <v>0</v>
      </c>
      <c r="S470" s="935">
        <f t="shared" si="84"/>
        <v>0</v>
      </c>
    </row>
    <row r="471" spans="1:19">
      <c r="A471" s="1243"/>
      <c r="B471" s="1244"/>
      <c r="C471" s="961">
        <f t="shared" si="74"/>
        <v>1</v>
      </c>
      <c r="D471" s="1245"/>
      <c r="E471" s="961">
        <f t="shared" si="75"/>
        <v>1</v>
      </c>
      <c r="F471" s="1245"/>
      <c r="G471" s="961">
        <f t="shared" si="76"/>
        <v>1</v>
      </c>
      <c r="H471" s="1245"/>
      <c r="I471" s="961">
        <f t="shared" si="77"/>
        <v>1</v>
      </c>
      <c r="J471" s="1245"/>
      <c r="K471" s="961">
        <f t="shared" si="78"/>
        <v>1</v>
      </c>
      <c r="L471" s="1245"/>
      <c r="M471" s="961">
        <f t="shared" si="79"/>
        <v>1</v>
      </c>
      <c r="N471" s="1245"/>
      <c r="O471" s="961">
        <f t="shared" si="80"/>
        <v>1</v>
      </c>
      <c r="P471" s="1245"/>
      <c r="Q471" s="961">
        <f t="shared" si="81"/>
        <v>1</v>
      </c>
      <c r="R471" s="961">
        <f t="shared" si="82"/>
        <v>0</v>
      </c>
      <c r="S471" s="935">
        <f t="shared" si="84"/>
        <v>0</v>
      </c>
    </row>
    <row r="472" spans="1:19">
      <c r="A472" s="1243"/>
      <c r="B472" s="1244"/>
      <c r="C472" s="961">
        <f t="shared" si="74"/>
        <v>1</v>
      </c>
      <c r="D472" s="1245"/>
      <c r="E472" s="961">
        <f t="shared" si="75"/>
        <v>1</v>
      </c>
      <c r="F472" s="1245"/>
      <c r="G472" s="961">
        <f t="shared" si="76"/>
        <v>1</v>
      </c>
      <c r="H472" s="1245"/>
      <c r="I472" s="961">
        <f t="shared" si="77"/>
        <v>1</v>
      </c>
      <c r="J472" s="1245"/>
      <c r="K472" s="961">
        <f t="shared" si="78"/>
        <v>1</v>
      </c>
      <c r="L472" s="1245"/>
      <c r="M472" s="961">
        <f t="shared" si="79"/>
        <v>1</v>
      </c>
      <c r="N472" s="1245"/>
      <c r="O472" s="961">
        <f t="shared" si="80"/>
        <v>1</v>
      </c>
      <c r="P472" s="1245"/>
      <c r="Q472" s="961">
        <f t="shared" si="81"/>
        <v>1</v>
      </c>
      <c r="R472" s="961">
        <f t="shared" si="82"/>
        <v>0</v>
      </c>
      <c r="S472" s="935">
        <f t="shared" si="84"/>
        <v>0</v>
      </c>
    </row>
    <row r="473" spans="1:19">
      <c r="A473" s="1243"/>
      <c r="B473" s="1244"/>
      <c r="C473" s="961">
        <f t="shared" si="74"/>
        <v>1</v>
      </c>
      <c r="D473" s="1245"/>
      <c r="E473" s="961">
        <f t="shared" si="75"/>
        <v>1</v>
      </c>
      <c r="F473" s="1245"/>
      <c r="G473" s="961">
        <f t="shared" si="76"/>
        <v>1</v>
      </c>
      <c r="H473" s="1245"/>
      <c r="I473" s="961">
        <f t="shared" si="77"/>
        <v>1</v>
      </c>
      <c r="J473" s="1245"/>
      <c r="K473" s="961">
        <f t="shared" si="78"/>
        <v>1</v>
      </c>
      <c r="L473" s="1245"/>
      <c r="M473" s="961">
        <f t="shared" si="79"/>
        <v>1</v>
      </c>
      <c r="N473" s="1245"/>
      <c r="O473" s="961">
        <f t="shared" si="80"/>
        <v>1</v>
      </c>
      <c r="P473" s="1245"/>
      <c r="Q473" s="961">
        <f t="shared" si="81"/>
        <v>1</v>
      </c>
      <c r="R473" s="961">
        <f t="shared" si="82"/>
        <v>0</v>
      </c>
      <c r="S473" s="935">
        <f t="shared" si="84"/>
        <v>0</v>
      </c>
    </row>
    <row r="474" spans="1:19">
      <c r="A474" s="1243"/>
      <c r="B474" s="1244"/>
      <c r="C474" s="961">
        <f t="shared" ref="C474:C524" si="85">IF(B474="",1,(LOOKUP(B474,$3:$3,$4:$4)-LOOKUP($B$24,$3:$3,$4:$4)+100)/100)</f>
        <v>1</v>
      </c>
      <c r="D474" s="1245"/>
      <c r="E474" s="961">
        <f t="shared" ref="E474:E524" si="86">(SUMIF($5:$5,D474,$6:$6)-SUMIF($5:$5,$D$24,$6:$6)+100)/100</f>
        <v>1</v>
      </c>
      <c r="F474" s="1245"/>
      <c r="G474" s="961">
        <f t="shared" ref="G474:G524" si="87">(SUMIF($7:$7,F474,$8:$8)-SUMIF($7:$7,$F$24,$8:$8)+100)/100</f>
        <v>1</v>
      </c>
      <c r="H474" s="1245"/>
      <c r="I474" s="961">
        <f t="shared" ref="I474:I524" si="88">(SUMIF($9:$9,H474,$10:$10)-SUMIF($9:$9,$H$24,$10:$10)+100)/100</f>
        <v>1</v>
      </c>
      <c r="J474" s="1245"/>
      <c r="K474" s="961">
        <f t="shared" ref="K474:K524" si="89">(SUMIF($11:$11,J474,$12:$12)-SUMIF($11:$11,$J$24,$12:$12)+100)/100</f>
        <v>1</v>
      </c>
      <c r="L474" s="1245"/>
      <c r="M474" s="961">
        <f t="shared" ref="M474:M524" si="90">(SUMIF($13:$13,L474,$14:$14)-SUMIF($13:$13,$L$24,$14:$14)+100)/100</f>
        <v>1</v>
      </c>
      <c r="N474" s="1245"/>
      <c r="O474" s="961">
        <f t="shared" ref="O474:O524" si="91">(SUMIF($15:$15,N474,$16:$16)-SUMIF($15:$15,$N$24,$16:$16)+100)/100</f>
        <v>1</v>
      </c>
      <c r="P474" s="1245"/>
      <c r="Q474" s="961">
        <f t="shared" ref="Q474:Q524" si="92">(SUMIF($17:$17,P474,$18:$18)-SUMIF($17:$17,$P$24,$18:$18)+100)/100</f>
        <v>1</v>
      </c>
      <c r="R474" s="961">
        <f t="shared" ref="R474:R524" si="93">IF(B474="",0,ROUND($R$24*C474*E474*G474*I474*K474*M474*O474*Q474,0))</f>
        <v>0</v>
      </c>
      <c r="S474" s="935">
        <f t="shared" si="84"/>
        <v>0</v>
      </c>
    </row>
    <row r="475" spans="1:19">
      <c r="A475" s="1243"/>
      <c r="B475" s="1244"/>
      <c r="C475" s="961">
        <f t="shared" si="85"/>
        <v>1</v>
      </c>
      <c r="D475" s="1245"/>
      <c r="E475" s="961">
        <f t="shared" si="86"/>
        <v>1</v>
      </c>
      <c r="F475" s="1245"/>
      <c r="G475" s="961">
        <f t="shared" si="87"/>
        <v>1</v>
      </c>
      <c r="H475" s="1245"/>
      <c r="I475" s="961">
        <f t="shared" si="88"/>
        <v>1</v>
      </c>
      <c r="J475" s="1245"/>
      <c r="K475" s="961">
        <f t="shared" si="89"/>
        <v>1</v>
      </c>
      <c r="L475" s="1245"/>
      <c r="M475" s="961">
        <f t="shared" si="90"/>
        <v>1</v>
      </c>
      <c r="N475" s="1245"/>
      <c r="O475" s="961">
        <f t="shared" si="91"/>
        <v>1</v>
      </c>
      <c r="P475" s="1245"/>
      <c r="Q475" s="961">
        <f t="shared" si="92"/>
        <v>1</v>
      </c>
      <c r="R475" s="961">
        <f t="shared" si="93"/>
        <v>0</v>
      </c>
      <c r="S475" s="935">
        <f t="shared" si="84"/>
        <v>0</v>
      </c>
    </row>
    <row r="476" spans="1:19">
      <c r="A476" s="1243"/>
      <c r="B476" s="1244"/>
      <c r="C476" s="961">
        <f t="shared" si="85"/>
        <v>1</v>
      </c>
      <c r="D476" s="1245"/>
      <c r="E476" s="961">
        <f t="shared" si="86"/>
        <v>1</v>
      </c>
      <c r="F476" s="1245"/>
      <c r="G476" s="961">
        <f t="shared" si="87"/>
        <v>1</v>
      </c>
      <c r="H476" s="1245"/>
      <c r="I476" s="961">
        <f t="shared" si="88"/>
        <v>1</v>
      </c>
      <c r="J476" s="1245"/>
      <c r="K476" s="961">
        <f t="shared" si="89"/>
        <v>1</v>
      </c>
      <c r="L476" s="1245"/>
      <c r="M476" s="961">
        <f t="shared" si="90"/>
        <v>1</v>
      </c>
      <c r="N476" s="1245"/>
      <c r="O476" s="961">
        <f t="shared" si="91"/>
        <v>1</v>
      </c>
      <c r="P476" s="1245"/>
      <c r="Q476" s="961">
        <f t="shared" si="92"/>
        <v>1</v>
      </c>
      <c r="R476" s="961">
        <f t="shared" si="93"/>
        <v>0</v>
      </c>
      <c r="S476" s="935">
        <f t="shared" si="84"/>
        <v>0</v>
      </c>
    </row>
    <row r="477" spans="1:19">
      <c r="A477" s="1243"/>
      <c r="B477" s="1244"/>
      <c r="C477" s="961">
        <f t="shared" si="85"/>
        <v>1</v>
      </c>
      <c r="D477" s="1245"/>
      <c r="E477" s="961">
        <f t="shared" si="86"/>
        <v>1</v>
      </c>
      <c r="F477" s="1245"/>
      <c r="G477" s="961">
        <f t="shared" si="87"/>
        <v>1</v>
      </c>
      <c r="H477" s="1245"/>
      <c r="I477" s="961">
        <f t="shared" si="88"/>
        <v>1</v>
      </c>
      <c r="J477" s="1245"/>
      <c r="K477" s="961">
        <f t="shared" si="89"/>
        <v>1</v>
      </c>
      <c r="L477" s="1245"/>
      <c r="M477" s="961">
        <f t="shared" si="90"/>
        <v>1</v>
      </c>
      <c r="N477" s="1245"/>
      <c r="O477" s="961">
        <f t="shared" si="91"/>
        <v>1</v>
      </c>
      <c r="P477" s="1245"/>
      <c r="Q477" s="961">
        <f t="shared" si="92"/>
        <v>1</v>
      </c>
      <c r="R477" s="961">
        <f t="shared" si="93"/>
        <v>0</v>
      </c>
      <c r="S477" s="935">
        <f t="shared" si="84"/>
        <v>0</v>
      </c>
    </row>
    <row r="478" spans="1:19">
      <c r="A478" s="1243"/>
      <c r="B478" s="1244"/>
      <c r="C478" s="961">
        <f t="shared" si="85"/>
        <v>1</v>
      </c>
      <c r="D478" s="1245"/>
      <c r="E478" s="961">
        <f t="shared" si="86"/>
        <v>1</v>
      </c>
      <c r="F478" s="1245"/>
      <c r="G478" s="961">
        <f t="shared" si="87"/>
        <v>1</v>
      </c>
      <c r="H478" s="1245"/>
      <c r="I478" s="961">
        <f t="shared" si="88"/>
        <v>1</v>
      </c>
      <c r="J478" s="1245"/>
      <c r="K478" s="961">
        <f t="shared" si="89"/>
        <v>1</v>
      </c>
      <c r="L478" s="1245"/>
      <c r="M478" s="961">
        <f t="shared" si="90"/>
        <v>1</v>
      </c>
      <c r="N478" s="1245"/>
      <c r="O478" s="961">
        <f t="shared" si="91"/>
        <v>1</v>
      </c>
      <c r="P478" s="1245"/>
      <c r="Q478" s="961">
        <f t="shared" si="92"/>
        <v>1</v>
      </c>
      <c r="R478" s="961">
        <f t="shared" si="93"/>
        <v>0</v>
      </c>
      <c r="S478" s="935">
        <f t="shared" si="84"/>
        <v>0</v>
      </c>
    </row>
    <row r="479" spans="1:19">
      <c r="A479" s="1243"/>
      <c r="B479" s="1244"/>
      <c r="C479" s="961">
        <f t="shared" si="85"/>
        <v>1</v>
      </c>
      <c r="D479" s="1245"/>
      <c r="E479" s="961">
        <f t="shared" si="86"/>
        <v>1</v>
      </c>
      <c r="F479" s="1245"/>
      <c r="G479" s="961">
        <f t="shared" si="87"/>
        <v>1</v>
      </c>
      <c r="H479" s="1245"/>
      <c r="I479" s="961">
        <f t="shared" si="88"/>
        <v>1</v>
      </c>
      <c r="J479" s="1245"/>
      <c r="K479" s="961">
        <f t="shared" si="89"/>
        <v>1</v>
      </c>
      <c r="L479" s="1245"/>
      <c r="M479" s="961">
        <f t="shared" si="90"/>
        <v>1</v>
      </c>
      <c r="N479" s="1245"/>
      <c r="O479" s="961">
        <f t="shared" si="91"/>
        <v>1</v>
      </c>
      <c r="P479" s="1245"/>
      <c r="Q479" s="961">
        <f t="shared" si="92"/>
        <v>1</v>
      </c>
      <c r="R479" s="961">
        <f t="shared" si="93"/>
        <v>0</v>
      </c>
      <c r="S479" s="935">
        <f t="shared" si="84"/>
        <v>0</v>
      </c>
    </row>
    <row r="480" spans="1:19">
      <c r="A480" s="1243"/>
      <c r="B480" s="1244"/>
      <c r="C480" s="961">
        <f t="shared" si="85"/>
        <v>1</v>
      </c>
      <c r="D480" s="1245"/>
      <c r="E480" s="961">
        <f t="shared" si="86"/>
        <v>1</v>
      </c>
      <c r="F480" s="1245"/>
      <c r="G480" s="961">
        <f t="shared" si="87"/>
        <v>1</v>
      </c>
      <c r="H480" s="1245"/>
      <c r="I480" s="961">
        <f t="shared" si="88"/>
        <v>1</v>
      </c>
      <c r="J480" s="1245"/>
      <c r="K480" s="961">
        <f t="shared" si="89"/>
        <v>1</v>
      </c>
      <c r="L480" s="1245"/>
      <c r="M480" s="961">
        <f t="shared" si="90"/>
        <v>1</v>
      </c>
      <c r="N480" s="1245"/>
      <c r="O480" s="961">
        <f t="shared" si="91"/>
        <v>1</v>
      </c>
      <c r="P480" s="1245"/>
      <c r="Q480" s="961">
        <f t="shared" si="92"/>
        <v>1</v>
      </c>
      <c r="R480" s="961">
        <f t="shared" si="93"/>
        <v>0</v>
      </c>
      <c r="S480" s="935">
        <f t="shared" si="84"/>
        <v>0</v>
      </c>
    </row>
    <row r="481" spans="1:19">
      <c r="A481" s="1243"/>
      <c r="B481" s="1244"/>
      <c r="C481" s="961">
        <f t="shared" si="85"/>
        <v>1</v>
      </c>
      <c r="D481" s="1245"/>
      <c r="E481" s="961">
        <f t="shared" si="86"/>
        <v>1</v>
      </c>
      <c r="F481" s="1245"/>
      <c r="G481" s="961">
        <f t="shared" si="87"/>
        <v>1</v>
      </c>
      <c r="H481" s="1245"/>
      <c r="I481" s="961">
        <f t="shared" si="88"/>
        <v>1</v>
      </c>
      <c r="J481" s="1245"/>
      <c r="K481" s="961">
        <f t="shared" si="89"/>
        <v>1</v>
      </c>
      <c r="L481" s="1245"/>
      <c r="M481" s="961">
        <f t="shared" si="90"/>
        <v>1</v>
      </c>
      <c r="N481" s="1245"/>
      <c r="O481" s="961">
        <f t="shared" si="91"/>
        <v>1</v>
      </c>
      <c r="P481" s="1245"/>
      <c r="Q481" s="961">
        <f t="shared" si="92"/>
        <v>1</v>
      </c>
      <c r="R481" s="961">
        <f t="shared" si="93"/>
        <v>0</v>
      </c>
      <c r="S481" s="935">
        <f t="shared" si="84"/>
        <v>0</v>
      </c>
    </row>
    <row r="482" spans="1:19">
      <c r="A482" s="1243"/>
      <c r="B482" s="1244"/>
      <c r="C482" s="961">
        <f t="shared" si="85"/>
        <v>1</v>
      </c>
      <c r="D482" s="1245"/>
      <c r="E482" s="961">
        <f t="shared" si="86"/>
        <v>1</v>
      </c>
      <c r="F482" s="1245"/>
      <c r="G482" s="961">
        <f t="shared" si="87"/>
        <v>1</v>
      </c>
      <c r="H482" s="1245"/>
      <c r="I482" s="961">
        <f t="shared" si="88"/>
        <v>1</v>
      </c>
      <c r="J482" s="1245"/>
      <c r="K482" s="961">
        <f t="shared" si="89"/>
        <v>1</v>
      </c>
      <c r="L482" s="1245"/>
      <c r="M482" s="961">
        <f t="shared" si="90"/>
        <v>1</v>
      </c>
      <c r="N482" s="1245"/>
      <c r="O482" s="961">
        <f t="shared" si="91"/>
        <v>1</v>
      </c>
      <c r="P482" s="1245"/>
      <c r="Q482" s="961">
        <f t="shared" si="92"/>
        <v>1</v>
      </c>
      <c r="R482" s="961">
        <f t="shared" si="93"/>
        <v>0</v>
      </c>
      <c r="S482" s="935">
        <f t="shared" si="84"/>
        <v>0</v>
      </c>
    </row>
    <row r="483" spans="1:19">
      <c r="A483" s="1243"/>
      <c r="B483" s="1244"/>
      <c r="C483" s="961">
        <f t="shared" si="85"/>
        <v>1</v>
      </c>
      <c r="D483" s="1245"/>
      <c r="E483" s="961">
        <f t="shared" si="86"/>
        <v>1</v>
      </c>
      <c r="F483" s="1245"/>
      <c r="G483" s="961">
        <f t="shared" si="87"/>
        <v>1</v>
      </c>
      <c r="H483" s="1245"/>
      <c r="I483" s="961">
        <f t="shared" si="88"/>
        <v>1</v>
      </c>
      <c r="J483" s="1245"/>
      <c r="K483" s="961">
        <f t="shared" si="89"/>
        <v>1</v>
      </c>
      <c r="L483" s="1245"/>
      <c r="M483" s="961">
        <f t="shared" si="90"/>
        <v>1</v>
      </c>
      <c r="N483" s="1245"/>
      <c r="O483" s="961">
        <f t="shared" si="91"/>
        <v>1</v>
      </c>
      <c r="P483" s="1245"/>
      <c r="Q483" s="961">
        <f t="shared" si="92"/>
        <v>1</v>
      </c>
      <c r="R483" s="961">
        <f t="shared" si="93"/>
        <v>0</v>
      </c>
      <c r="S483" s="935">
        <f t="shared" si="84"/>
        <v>0</v>
      </c>
    </row>
    <row r="484" spans="1:19">
      <c r="A484" s="1243"/>
      <c r="B484" s="1244"/>
      <c r="C484" s="961">
        <f t="shared" si="85"/>
        <v>1</v>
      </c>
      <c r="D484" s="1245"/>
      <c r="E484" s="961">
        <f t="shared" si="86"/>
        <v>1</v>
      </c>
      <c r="F484" s="1245"/>
      <c r="G484" s="961">
        <f t="shared" si="87"/>
        <v>1</v>
      </c>
      <c r="H484" s="1245"/>
      <c r="I484" s="961">
        <f t="shared" si="88"/>
        <v>1</v>
      </c>
      <c r="J484" s="1245"/>
      <c r="K484" s="961">
        <f t="shared" si="89"/>
        <v>1</v>
      </c>
      <c r="L484" s="1245"/>
      <c r="M484" s="961">
        <f t="shared" si="90"/>
        <v>1</v>
      </c>
      <c r="N484" s="1245"/>
      <c r="O484" s="961">
        <f t="shared" si="91"/>
        <v>1</v>
      </c>
      <c r="P484" s="1245"/>
      <c r="Q484" s="961">
        <f t="shared" si="92"/>
        <v>1</v>
      </c>
      <c r="R484" s="961">
        <f t="shared" si="93"/>
        <v>0</v>
      </c>
      <c r="S484" s="935">
        <f t="shared" si="84"/>
        <v>0</v>
      </c>
    </row>
    <row r="485" spans="1:19">
      <c r="A485" s="1243"/>
      <c r="B485" s="1244"/>
      <c r="C485" s="961">
        <f t="shared" si="85"/>
        <v>1</v>
      </c>
      <c r="D485" s="1245"/>
      <c r="E485" s="961">
        <f t="shared" si="86"/>
        <v>1</v>
      </c>
      <c r="F485" s="1245"/>
      <c r="G485" s="961">
        <f t="shared" si="87"/>
        <v>1</v>
      </c>
      <c r="H485" s="1245"/>
      <c r="I485" s="961">
        <f t="shared" si="88"/>
        <v>1</v>
      </c>
      <c r="J485" s="1245"/>
      <c r="K485" s="961">
        <f t="shared" si="89"/>
        <v>1</v>
      </c>
      <c r="L485" s="1245"/>
      <c r="M485" s="961">
        <f t="shared" si="90"/>
        <v>1</v>
      </c>
      <c r="N485" s="1245"/>
      <c r="O485" s="961">
        <f t="shared" si="91"/>
        <v>1</v>
      </c>
      <c r="P485" s="1245"/>
      <c r="Q485" s="961">
        <f t="shared" si="92"/>
        <v>1</v>
      </c>
      <c r="R485" s="961">
        <f t="shared" si="93"/>
        <v>0</v>
      </c>
      <c r="S485" s="935">
        <f t="shared" si="84"/>
        <v>0</v>
      </c>
    </row>
    <row r="486" spans="1:19">
      <c r="A486" s="1243"/>
      <c r="B486" s="1244"/>
      <c r="C486" s="961">
        <f t="shared" si="85"/>
        <v>1</v>
      </c>
      <c r="D486" s="1245"/>
      <c r="E486" s="961">
        <f t="shared" si="86"/>
        <v>1</v>
      </c>
      <c r="F486" s="1245"/>
      <c r="G486" s="961">
        <f t="shared" si="87"/>
        <v>1</v>
      </c>
      <c r="H486" s="1245"/>
      <c r="I486" s="961">
        <f t="shared" si="88"/>
        <v>1</v>
      </c>
      <c r="J486" s="1245"/>
      <c r="K486" s="961">
        <f t="shared" si="89"/>
        <v>1</v>
      </c>
      <c r="L486" s="1245"/>
      <c r="M486" s="961">
        <f t="shared" si="90"/>
        <v>1</v>
      </c>
      <c r="N486" s="1245"/>
      <c r="O486" s="961">
        <f t="shared" si="91"/>
        <v>1</v>
      </c>
      <c r="P486" s="1245"/>
      <c r="Q486" s="961">
        <f t="shared" si="92"/>
        <v>1</v>
      </c>
      <c r="R486" s="961">
        <f t="shared" si="93"/>
        <v>0</v>
      </c>
      <c r="S486" s="935">
        <f t="shared" si="84"/>
        <v>0</v>
      </c>
    </row>
    <row r="487" spans="1:19">
      <c r="A487" s="1243"/>
      <c r="B487" s="1244"/>
      <c r="C487" s="961">
        <f t="shared" si="85"/>
        <v>1</v>
      </c>
      <c r="D487" s="1245"/>
      <c r="E487" s="961">
        <f t="shared" si="86"/>
        <v>1</v>
      </c>
      <c r="F487" s="1245"/>
      <c r="G487" s="961">
        <f t="shared" si="87"/>
        <v>1</v>
      </c>
      <c r="H487" s="1245"/>
      <c r="I487" s="961">
        <f t="shared" si="88"/>
        <v>1</v>
      </c>
      <c r="J487" s="1245"/>
      <c r="K487" s="961">
        <f t="shared" si="89"/>
        <v>1</v>
      </c>
      <c r="L487" s="1245"/>
      <c r="M487" s="961">
        <f t="shared" si="90"/>
        <v>1</v>
      </c>
      <c r="N487" s="1245"/>
      <c r="O487" s="961">
        <f t="shared" si="91"/>
        <v>1</v>
      </c>
      <c r="P487" s="1245"/>
      <c r="Q487" s="961">
        <f t="shared" si="92"/>
        <v>1</v>
      </c>
      <c r="R487" s="961">
        <f t="shared" si="93"/>
        <v>0</v>
      </c>
      <c r="S487" s="935">
        <f t="shared" si="84"/>
        <v>0</v>
      </c>
    </row>
    <row r="488" spans="1:19">
      <c r="A488" s="1243"/>
      <c r="B488" s="1244"/>
      <c r="C488" s="961">
        <f t="shared" si="85"/>
        <v>1</v>
      </c>
      <c r="D488" s="1245"/>
      <c r="E488" s="961">
        <f t="shared" si="86"/>
        <v>1</v>
      </c>
      <c r="F488" s="1245"/>
      <c r="G488" s="961">
        <f t="shared" si="87"/>
        <v>1</v>
      </c>
      <c r="H488" s="1245"/>
      <c r="I488" s="961">
        <f t="shared" si="88"/>
        <v>1</v>
      </c>
      <c r="J488" s="1245"/>
      <c r="K488" s="961">
        <f t="shared" si="89"/>
        <v>1</v>
      </c>
      <c r="L488" s="1245"/>
      <c r="M488" s="961">
        <f t="shared" si="90"/>
        <v>1</v>
      </c>
      <c r="N488" s="1245"/>
      <c r="O488" s="961">
        <f t="shared" si="91"/>
        <v>1</v>
      </c>
      <c r="P488" s="1245"/>
      <c r="Q488" s="961">
        <f t="shared" si="92"/>
        <v>1</v>
      </c>
      <c r="R488" s="961">
        <f t="shared" si="93"/>
        <v>0</v>
      </c>
      <c r="S488" s="935">
        <f t="shared" si="84"/>
        <v>0</v>
      </c>
    </row>
    <row r="489" spans="1:19">
      <c r="A489" s="1243"/>
      <c r="B489" s="1244"/>
      <c r="C489" s="961">
        <f t="shared" si="85"/>
        <v>1</v>
      </c>
      <c r="D489" s="1245"/>
      <c r="E489" s="961">
        <f t="shared" si="86"/>
        <v>1</v>
      </c>
      <c r="F489" s="1245"/>
      <c r="G489" s="961">
        <f t="shared" si="87"/>
        <v>1</v>
      </c>
      <c r="H489" s="1245"/>
      <c r="I489" s="961">
        <f t="shared" si="88"/>
        <v>1</v>
      </c>
      <c r="J489" s="1245"/>
      <c r="K489" s="961">
        <f t="shared" si="89"/>
        <v>1</v>
      </c>
      <c r="L489" s="1245"/>
      <c r="M489" s="961">
        <f t="shared" si="90"/>
        <v>1</v>
      </c>
      <c r="N489" s="1245"/>
      <c r="O489" s="961">
        <f t="shared" si="91"/>
        <v>1</v>
      </c>
      <c r="P489" s="1245"/>
      <c r="Q489" s="961">
        <f t="shared" si="92"/>
        <v>1</v>
      </c>
      <c r="R489" s="961">
        <f t="shared" si="93"/>
        <v>0</v>
      </c>
      <c r="S489" s="935">
        <f t="shared" si="84"/>
        <v>0</v>
      </c>
    </row>
    <row r="490" spans="1:19">
      <c r="A490" s="1243"/>
      <c r="B490" s="1244"/>
      <c r="C490" s="961">
        <f t="shared" si="85"/>
        <v>1</v>
      </c>
      <c r="D490" s="1245"/>
      <c r="E490" s="961">
        <f t="shared" si="86"/>
        <v>1</v>
      </c>
      <c r="F490" s="1245"/>
      <c r="G490" s="961">
        <f t="shared" si="87"/>
        <v>1</v>
      </c>
      <c r="H490" s="1245"/>
      <c r="I490" s="961">
        <f t="shared" si="88"/>
        <v>1</v>
      </c>
      <c r="J490" s="1245"/>
      <c r="K490" s="961">
        <f t="shared" si="89"/>
        <v>1</v>
      </c>
      <c r="L490" s="1245"/>
      <c r="M490" s="961">
        <f t="shared" si="90"/>
        <v>1</v>
      </c>
      <c r="N490" s="1245"/>
      <c r="O490" s="961">
        <f t="shared" si="91"/>
        <v>1</v>
      </c>
      <c r="P490" s="1245"/>
      <c r="Q490" s="961">
        <f t="shared" si="92"/>
        <v>1</v>
      </c>
      <c r="R490" s="961">
        <f t="shared" si="93"/>
        <v>0</v>
      </c>
      <c r="S490" s="935">
        <f t="shared" si="84"/>
        <v>0</v>
      </c>
    </row>
    <row r="491" spans="1:19">
      <c r="A491" s="1243"/>
      <c r="B491" s="1244"/>
      <c r="C491" s="961">
        <f t="shared" si="85"/>
        <v>1</v>
      </c>
      <c r="D491" s="1245"/>
      <c r="E491" s="961">
        <f t="shared" si="86"/>
        <v>1</v>
      </c>
      <c r="F491" s="1245"/>
      <c r="G491" s="961">
        <f t="shared" si="87"/>
        <v>1</v>
      </c>
      <c r="H491" s="1245"/>
      <c r="I491" s="961">
        <f t="shared" si="88"/>
        <v>1</v>
      </c>
      <c r="J491" s="1245"/>
      <c r="K491" s="961">
        <f t="shared" si="89"/>
        <v>1</v>
      </c>
      <c r="L491" s="1245"/>
      <c r="M491" s="961">
        <f t="shared" si="90"/>
        <v>1</v>
      </c>
      <c r="N491" s="1245"/>
      <c r="O491" s="961">
        <f t="shared" si="91"/>
        <v>1</v>
      </c>
      <c r="P491" s="1245"/>
      <c r="Q491" s="961">
        <f t="shared" si="92"/>
        <v>1</v>
      </c>
      <c r="R491" s="961">
        <f t="shared" si="93"/>
        <v>0</v>
      </c>
      <c r="S491" s="935">
        <f t="shared" si="84"/>
        <v>0</v>
      </c>
    </row>
    <row r="492" spans="1:19">
      <c r="A492" s="1243"/>
      <c r="B492" s="1244"/>
      <c r="C492" s="961">
        <f t="shared" si="85"/>
        <v>1</v>
      </c>
      <c r="D492" s="1245"/>
      <c r="E492" s="961">
        <f t="shared" si="86"/>
        <v>1</v>
      </c>
      <c r="F492" s="1245"/>
      <c r="G492" s="961">
        <f t="shared" si="87"/>
        <v>1</v>
      </c>
      <c r="H492" s="1245"/>
      <c r="I492" s="961">
        <f t="shared" si="88"/>
        <v>1</v>
      </c>
      <c r="J492" s="1245"/>
      <c r="K492" s="961">
        <f t="shared" si="89"/>
        <v>1</v>
      </c>
      <c r="L492" s="1245"/>
      <c r="M492" s="961">
        <f t="shared" si="90"/>
        <v>1</v>
      </c>
      <c r="N492" s="1245"/>
      <c r="O492" s="961">
        <f t="shared" si="91"/>
        <v>1</v>
      </c>
      <c r="P492" s="1245"/>
      <c r="Q492" s="961">
        <f t="shared" si="92"/>
        <v>1</v>
      </c>
      <c r="R492" s="961">
        <f t="shared" si="93"/>
        <v>0</v>
      </c>
      <c r="S492" s="935">
        <f t="shared" si="84"/>
        <v>0</v>
      </c>
    </row>
    <row r="493" spans="1:19">
      <c r="A493" s="1243"/>
      <c r="B493" s="1244"/>
      <c r="C493" s="961">
        <f t="shared" si="85"/>
        <v>1</v>
      </c>
      <c r="D493" s="1245"/>
      <c r="E493" s="961">
        <f t="shared" si="86"/>
        <v>1</v>
      </c>
      <c r="F493" s="1245"/>
      <c r="G493" s="961">
        <f t="shared" si="87"/>
        <v>1</v>
      </c>
      <c r="H493" s="1245"/>
      <c r="I493" s="961">
        <f t="shared" si="88"/>
        <v>1</v>
      </c>
      <c r="J493" s="1245"/>
      <c r="K493" s="961">
        <f t="shared" si="89"/>
        <v>1</v>
      </c>
      <c r="L493" s="1245"/>
      <c r="M493" s="961">
        <f t="shared" si="90"/>
        <v>1</v>
      </c>
      <c r="N493" s="1245"/>
      <c r="O493" s="961">
        <f t="shared" si="91"/>
        <v>1</v>
      </c>
      <c r="P493" s="1245"/>
      <c r="Q493" s="961">
        <f t="shared" si="92"/>
        <v>1</v>
      </c>
      <c r="R493" s="961">
        <f t="shared" si="93"/>
        <v>0</v>
      </c>
      <c r="S493" s="935">
        <f t="shared" si="84"/>
        <v>0</v>
      </c>
    </row>
    <row r="494" spans="1:19">
      <c r="A494" s="1243"/>
      <c r="B494" s="1244"/>
      <c r="C494" s="961">
        <f t="shared" si="85"/>
        <v>1</v>
      </c>
      <c r="D494" s="1245"/>
      <c r="E494" s="961">
        <f t="shared" si="86"/>
        <v>1</v>
      </c>
      <c r="F494" s="1245"/>
      <c r="G494" s="961">
        <f t="shared" si="87"/>
        <v>1</v>
      </c>
      <c r="H494" s="1245"/>
      <c r="I494" s="961">
        <f t="shared" si="88"/>
        <v>1</v>
      </c>
      <c r="J494" s="1245"/>
      <c r="K494" s="961">
        <f t="shared" si="89"/>
        <v>1</v>
      </c>
      <c r="L494" s="1245"/>
      <c r="M494" s="961">
        <f t="shared" si="90"/>
        <v>1</v>
      </c>
      <c r="N494" s="1245"/>
      <c r="O494" s="961">
        <f t="shared" si="91"/>
        <v>1</v>
      </c>
      <c r="P494" s="1245"/>
      <c r="Q494" s="961">
        <f t="shared" si="92"/>
        <v>1</v>
      </c>
      <c r="R494" s="961">
        <f t="shared" si="93"/>
        <v>0</v>
      </c>
      <c r="S494" s="935">
        <f t="shared" si="84"/>
        <v>0</v>
      </c>
    </row>
    <row r="495" spans="1:19">
      <c r="A495" s="1243"/>
      <c r="B495" s="1244"/>
      <c r="C495" s="961">
        <f t="shared" si="85"/>
        <v>1</v>
      </c>
      <c r="D495" s="1245"/>
      <c r="E495" s="961">
        <f t="shared" si="86"/>
        <v>1</v>
      </c>
      <c r="F495" s="1245"/>
      <c r="G495" s="961">
        <f t="shared" si="87"/>
        <v>1</v>
      </c>
      <c r="H495" s="1245"/>
      <c r="I495" s="961">
        <f t="shared" si="88"/>
        <v>1</v>
      </c>
      <c r="J495" s="1245"/>
      <c r="K495" s="961">
        <f t="shared" si="89"/>
        <v>1</v>
      </c>
      <c r="L495" s="1245"/>
      <c r="M495" s="961">
        <f t="shared" si="90"/>
        <v>1</v>
      </c>
      <c r="N495" s="1245"/>
      <c r="O495" s="961">
        <f t="shared" si="91"/>
        <v>1</v>
      </c>
      <c r="P495" s="1245"/>
      <c r="Q495" s="961">
        <f t="shared" si="92"/>
        <v>1</v>
      </c>
      <c r="R495" s="961">
        <f t="shared" si="93"/>
        <v>0</v>
      </c>
      <c r="S495" s="935">
        <f t="shared" si="84"/>
        <v>0</v>
      </c>
    </row>
    <row r="496" spans="1:19">
      <c r="A496" s="1243"/>
      <c r="B496" s="1244"/>
      <c r="C496" s="961">
        <f t="shared" si="85"/>
        <v>1</v>
      </c>
      <c r="D496" s="1245"/>
      <c r="E496" s="961">
        <f t="shared" si="86"/>
        <v>1</v>
      </c>
      <c r="F496" s="1245"/>
      <c r="G496" s="961">
        <f t="shared" si="87"/>
        <v>1</v>
      </c>
      <c r="H496" s="1245"/>
      <c r="I496" s="961">
        <f t="shared" si="88"/>
        <v>1</v>
      </c>
      <c r="J496" s="1245"/>
      <c r="K496" s="961">
        <f t="shared" si="89"/>
        <v>1</v>
      </c>
      <c r="L496" s="1245"/>
      <c r="M496" s="961">
        <f t="shared" si="90"/>
        <v>1</v>
      </c>
      <c r="N496" s="1245"/>
      <c r="O496" s="961">
        <f t="shared" si="91"/>
        <v>1</v>
      </c>
      <c r="P496" s="1245"/>
      <c r="Q496" s="961">
        <f t="shared" si="92"/>
        <v>1</v>
      </c>
      <c r="R496" s="961">
        <f t="shared" si="93"/>
        <v>0</v>
      </c>
      <c r="S496" s="935">
        <f t="shared" si="84"/>
        <v>0</v>
      </c>
    </row>
    <row r="497" spans="1:19">
      <c r="A497" s="1243"/>
      <c r="B497" s="1244"/>
      <c r="C497" s="961">
        <f t="shared" si="85"/>
        <v>1</v>
      </c>
      <c r="D497" s="1245"/>
      <c r="E497" s="961">
        <f t="shared" si="86"/>
        <v>1</v>
      </c>
      <c r="F497" s="1245"/>
      <c r="G497" s="961">
        <f t="shared" si="87"/>
        <v>1</v>
      </c>
      <c r="H497" s="1245"/>
      <c r="I497" s="961">
        <f t="shared" si="88"/>
        <v>1</v>
      </c>
      <c r="J497" s="1245"/>
      <c r="K497" s="961">
        <f t="shared" si="89"/>
        <v>1</v>
      </c>
      <c r="L497" s="1245"/>
      <c r="M497" s="961">
        <f t="shared" si="90"/>
        <v>1</v>
      </c>
      <c r="N497" s="1245"/>
      <c r="O497" s="961">
        <f t="shared" si="91"/>
        <v>1</v>
      </c>
      <c r="P497" s="1245"/>
      <c r="Q497" s="961">
        <f t="shared" si="92"/>
        <v>1</v>
      </c>
      <c r="R497" s="961">
        <f t="shared" si="93"/>
        <v>0</v>
      </c>
      <c r="S497" s="935">
        <f t="shared" si="84"/>
        <v>0</v>
      </c>
    </row>
    <row r="498" spans="1:19">
      <c r="A498" s="1243"/>
      <c r="B498" s="1244"/>
      <c r="C498" s="961">
        <f t="shared" si="85"/>
        <v>1</v>
      </c>
      <c r="D498" s="1245"/>
      <c r="E498" s="961">
        <f t="shared" si="86"/>
        <v>1</v>
      </c>
      <c r="F498" s="1245"/>
      <c r="G498" s="961">
        <f t="shared" si="87"/>
        <v>1</v>
      </c>
      <c r="H498" s="1245"/>
      <c r="I498" s="961">
        <f t="shared" si="88"/>
        <v>1</v>
      </c>
      <c r="J498" s="1245"/>
      <c r="K498" s="961">
        <f t="shared" si="89"/>
        <v>1</v>
      </c>
      <c r="L498" s="1245"/>
      <c r="M498" s="961">
        <f t="shared" si="90"/>
        <v>1</v>
      </c>
      <c r="N498" s="1245"/>
      <c r="O498" s="961">
        <f t="shared" si="91"/>
        <v>1</v>
      </c>
      <c r="P498" s="1245"/>
      <c r="Q498" s="961">
        <f t="shared" si="92"/>
        <v>1</v>
      </c>
      <c r="R498" s="961">
        <f t="shared" si="93"/>
        <v>0</v>
      </c>
      <c r="S498" s="935">
        <f t="shared" ref="S498:S524" si="94">ROUND(R498*B498/10000,0)</f>
        <v>0</v>
      </c>
    </row>
    <row r="499" spans="1:19">
      <c r="A499" s="1243"/>
      <c r="B499" s="1244"/>
      <c r="C499" s="961">
        <f t="shared" si="85"/>
        <v>1</v>
      </c>
      <c r="D499" s="1245"/>
      <c r="E499" s="961">
        <f t="shared" si="86"/>
        <v>1</v>
      </c>
      <c r="F499" s="1245"/>
      <c r="G499" s="961">
        <f t="shared" si="87"/>
        <v>1</v>
      </c>
      <c r="H499" s="1245"/>
      <c r="I499" s="961">
        <f t="shared" si="88"/>
        <v>1</v>
      </c>
      <c r="J499" s="1245"/>
      <c r="K499" s="961">
        <f t="shared" si="89"/>
        <v>1</v>
      </c>
      <c r="L499" s="1245"/>
      <c r="M499" s="961">
        <f t="shared" si="90"/>
        <v>1</v>
      </c>
      <c r="N499" s="1245"/>
      <c r="O499" s="961">
        <f t="shared" si="91"/>
        <v>1</v>
      </c>
      <c r="P499" s="1245"/>
      <c r="Q499" s="961">
        <f t="shared" si="92"/>
        <v>1</v>
      </c>
      <c r="R499" s="961">
        <f t="shared" si="93"/>
        <v>0</v>
      </c>
      <c r="S499" s="935">
        <f t="shared" si="94"/>
        <v>0</v>
      </c>
    </row>
    <row r="500" spans="1:19">
      <c r="A500" s="1243"/>
      <c r="B500" s="1244"/>
      <c r="C500" s="961">
        <f t="shared" si="85"/>
        <v>1</v>
      </c>
      <c r="D500" s="1245"/>
      <c r="E500" s="961">
        <f t="shared" si="86"/>
        <v>1</v>
      </c>
      <c r="F500" s="1245"/>
      <c r="G500" s="961">
        <f t="shared" si="87"/>
        <v>1</v>
      </c>
      <c r="H500" s="1245"/>
      <c r="I500" s="961">
        <f t="shared" si="88"/>
        <v>1</v>
      </c>
      <c r="J500" s="1245"/>
      <c r="K500" s="961">
        <f t="shared" si="89"/>
        <v>1</v>
      </c>
      <c r="L500" s="1245"/>
      <c r="M500" s="961">
        <f t="shared" si="90"/>
        <v>1</v>
      </c>
      <c r="N500" s="1245"/>
      <c r="O500" s="961">
        <f t="shared" si="91"/>
        <v>1</v>
      </c>
      <c r="P500" s="1245"/>
      <c r="Q500" s="961">
        <f t="shared" si="92"/>
        <v>1</v>
      </c>
      <c r="R500" s="961">
        <f t="shared" si="93"/>
        <v>0</v>
      </c>
      <c r="S500" s="935">
        <f t="shared" si="94"/>
        <v>0</v>
      </c>
    </row>
    <row r="501" spans="1:19">
      <c r="A501" s="1243"/>
      <c r="B501" s="1244"/>
      <c r="C501" s="961">
        <f t="shared" si="85"/>
        <v>1</v>
      </c>
      <c r="D501" s="1245"/>
      <c r="E501" s="961">
        <f t="shared" si="86"/>
        <v>1</v>
      </c>
      <c r="F501" s="1245"/>
      <c r="G501" s="961">
        <f t="shared" si="87"/>
        <v>1</v>
      </c>
      <c r="H501" s="1245"/>
      <c r="I501" s="961">
        <f t="shared" si="88"/>
        <v>1</v>
      </c>
      <c r="J501" s="1245"/>
      <c r="K501" s="961">
        <f t="shared" si="89"/>
        <v>1</v>
      </c>
      <c r="L501" s="1245"/>
      <c r="M501" s="961">
        <f t="shared" si="90"/>
        <v>1</v>
      </c>
      <c r="N501" s="1245"/>
      <c r="O501" s="961">
        <f t="shared" si="91"/>
        <v>1</v>
      </c>
      <c r="P501" s="1245"/>
      <c r="Q501" s="961">
        <f t="shared" si="92"/>
        <v>1</v>
      </c>
      <c r="R501" s="961">
        <f t="shared" si="93"/>
        <v>0</v>
      </c>
      <c r="S501" s="935">
        <f t="shared" si="94"/>
        <v>0</v>
      </c>
    </row>
    <row r="502" spans="1:19">
      <c r="A502" s="1243"/>
      <c r="B502" s="1244"/>
      <c r="C502" s="961">
        <f t="shared" si="85"/>
        <v>1</v>
      </c>
      <c r="D502" s="1245"/>
      <c r="E502" s="961">
        <f t="shared" si="86"/>
        <v>1</v>
      </c>
      <c r="F502" s="1245"/>
      <c r="G502" s="961">
        <f t="shared" si="87"/>
        <v>1</v>
      </c>
      <c r="H502" s="1245"/>
      <c r="I502" s="961">
        <f t="shared" si="88"/>
        <v>1</v>
      </c>
      <c r="J502" s="1245"/>
      <c r="K502" s="961">
        <f t="shared" si="89"/>
        <v>1</v>
      </c>
      <c r="L502" s="1245"/>
      <c r="M502" s="961">
        <f t="shared" si="90"/>
        <v>1</v>
      </c>
      <c r="N502" s="1245"/>
      <c r="O502" s="961">
        <f t="shared" si="91"/>
        <v>1</v>
      </c>
      <c r="P502" s="1245"/>
      <c r="Q502" s="961">
        <f t="shared" si="92"/>
        <v>1</v>
      </c>
      <c r="R502" s="961">
        <f t="shared" si="93"/>
        <v>0</v>
      </c>
      <c r="S502" s="935">
        <f t="shared" si="94"/>
        <v>0</v>
      </c>
    </row>
    <row r="503" spans="1:19">
      <c r="A503" s="1243"/>
      <c r="B503" s="1244"/>
      <c r="C503" s="961">
        <f t="shared" si="85"/>
        <v>1</v>
      </c>
      <c r="D503" s="1245"/>
      <c r="E503" s="961">
        <f t="shared" si="86"/>
        <v>1</v>
      </c>
      <c r="F503" s="1245"/>
      <c r="G503" s="961">
        <f t="shared" si="87"/>
        <v>1</v>
      </c>
      <c r="H503" s="1245"/>
      <c r="I503" s="961">
        <f t="shared" si="88"/>
        <v>1</v>
      </c>
      <c r="J503" s="1245"/>
      <c r="K503" s="961">
        <f t="shared" si="89"/>
        <v>1</v>
      </c>
      <c r="L503" s="1245"/>
      <c r="M503" s="961">
        <f t="shared" si="90"/>
        <v>1</v>
      </c>
      <c r="N503" s="1245"/>
      <c r="O503" s="961">
        <f t="shared" si="91"/>
        <v>1</v>
      </c>
      <c r="P503" s="1245"/>
      <c r="Q503" s="961">
        <f t="shared" si="92"/>
        <v>1</v>
      </c>
      <c r="R503" s="961">
        <f t="shared" si="93"/>
        <v>0</v>
      </c>
      <c r="S503" s="935">
        <f t="shared" si="94"/>
        <v>0</v>
      </c>
    </row>
    <row r="504" spans="1:19">
      <c r="A504" s="1243"/>
      <c r="B504" s="1244"/>
      <c r="C504" s="961">
        <f t="shared" si="85"/>
        <v>1</v>
      </c>
      <c r="D504" s="1245"/>
      <c r="E504" s="961">
        <f t="shared" si="86"/>
        <v>1</v>
      </c>
      <c r="F504" s="1245"/>
      <c r="G504" s="961">
        <f t="shared" si="87"/>
        <v>1</v>
      </c>
      <c r="H504" s="1245"/>
      <c r="I504" s="961">
        <f t="shared" si="88"/>
        <v>1</v>
      </c>
      <c r="J504" s="1245"/>
      <c r="K504" s="961">
        <f t="shared" si="89"/>
        <v>1</v>
      </c>
      <c r="L504" s="1245"/>
      <c r="M504" s="961">
        <f t="shared" si="90"/>
        <v>1</v>
      </c>
      <c r="N504" s="1245"/>
      <c r="O504" s="961">
        <f t="shared" si="91"/>
        <v>1</v>
      </c>
      <c r="P504" s="1245"/>
      <c r="Q504" s="961">
        <f t="shared" si="92"/>
        <v>1</v>
      </c>
      <c r="R504" s="961">
        <f t="shared" si="93"/>
        <v>0</v>
      </c>
      <c r="S504" s="935">
        <f t="shared" si="94"/>
        <v>0</v>
      </c>
    </row>
    <row r="505" spans="1:19">
      <c r="A505" s="1243"/>
      <c r="B505" s="1244"/>
      <c r="C505" s="961">
        <f t="shared" si="85"/>
        <v>1</v>
      </c>
      <c r="D505" s="1245"/>
      <c r="E505" s="961">
        <f t="shared" si="86"/>
        <v>1</v>
      </c>
      <c r="F505" s="1245"/>
      <c r="G505" s="961">
        <f t="shared" si="87"/>
        <v>1</v>
      </c>
      <c r="H505" s="1245"/>
      <c r="I505" s="961">
        <f t="shared" si="88"/>
        <v>1</v>
      </c>
      <c r="J505" s="1245"/>
      <c r="K505" s="961">
        <f t="shared" si="89"/>
        <v>1</v>
      </c>
      <c r="L505" s="1245"/>
      <c r="M505" s="961">
        <f t="shared" si="90"/>
        <v>1</v>
      </c>
      <c r="N505" s="1245"/>
      <c r="O505" s="961">
        <f t="shared" si="91"/>
        <v>1</v>
      </c>
      <c r="P505" s="1245"/>
      <c r="Q505" s="961">
        <f t="shared" si="92"/>
        <v>1</v>
      </c>
      <c r="R505" s="961">
        <f t="shared" si="93"/>
        <v>0</v>
      </c>
      <c r="S505" s="935">
        <f t="shared" si="94"/>
        <v>0</v>
      </c>
    </row>
    <row r="506" spans="1:19">
      <c r="A506" s="1243"/>
      <c r="B506" s="1244"/>
      <c r="C506" s="961">
        <f t="shared" si="85"/>
        <v>1</v>
      </c>
      <c r="D506" s="1245"/>
      <c r="E506" s="961">
        <f t="shared" si="86"/>
        <v>1</v>
      </c>
      <c r="F506" s="1245"/>
      <c r="G506" s="961">
        <f t="shared" si="87"/>
        <v>1</v>
      </c>
      <c r="H506" s="1245"/>
      <c r="I506" s="961">
        <f t="shared" si="88"/>
        <v>1</v>
      </c>
      <c r="J506" s="1245"/>
      <c r="K506" s="961">
        <f t="shared" si="89"/>
        <v>1</v>
      </c>
      <c r="L506" s="1245"/>
      <c r="M506" s="961">
        <f t="shared" si="90"/>
        <v>1</v>
      </c>
      <c r="N506" s="1245"/>
      <c r="O506" s="961">
        <f t="shared" si="91"/>
        <v>1</v>
      </c>
      <c r="P506" s="1245"/>
      <c r="Q506" s="961">
        <f t="shared" si="92"/>
        <v>1</v>
      </c>
      <c r="R506" s="961">
        <f t="shared" si="93"/>
        <v>0</v>
      </c>
      <c r="S506" s="935">
        <f t="shared" si="94"/>
        <v>0</v>
      </c>
    </row>
    <row r="507" spans="1:19">
      <c r="A507" s="1243"/>
      <c r="B507" s="1244"/>
      <c r="C507" s="961">
        <f t="shared" si="85"/>
        <v>1</v>
      </c>
      <c r="D507" s="1245"/>
      <c r="E507" s="961">
        <f t="shared" si="86"/>
        <v>1</v>
      </c>
      <c r="F507" s="1245"/>
      <c r="G507" s="961">
        <f t="shared" si="87"/>
        <v>1</v>
      </c>
      <c r="H507" s="1245"/>
      <c r="I507" s="961">
        <f t="shared" si="88"/>
        <v>1</v>
      </c>
      <c r="J507" s="1245"/>
      <c r="K507" s="961">
        <f t="shared" si="89"/>
        <v>1</v>
      </c>
      <c r="L507" s="1245"/>
      <c r="M507" s="961">
        <f t="shared" si="90"/>
        <v>1</v>
      </c>
      <c r="N507" s="1245"/>
      <c r="O507" s="961">
        <f t="shared" si="91"/>
        <v>1</v>
      </c>
      <c r="P507" s="1245"/>
      <c r="Q507" s="961">
        <f t="shared" si="92"/>
        <v>1</v>
      </c>
      <c r="R507" s="961">
        <f t="shared" si="93"/>
        <v>0</v>
      </c>
      <c r="S507" s="935">
        <f t="shared" si="94"/>
        <v>0</v>
      </c>
    </row>
    <row r="508" spans="1:19">
      <c r="A508" s="1243"/>
      <c r="B508" s="1244"/>
      <c r="C508" s="961">
        <f t="shared" si="85"/>
        <v>1</v>
      </c>
      <c r="D508" s="1245"/>
      <c r="E508" s="961">
        <f t="shared" si="86"/>
        <v>1</v>
      </c>
      <c r="F508" s="1245"/>
      <c r="G508" s="961">
        <f t="shared" si="87"/>
        <v>1</v>
      </c>
      <c r="H508" s="1245"/>
      <c r="I508" s="961">
        <f t="shared" si="88"/>
        <v>1</v>
      </c>
      <c r="J508" s="1245"/>
      <c r="K508" s="961">
        <f t="shared" si="89"/>
        <v>1</v>
      </c>
      <c r="L508" s="1245"/>
      <c r="M508" s="961">
        <f t="shared" si="90"/>
        <v>1</v>
      </c>
      <c r="N508" s="1245"/>
      <c r="O508" s="961">
        <f t="shared" si="91"/>
        <v>1</v>
      </c>
      <c r="P508" s="1245"/>
      <c r="Q508" s="961">
        <f t="shared" si="92"/>
        <v>1</v>
      </c>
      <c r="R508" s="961">
        <f t="shared" si="93"/>
        <v>0</v>
      </c>
      <c r="S508" s="935">
        <f t="shared" si="94"/>
        <v>0</v>
      </c>
    </row>
    <row r="509" spans="1:19">
      <c r="A509" s="1243"/>
      <c r="B509" s="1244"/>
      <c r="C509" s="961">
        <f t="shared" si="85"/>
        <v>1</v>
      </c>
      <c r="D509" s="1245"/>
      <c r="E509" s="961">
        <f t="shared" si="86"/>
        <v>1</v>
      </c>
      <c r="F509" s="1245"/>
      <c r="G509" s="961">
        <f t="shared" si="87"/>
        <v>1</v>
      </c>
      <c r="H509" s="1245"/>
      <c r="I509" s="961">
        <f t="shared" si="88"/>
        <v>1</v>
      </c>
      <c r="J509" s="1245"/>
      <c r="K509" s="961">
        <f t="shared" si="89"/>
        <v>1</v>
      </c>
      <c r="L509" s="1245"/>
      <c r="M509" s="961">
        <f t="shared" si="90"/>
        <v>1</v>
      </c>
      <c r="N509" s="1245"/>
      <c r="O509" s="961">
        <f t="shared" si="91"/>
        <v>1</v>
      </c>
      <c r="P509" s="1245"/>
      <c r="Q509" s="961">
        <f t="shared" si="92"/>
        <v>1</v>
      </c>
      <c r="R509" s="961">
        <f t="shared" si="93"/>
        <v>0</v>
      </c>
      <c r="S509" s="935">
        <f t="shared" si="94"/>
        <v>0</v>
      </c>
    </row>
    <row r="510" spans="1:19">
      <c r="A510" s="1243"/>
      <c r="B510" s="1244"/>
      <c r="C510" s="961">
        <f t="shared" si="85"/>
        <v>1</v>
      </c>
      <c r="D510" s="1245"/>
      <c r="E510" s="961">
        <f t="shared" si="86"/>
        <v>1</v>
      </c>
      <c r="F510" s="1245"/>
      <c r="G510" s="961">
        <f t="shared" si="87"/>
        <v>1</v>
      </c>
      <c r="H510" s="1245"/>
      <c r="I510" s="961">
        <f t="shared" si="88"/>
        <v>1</v>
      </c>
      <c r="J510" s="1245"/>
      <c r="K510" s="961">
        <f t="shared" si="89"/>
        <v>1</v>
      </c>
      <c r="L510" s="1245"/>
      <c r="M510" s="961">
        <f t="shared" si="90"/>
        <v>1</v>
      </c>
      <c r="N510" s="1245"/>
      <c r="O510" s="961">
        <f t="shared" si="91"/>
        <v>1</v>
      </c>
      <c r="P510" s="1245"/>
      <c r="Q510" s="961">
        <f t="shared" si="92"/>
        <v>1</v>
      </c>
      <c r="R510" s="961">
        <f t="shared" si="93"/>
        <v>0</v>
      </c>
      <c r="S510" s="935">
        <f t="shared" si="94"/>
        <v>0</v>
      </c>
    </row>
    <row r="511" spans="1:19">
      <c r="A511" s="1243"/>
      <c r="B511" s="1244"/>
      <c r="C511" s="961">
        <f t="shared" si="85"/>
        <v>1</v>
      </c>
      <c r="D511" s="1245"/>
      <c r="E511" s="961">
        <f t="shared" si="86"/>
        <v>1</v>
      </c>
      <c r="F511" s="1245"/>
      <c r="G511" s="961">
        <f t="shared" si="87"/>
        <v>1</v>
      </c>
      <c r="H511" s="1245"/>
      <c r="I511" s="961">
        <f t="shared" si="88"/>
        <v>1</v>
      </c>
      <c r="J511" s="1245"/>
      <c r="K511" s="961">
        <f t="shared" si="89"/>
        <v>1</v>
      </c>
      <c r="L511" s="1245"/>
      <c r="M511" s="961">
        <f t="shared" si="90"/>
        <v>1</v>
      </c>
      <c r="N511" s="1245"/>
      <c r="O511" s="961">
        <f t="shared" si="91"/>
        <v>1</v>
      </c>
      <c r="P511" s="1245"/>
      <c r="Q511" s="961">
        <f t="shared" si="92"/>
        <v>1</v>
      </c>
      <c r="R511" s="961">
        <f t="shared" si="93"/>
        <v>0</v>
      </c>
      <c r="S511" s="935">
        <f t="shared" si="94"/>
        <v>0</v>
      </c>
    </row>
    <row r="512" spans="1:19">
      <c r="A512" s="1243"/>
      <c r="B512" s="1244"/>
      <c r="C512" s="961">
        <f t="shared" si="85"/>
        <v>1</v>
      </c>
      <c r="D512" s="1245"/>
      <c r="E512" s="961">
        <f t="shared" si="86"/>
        <v>1</v>
      </c>
      <c r="F512" s="1245"/>
      <c r="G512" s="961">
        <f t="shared" si="87"/>
        <v>1</v>
      </c>
      <c r="H512" s="1245"/>
      <c r="I512" s="961">
        <f t="shared" si="88"/>
        <v>1</v>
      </c>
      <c r="J512" s="1245"/>
      <c r="K512" s="961">
        <f t="shared" si="89"/>
        <v>1</v>
      </c>
      <c r="L512" s="1245"/>
      <c r="M512" s="961">
        <f t="shared" si="90"/>
        <v>1</v>
      </c>
      <c r="N512" s="1245"/>
      <c r="O512" s="961">
        <f t="shared" si="91"/>
        <v>1</v>
      </c>
      <c r="P512" s="1245"/>
      <c r="Q512" s="961">
        <f t="shared" si="92"/>
        <v>1</v>
      </c>
      <c r="R512" s="961">
        <f t="shared" si="93"/>
        <v>0</v>
      </c>
      <c r="S512" s="935">
        <f t="shared" si="94"/>
        <v>0</v>
      </c>
    </row>
    <row r="513" spans="1:19">
      <c r="A513" s="1243"/>
      <c r="B513" s="1244"/>
      <c r="C513" s="961">
        <f t="shared" si="85"/>
        <v>1</v>
      </c>
      <c r="D513" s="1245"/>
      <c r="E513" s="961">
        <f t="shared" si="86"/>
        <v>1</v>
      </c>
      <c r="F513" s="1245"/>
      <c r="G513" s="961">
        <f t="shared" si="87"/>
        <v>1</v>
      </c>
      <c r="H513" s="1245"/>
      <c r="I513" s="961">
        <f t="shared" si="88"/>
        <v>1</v>
      </c>
      <c r="J513" s="1245"/>
      <c r="K513" s="961">
        <f t="shared" si="89"/>
        <v>1</v>
      </c>
      <c r="L513" s="1245"/>
      <c r="M513" s="961">
        <f t="shared" si="90"/>
        <v>1</v>
      </c>
      <c r="N513" s="1245"/>
      <c r="O513" s="961">
        <f t="shared" si="91"/>
        <v>1</v>
      </c>
      <c r="P513" s="1245"/>
      <c r="Q513" s="961">
        <f t="shared" si="92"/>
        <v>1</v>
      </c>
      <c r="R513" s="961">
        <f t="shared" si="93"/>
        <v>0</v>
      </c>
      <c r="S513" s="935">
        <f t="shared" si="94"/>
        <v>0</v>
      </c>
    </row>
    <row r="514" spans="1:19">
      <c r="A514" s="1243"/>
      <c r="B514" s="1244"/>
      <c r="C514" s="961">
        <f t="shared" si="85"/>
        <v>1</v>
      </c>
      <c r="D514" s="1245"/>
      <c r="E514" s="961">
        <f t="shared" si="86"/>
        <v>1</v>
      </c>
      <c r="F514" s="1245"/>
      <c r="G514" s="961">
        <f t="shared" si="87"/>
        <v>1</v>
      </c>
      <c r="H514" s="1245"/>
      <c r="I514" s="961">
        <f t="shared" si="88"/>
        <v>1</v>
      </c>
      <c r="J514" s="1245"/>
      <c r="K514" s="961">
        <f t="shared" si="89"/>
        <v>1</v>
      </c>
      <c r="L514" s="1245"/>
      <c r="M514" s="961">
        <f t="shared" si="90"/>
        <v>1</v>
      </c>
      <c r="N514" s="1245"/>
      <c r="O514" s="961">
        <f t="shared" si="91"/>
        <v>1</v>
      </c>
      <c r="P514" s="1245"/>
      <c r="Q514" s="961">
        <f t="shared" si="92"/>
        <v>1</v>
      </c>
      <c r="R514" s="961">
        <f t="shared" si="93"/>
        <v>0</v>
      </c>
      <c r="S514" s="935">
        <f t="shared" si="94"/>
        <v>0</v>
      </c>
    </row>
    <row r="515" spans="1:19">
      <c r="A515" s="1243"/>
      <c r="B515" s="1244"/>
      <c r="C515" s="961">
        <f t="shared" si="85"/>
        <v>1</v>
      </c>
      <c r="D515" s="1245"/>
      <c r="E515" s="961">
        <f t="shared" si="86"/>
        <v>1</v>
      </c>
      <c r="F515" s="1245"/>
      <c r="G515" s="961">
        <f t="shared" si="87"/>
        <v>1</v>
      </c>
      <c r="H515" s="1245"/>
      <c r="I515" s="961">
        <f t="shared" si="88"/>
        <v>1</v>
      </c>
      <c r="J515" s="1245"/>
      <c r="K515" s="961">
        <f t="shared" si="89"/>
        <v>1</v>
      </c>
      <c r="L515" s="1245"/>
      <c r="M515" s="961">
        <f t="shared" si="90"/>
        <v>1</v>
      </c>
      <c r="N515" s="1245"/>
      <c r="O515" s="961">
        <f t="shared" si="91"/>
        <v>1</v>
      </c>
      <c r="P515" s="1245"/>
      <c r="Q515" s="961">
        <f t="shared" si="92"/>
        <v>1</v>
      </c>
      <c r="R515" s="961">
        <f t="shared" si="93"/>
        <v>0</v>
      </c>
      <c r="S515" s="935">
        <f t="shared" si="94"/>
        <v>0</v>
      </c>
    </row>
    <row r="516" spans="1:19">
      <c r="A516" s="1243"/>
      <c r="B516" s="1244"/>
      <c r="C516" s="961">
        <f t="shared" si="85"/>
        <v>1</v>
      </c>
      <c r="D516" s="1245"/>
      <c r="E516" s="961">
        <f t="shared" si="86"/>
        <v>1</v>
      </c>
      <c r="F516" s="1245"/>
      <c r="G516" s="961">
        <f t="shared" si="87"/>
        <v>1</v>
      </c>
      <c r="H516" s="1245"/>
      <c r="I516" s="961">
        <f t="shared" si="88"/>
        <v>1</v>
      </c>
      <c r="J516" s="1245"/>
      <c r="K516" s="961">
        <f t="shared" si="89"/>
        <v>1</v>
      </c>
      <c r="L516" s="1245"/>
      <c r="M516" s="961">
        <f t="shared" si="90"/>
        <v>1</v>
      </c>
      <c r="N516" s="1245"/>
      <c r="O516" s="961">
        <f t="shared" si="91"/>
        <v>1</v>
      </c>
      <c r="P516" s="1245"/>
      <c r="Q516" s="961">
        <f t="shared" si="92"/>
        <v>1</v>
      </c>
      <c r="R516" s="961">
        <f t="shared" si="93"/>
        <v>0</v>
      </c>
      <c r="S516" s="935">
        <f t="shared" si="94"/>
        <v>0</v>
      </c>
    </row>
    <row r="517" spans="1:19">
      <c r="A517" s="1243"/>
      <c r="B517" s="1244"/>
      <c r="C517" s="961">
        <f t="shared" si="85"/>
        <v>1</v>
      </c>
      <c r="D517" s="1245"/>
      <c r="E517" s="961">
        <f t="shared" si="86"/>
        <v>1</v>
      </c>
      <c r="F517" s="1245"/>
      <c r="G517" s="961">
        <f t="shared" si="87"/>
        <v>1</v>
      </c>
      <c r="H517" s="1245"/>
      <c r="I517" s="961">
        <f t="shared" si="88"/>
        <v>1</v>
      </c>
      <c r="J517" s="1245"/>
      <c r="K517" s="961">
        <f t="shared" si="89"/>
        <v>1</v>
      </c>
      <c r="L517" s="1245"/>
      <c r="M517" s="961">
        <f t="shared" si="90"/>
        <v>1</v>
      </c>
      <c r="N517" s="1245"/>
      <c r="O517" s="961">
        <f t="shared" si="91"/>
        <v>1</v>
      </c>
      <c r="P517" s="1245"/>
      <c r="Q517" s="961">
        <f t="shared" si="92"/>
        <v>1</v>
      </c>
      <c r="R517" s="961">
        <f t="shared" si="93"/>
        <v>0</v>
      </c>
      <c r="S517" s="935">
        <f t="shared" si="94"/>
        <v>0</v>
      </c>
    </row>
    <row r="518" spans="1:19">
      <c r="A518" s="1243"/>
      <c r="B518" s="1244"/>
      <c r="C518" s="961">
        <f t="shared" si="85"/>
        <v>1</v>
      </c>
      <c r="D518" s="1245"/>
      <c r="E518" s="961">
        <f t="shared" si="86"/>
        <v>1</v>
      </c>
      <c r="F518" s="1245"/>
      <c r="G518" s="961">
        <f t="shared" si="87"/>
        <v>1</v>
      </c>
      <c r="H518" s="1245"/>
      <c r="I518" s="961">
        <f t="shared" si="88"/>
        <v>1</v>
      </c>
      <c r="J518" s="1245"/>
      <c r="K518" s="961">
        <f t="shared" si="89"/>
        <v>1</v>
      </c>
      <c r="L518" s="1245"/>
      <c r="M518" s="961">
        <f t="shared" si="90"/>
        <v>1</v>
      </c>
      <c r="N518" s="1245"/>
      <c r="O518" s="961">
        <f t="shared" si="91"/>
        <v>1</v>
      </c>
      <c r="P518" s="1245"/>
      <c r="Q518" s="961">
        <f t="shared" si="92"/>
        <v>1</v>
      </c>
      <c r="R518" s="961">
        <f t="shared" si="93"/>
        <v>0</v>
      </c>
      <c r="S518" s="935">
        <f t="shared" si="94"/>
        <v>0</v>
      </c>
    </row>
    <row r="519" spans="1:19">
      <c r="A519" s="1243"/>
      <c r="B519" s="1244"/>
      <c r="C519" s="961">
        <f t="shared" si="85"/>
        <v>1</v>
      </c>
      <c r="D519" s="1245"/>
      <c r="E519" s="961">
        <f t="shared" si="86"/>
        <v>1</v>
      </c>
      <c r="F519" s="1245"/>
      <c r="G519" s="961">
        <f t="shared" si="87"/>
        <v>1</v>
      </c>
      <c r="H519" s="1245"/>
      <c r="I519" s="961">
        <f t="shared" si="88"/>
        <v>1</v>
      </c>
      <c r="J519" s="1245"/>
      <c r="K519" s="961">
        <f t="shared" si="89"/>
        <v>1</v>
      </c>
      <c r="L519" s="1245"/>
      <c r="M519" s="961">
        <f t="shared" si="90"/>
        <v>1</v>
      </c>
      <c r="N519" s="1245"/>
      <c r="O519" s="961">
        <f t="shared" si="91"/>
        <v>1</v>
      </c>
      <c r="P519" s="1245"/>
      <c r="Q519" s="961">
        <f t="shared" si="92"/>
        <v>1</v>
      </c>
      <c r="R519" s="961">
        <f t="shared" si="93"/>
        <v>0</v>
      </c>
      <c r="S519" s="935">
        <f t="shared" si="94"/>
        <v>0</v>
      </c>
    </row>
    <row r="520" spans="1:19">
      <c r="A520" s="1243"/>
      <c r="B520" s="1244"/>
      <c r="C520" s="961">
        <f t="shared" si="85"/>
        <v>1</v>
      </c>
      <c r="D520" s="1245"/>
      <c r="E520" s="961">
        <f t="shared" si="86"/>
        <v>1</v>
      </c>
      <c r="F520" s="1245"/>
      <c r="G520" s="961">
        <f t="shared" si="87"/>
        <v>1</v>
      </c>
      <c r="H520" s="1245"/>
      <c r="I520" s="961">
        <f t="shared" si="88"/>
        <v>1</v>
      </c>
      <c r="J520" s="1245"/>
      <c r="K520" s="961">
        <f t="shared" si="89"/>
        <v>1</v>
      </c>
      <c r="L520" s="1245"/>
      <c r="M520" s="961">
        <f t="shared" si="90"/>
        <v>1</v>
      </c>
      <c r="N520" s="1245"/>
      <c r="O520" s="961">
        <f t="shared" si="91"/>
        <v>1</v>
      </c>
      <c r="P520" s="1245"/>
      <c r="Q520" s="961">
        <f t="shared" si="92"/>
        <v>1</v>
      </c>
      <c r="R520" s="961">
        <f t="shared" si="93"/>
        <v>0</v>
      </c>
      <c r="S520" s="935">
        <f t="shared" si="94"/>
        <v>0</v>
      </c>
    </row>
    <row r="521" spans="1:19">
      <c r="A521" s="1243"/>
      <c r="B521" s="1244"/>
      <c r="C521" s="961">
        <f t="shared" si="85"/>
        <v>1</v>
      </c>
      <c r="D521" s="1245"/>
      <c r="E521" s="961">
        <f t="shared" si="86"/>
        <v>1</v>
      </c>
      <c r="F521" s="1245"/>
      <c r="G521" s="961">
        <f t="shared" si="87"/>
        <v>1</v>
      </c>
      <c r="H521" s="1245"/>
      <c r="I521" s="961">
        <f t="shared" si="88"/>
        <v>1</v>
      </c>
      <c r="J521" s="1245"/>
      <c r="K521" s="961">
        <f t="shared" si="89"/>
        <v>1</v>
      </c>
      <c r="L521" s="1245"/>
      <c r="M521" s="961">
        <f t="shared" si="90"/>
        <v>1</v>
      </c>
      <c r="N521" s="1245"/>
      <c r="O521" s="961">
        <f t="shared" si="91"/>
        <v>1</v>
      </c>
      <c r="P521" s="1245"/>
      <c r="Q521" s="961">
        <f t="shared" si="92"/>
        <v>1</v>
      </c>
      <c r="R521" s="961">
        <f t="shared" si="93"/>
        <v>0</v>
      </c>
      <c r="S521" s="935">
        <f t="shared" si="94"/>
        <v>0</v>
      </c>
    </row>
    <row r="522" spans="1:19">
      <c r="A522" s="1243"/>
      <c r="B522" s="1244"/>
      <c r="C522" s="961">
        <f t="shared" si="85"/>
        <v>1</v>
      </c>
      <c r="D522" s="1245"/>
      <c r="E522" s="961">
        <f t="shared" si="86"/>
        <v>1</v>
      </c>
      <c r="F522" s="1245"/>
      <c r="G522" s="961">
        <f t="shared" si="87"/>
        <v>1</v>
      </c>
      <c r="H522" s="1245"/>
      <c r="I522" s="961">
        <f t="shared" si="88"/>
        <v>1</v>
      </c>
      <c r="J522" s="1245"/>
      <c r="K522" s="961">
        <f t="shared" si="89"/>
        <v>1</v>
      </c>
      <c r="L522" s="1245"/>
      <c r="M522" s="961">
        <f t="shared" si="90"/>
        <v>1</v>
      </c>
      <c r="N522" s="1245"/>
      <c r="O522" s="961">
        <f t="shared" si="91"/>
        <v>1</v>
      </c>
      <c r="P522" s="1245"/>
      <c r="Q522" s="961">
        <f t="shared" si="92"/>
        <v>1</v>
      </c>
      <c r="R522" s="961">
        <f t="shared" si="93"/>
        <v>0</v>
      </c>
      <c r="S522" s="935">
        <f t="shared" si="94"/>
        <v>0</v>
      </c>
    </row>
    <row r="523" spans="1:19">
      <c r="A523" s="1243"/>
      <c r="B523" s="1244"/>
      <c r="C523" s="961">
        <f t="shared" si="85"/>
        <v>1</v>
      </c>
      <c r="D523" s="1245"/>
      <c r="E523" s="961">
        <f t="shared" si="86"/>
        <v>1</v>
      </c>
      <c r="F523" s="1245"/>
      <c r="G523" s="961">
        <f t="shared" si="87"/>
        <v>1</v>
      </c>
      <c r="H523" s="1245"/>
      <c r="I523" s="961">
        <f t="shared" si="88"/>
        <v>1</v>
      </c>
      <c r="J523" s="1245"/>
      <c r="K523" s="961">
        <f t="shared" si="89"/>
        <v>1</v>
      </c>
      <c r="L523" s="1245"/>
      <c r="M523" s="961">
        <f t="shared" si="90"/>
        <v>1</v>
      </c>
      <c r="N523" s="1245"/>
      <c r="O523" s="961">
        <f t="shared" si="91"/>
        <v>1</v>
      </c>
      <c r="P523" s="1245"/>
      <c r="Q523" s="961">
        <f t="shared" si="92"/>
        <v>1</v>
      </c>
      <c r="R523" s="961">
        <f t="shared" si="93"/>
        <v>0</v>
      </c>
      <c r="S523" s="935">
        <f t="shared" si="94"/>
        <v>0</v>
      </c>
    </row>
    <row r="524" spans="1:19">
      <c r="A524" s="1243"/>
      <c r="B524" s="1244"/>
      <c r="C524" s="961">
        <f t="shared" si="85"/>
        <v>1</v>
      </c>
      <c r="D524" s="1245"/>
      <c r="E524" s="961">
        <f t="shared" si="86"/>
        <v>1</v>
      </c>
      <c r="F524" s="1245"/>
      <c r="G524" s="961">
        <f t="shared" si="87"/>
        <v>1</v>
      </c>
      <c r="H524" s="1245"/>
      <c r="I524" s="961">
        <f t="shared" si="88"/>
        <v>1</v>
      </c>
      <c r="J524" s="1245"/>
      <c r="K524" s="961">
        <f t="shared" si="89"/>
        <v>1</v>
      </c>
      <c r="L524" s="1245"/>
      <c r="M524" s="961">
        <f t="shared" si="90"/>
        <v>1</v>
      </c>
      <c r="N524" s="1245"/>
      <c r="O524" s="961">
        <f t="shared" si="91"/>
        <v>1</v>
      </c>
      <c r="P524" s="1245"/>
      <c r="Q524" s="961">
        <f t="shared" si="92"/>
        <v>1</v>
      </c>
      <c r="R524" s="961">
        <f t="shared" si="93"/>
        <v>0</v>
      </c>
      <c r="S524" s="935">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175" customWidth="1"/>
    <col min="2" max="2" width="12.5" style="1175" customWidth="1"/>
    <col min="3" max="3" width="12.125" style="1175" customWidth="1"/>
    <col min="4" max="4" width="14.125" style="1175" customWidth="1"/>
    <col min="5" max="5" width="12.5" style="1175" customWidth="1"/>
    <col min="6" max="16384" width="9" style="1175"/>
  </cols>
  <sheetData>
    <row r="1" spans="1:16" ht="21">
      <c r="A1" s="1176" t="s">
        <v>2325</v>
      </c>
      <c r="B1" s="681"/>
      <c r="C1" s="681"/>
      <c r="D1" s="681"/>
      <c r="E1" s="681"/>
      <c r="F1" s="1177"/>
      <c r="G1" s="1177"/>
      <c r="H1" s="1177"/>
      <c r="I1" s="1177"/>
      <c r="J1" s="1177"/>
      <c r="K1" s="1177"/>
      <c r="L1" s="1177"/>
      <c r="M1" s="1177"/>
      <c r="N1" s="1177"/>
      <c r="O1" s="1177"/>
      <c r="P1" s="1177"/>
    </row>
    <row r="2" spans="1:16" ht="15.75">
      <c r="A2" s="1178" t="s">
        <v>97</v>
      </c>
      <c r="B2" s="1179">
        <f ca="1">SUMIF(B6:B13,"&lt;&gt;#ref!",B6:B13)</f>
        <v>151391</v>
      </c>
      <c r="C2" s="1178" t="s">
        <v>2326</v>
      </c>
      <c r="D2" s="1178" t="s">
        <v>2327</v>
      </c>
      <c r="E2" s="1180">
        <f ca="1">SUMIF(E6:E13,"&lt;&gt;#ref!",E6:E13)</f>
        <v>64848.28</v>
      </c>
      <c r="F2" s="1177"/>
      <c r="G2" s="1177"/>
      <c r="H2" s="1177"/>
      <c r="I2" s="1177"/>
      <c r="J2" s="1177"/>
      <c r="K2" s="1177"/>
      <c r="L2" s="1177"/>
      <c r="M2" s="1177"/>
      <c r="N2" s="1177"/>
      <c r="O2" s="1177"/>
      <c r="P2" s="1177"/>
    </row>
    <row r="3" spans="1:16" ht="15.75">
      <c r="A3" s="1178" t="s">
        <v>2328</v>
      </c>
      <c r="B3" s="1179">
        <f ca="1">ROUND(B2*10000/E2,0)</f>
        <v>23345</v>
      </c>
      <c r="C3" s="1178" t="s">
        <v>2329</v>
      </c>
      <c r="D3" s="1177"/>
      <c r="E3" s="1177"/>
      <c r="F3" s="1177"/>
      <c r="G3" s="1177"/>
      <c r="H3" s="1177"/>
      <c r="I3" s="1177"/>
      <c r="J3" s="1177"/>
      <c r="K3" s="1177"/>
      <c r="L3" s="1177"/>
      <c r="M3" s="1177"/>
      <c r="N3" s="1177"/>
      <c r="O3" s="1177"/>
      <c r="P3" s="1177"/>
    </row>
    <row r="4" spans="1:16" ht="15.75">
      <c r="A4" s="1181"/>
      <c r="B4" s="1177"/>
      <c r="C4" s="1177"/>
      <c r="D4" s="1177"/>
      <c r="E4" s="1177"/>
      <c r="F4" s="1177"/>
      <c r="G4" s="1177"/>
      <c r="H4" s="1177"/>
      <c r="I4" s="1177"/>
      <c r="J4" s="1177"/>
      <c r="K4" s="1177"/>
      <c r="L4" s="1177"/>
      <c r="M4" s="1177"/>
      <c r="N4" s="1177"/>
      <c r="O4" s="1177"/>
      <c r="P4" s="1177"/>
    </row>
    <row r="5" spans="1:16" ht="28.5">
      <c r="A5" s="1182" t="s">
        <v>2330</v>
      </c>
      <c r="B5" s="1183" t="s">
        <v>2331</v>
      </c>
      <c r="C5" s="1184"/>
      <c r="D5" s="1177"/>
      <c r="E5" s="1185" t="s">
        <v>2332</v>
      </c>
      <c r="F5" s="1177"/>
      <c r="G5" s="1177"/>
      <c r="H5" s="1177"/>
      <c r="I5" s="1177"/>
      <c r="J5" s="1177"/>
      <c r="K5" s="1177"/>
      <c r="L5" s="1177"/>
      <c r="M5" s="1177"/>
      <c r="N5" s="1177"/>
      <c r="O5" s="1177"/>
      <c r="P5" s="1177"/>
    </row>
    <row r="6" spans="1:16" ht="15.75">
      <c r="A6" s="1186" t="s">
        <v>2333</v>
      </c>
      <c r="B6" s="1179">
        <f ca="1">SUMIF(INDIRECT("'"&amp;A6&amp;"'"&amp;"!A:A"),"总价",INDIRECT("'"&amp;A6&amp;"'"&amp;"!B:B"))</f>
        <v>151391</v>
      </c>
      <c r="C6" s="1178" t="s">
        <v>2326</v>
      </c>
      <c r="D6" s="1177"/>
      <c r="E6" s="1180">
        <f ca="1">SUMIF(INDIRECT("'"&amp;A6&amp;"'"&amp;"!C:C"),"建筑面积",INDIRECT("'"&amp;A6&amp;"'"&amp;"!D:D"))</f>
        <v>64848.28</v>
      </c>
      <c r="F6" s="1177"/>
      <c r="G6" s="1177"/>
      <c r="H6" s="1177"/>
      <c r="I6" s="1177"/>
      <c r="J6" s="1177"/>
      <c r="K6" s="1177"/>
      <c r="L6" s="1177"/>
      <c r="M6" s="1177"/>
      <c r="N6" s="1177"/>
      <c r="O6" s="1177"/>
      <c r="P6" s="1177"/>
    </row>
    <row r="7" spans="1:16" ht="15.75">
      <c r="A7" s="1186"/>
      <c r="B7" s="1179" t="e">
        <f ca="1">SUMIF(INDIRECT("'"&amp;A7&amp;"'"&amp;"!A:A"),"总价",INDIRECT("'"&amp;A7&amp;"'"&amp;"!B:B"))</f>
        <v>#REF!</v>
      </c>
      <c r="C7" s="1178" t="s">
        <v>2326</v>
      </c>
      <c r="D7" s="1177"/>
      <c r="E7" s="1180" t="e">
        <f t="shared" ref="E7:E13" ca="1" si="0">SUMIF(INDIRECT("'"&amp;A7&amp;"'"&amp;"!C:C"),"建筑面积",INDIRECT("'"&amp;A7&amp;"'"&amp;"!D:D"))</f>
        <v>#REF!</v>
      </c>
      <c r="F7" s="1177"/>
      <c r="G7" s="1177"/>
      <c r="H7" s="1177"/>
      <c r="I7" s="1177"/>
      <c r="J7" s="1177"/>
      <c r="K7" s="1177"/>
      <c r="L7" s="1177"/>
      <c r="M7" s="1177"/>
      <c r="N7" s="1177"/>
      <c r="O7" s="1177"/>
      <c r="P7" s="1177"/>
    </row>
    <row r="8" spans="1:16" ht="15.75">
      <c r="A8" s="1186"/>
      <c r="B8" s="1179" t="e">
        <f t="shared" ref="B8:B13" ca="1" si="1">SUMIF(INDIRECT("'"&amp;A8&amp;"'"&amp;"!A:A"),"总价",INDIRECT("'"&amp;A8&amp;"'"&amp;"!B:B"))</f>
        <v>#REF!</v>
      </c>
      <c r="C8" s="1178" t="s">
        <v>2326</v>
      </c>
      <c r="D8" s="1177"/>
      <c r="E8" s="1180" t="e">
        <f t="shared" ca="1" si="0"/>
        <v>#REF!</v>
      </c>
      <c r="F8" s="1177"/>
      <c r="G8" s="1177"/>
      <c r="H8" s="1177"/>
      <c r="I8" s="1177"/>
      <c r="J8" s="1177"/>
      <c r="K8" s="1177"/>
      <c r="L8" s="1177"/>
      <c r="M8" s="1177"/>
      <c r="N8" s="1177"/>
      <c r="O8" s="1177"/>
      <c r="P8" s="1177"/>
    </row>
    <row r="9" spans="1:16" ht="15.75">
      <c r="A9" s="1186"/>
      <c r="B9" s="1179" t="e">
        <f t="shared" ca="1" si="1"/>
        <v>#REF!</v>
      </c>
      <c r="C9" s="1178" t="s">
        <v>2326</v>
      </c>
      <c r="D9" s="1177"/>
      <c r="E9" s="1180" t="e">
        <f t="shared" ca="1" si="0"/>
        <v>#REF!</v>
      </c>
      <c r="F9" s="1177"/>
      <c r="G9" s="1177"/>
      <c r="H9" s="1177"/>
      <c r="I9" s="1177"/>
      <c r="J9" s="1177"/>
      <c r="K9" s="1177"/>
      <c r="L9" s="1177"/>
      <c r="M9" s="1177"/>
      <c r="N9" s="1177"/>
      <c r="O9" s="1177"/>
      <c r="P9" s="1177"/>
    </row>
    <row r="10" spans="1:16" ht="15.75">
      <c r="A10" s="1186"/>
      <c r="B10" s="1179" t="e">
        <f t="shared" ca="1" si="1"/>
        <v>#REF!</v>
      </c>
      <c r="C10" s="1178" t="s">
        <v>2326</v>
      </c>
      <c r="D10" s="1177"/>
      <c r="E10" s="1180" t="e">
        <f t="shared" ca="1" si="0"/>
        <v>#REF!</v>
      </c>
      <c r="F10" s="1177"/>
      <c r="G10" s="1177"/>
      <c r="H10" s="1177"/>
      <c r="I10" s="1177"/>
      <c r="J10" s="1177"/>
      <c r="K10" s="1177"/>
      <c r="L10" s="1177"/>
      <c r="M10" s="1177"/>
      <c r="N10" s="1177"/>
      <c r="O10" s="1177"/>
      <c r="P10" s="1177"/>
    </row>
    <row r="11" spans="1:16" ht="15.75">
      <c r="A11" s="1186"/>
      <c r="B11" s="1179" t="e">
        <f t="shared" ca="1" si="1"/>
        <v>#REF!</v>
      </c>
      <c r="C11" s="1178" t="s">
        <v>2326</v>
      </c>
      <c r="D11" s="1177"/>
      <c r="E11" s="1180" t="e">
        <f t="shared" ca="1" si="0"/>
        <v>#REF!</v>
      </c>
      <c r="F11" s="1177"/>
      <c r="G11" s="1177"/>
      <c r="H11" s="1177"/>
      <c r="I11" s="1177"/>
      <c r="J11" s="1177"/>
      <c r="K11" s="1177"/>
      <c r="L11" s="1177"/>
      <c r="M11" s="1177"/>
      <c r="N11" s="1177"/>
      <c r="O11" s="1177"/>
      <c r="P11" s="1177"/>
    </row>
    <row r="12" spans="1:16" ht="15.75">
      <c r="A12" s="1186"/>
      <c r="B12" s="1179" t="e">
        <f t="shared" ca="1" si="1"/>
        <v>#REF!</v>
      </c>
      <c r="C12" s="1178" t="s">
        <v>2326</v>
      </c>
      <c r="D12" s="1177"/>
      <c r="E12" s="1180" t="e">
        <f t="shared" ca="1" si="0"/>
        <v>#REF!</v>
      </c>
      <c r="F12" s="1177"/>
      <c r="G12" s="1177"/>
      <c r="H12" s="1177"/>
      <c r="I12" s="1177"/>
      <c r="J12" s="1177"/>
      <c r="K12" s="1177"/>
      <c r="L12" s="1177"/>
      <c r="M12" s="1177"/>
      <c r="N12" s="1177"/>
      <c r="O12" s="1177"/>
      <c r="P12" s="1177"/>
    </row>
    <row r="13" spans="1:16" ht="15.75">
      <c r="A13" s="1186"/>
      <c r="B13" s="1179" t="e">
        <f t="shared" ca="1" si="1"/>
        <v>#REF!</v>
      </c>
      <c r="C13" s="1178" t="s">
        <v>2326</v>
      </c>
      <c r="D13" s="1177"/>
      <c r="E13" s="1180" t="e">
        <f t="shared" ca="1" si="0"/>
        <v>#REF!</v>
      </c>
      <c r="F13" s="1177"/>
      <c r="G13" s="1177"/>
      <c r="H13" s="1177"/>
      <c r="I13" s="1177"/>
      <c r="J13" s="1177"/>
      <c r="K13" s="1177"/>
      <c r="L13" s="1177"/>
      <c r="M13" s="1177"/>
      <c r="N13" s="1177"/>
      <c r="O13" s="1177"/>
      <c r="P13" s="1177"/>
    </row>
    <row r="14" spans="1:16">
      <c r="A14" s="1177"/>
      <c r="B14" s="1177"/>
      <c r="C14" s="1177"/>
      <c r="D14" s="1177"/>
      <c r="E14" s="1177"/>
      <c r="F14" s="1177"/>
      <c r="G14" s="1177"/>
      <c r="H14" s="1177"/>
      <c r="I14" s="1177"/>
      <c r="J14" s="1177"/>
      <c r="K14" s="1177"/>
      <c r="L14" s="1177"/>
      <c r="M14" s="1177"/>
      <c r="N14" s="1177"/>
      <c r="O14" s="1177"/>
      <c r="P14" s="1177"/>
    </row>
    <row r="15" spans="1:16">
      <c r="A15" s="1177"/>
      <c r="B15" s="1177"/>
      <c r="C15" s="1177"/>
      <c r="D15" s="1177"/>
      <c r="E15" s="1177"/>
      <c r="F15" s="1177"/>
      <c r="G15" s="1177"/>
      <c r="H15" s="1177"/>
      <c r="I15" s="1177"/>
      <c r="J15" s="1177"/>
      <c r="K15" s="1177"/>
      <c r="L15" s="1177"/>
      <c r="M15" s="1177"/>
      <c r="N15" s="1177"/>
      <c r="O15" s="1177"/>
      <c r="P15" s="1177"/>
    </row>
    <row r="16" spans="1:16">
      <c r="A16" s="1177"/>
      <c r="B16" s="1177"/>
      <c r="C16" s="1177"/>
      <c r="D16" s="1177"/>
      <c r="E16" s="1177"/>
      <c r="F16" s="1177"/>
      <c r="G16" s="1177"/>
      <c r="H16" s="1177"/>
      <c r="I16" s="1177"/>
      <c r="J16" s="1177"/>
      <c r="K16" s="1177"/>
      <c r="L16" s="1177"/>
      <c r="M16" s="1177"/>
      <c r="N16" s="1177"/>
      <c r="O16" s="1177"/>
      <c r="P16" s="1177"/>
    </row>
    <row r="17" spans="1:16">
      <c r="A17" s="1177"/>
      <c r="B17" s="1177"/>
      <c r="C17" s="1177"/>
      <c r="D17" s="1177"/>
      <c r="E17" s="1177"/>
      <c r="F17" s="1177"/>
      <c r="G17" s="1177"/>
      <c r="H17" s="1177"/>
      <c r="I17" s="1177"/>
      <c r="J17" s="1177"/>
      <c r="K17" s="1177"/>
      <c r="L17" s="1177"/>
      <c r="M17" s="1177"/>
      <c r="N17" s="1177"/>
      <c r="O17" s="1177"/>
      <c r="P17" s="1177"/>
    </row>
    <row r="18" spans="1:16">
      <c r="A18" s="1177"/>
      <c r="B18" s="1177"/>
      <c r="C18" s="1177"/>
      <c r="D18" s="1177"/>
      <c r="E18" s="1177"/>
      <c r="F18" s="1177"/>
      <c r="G18" s="1177"/>
      <c r="H18" s="1177"/>
      <c r="I18" s="1177"/>
      <c r="J18" s="1177"/>
      <c r="K18" s="1177"/>
      <c r="L18" s="1177"/>
      <c r="M18" s="1177"/>
      <c r="N18" s="1177"/>
      <c r="O18" s="1177"/>
      <c r="P18" s="1177"/>
    </row>
    <row r="19" spans="1:16">
      <c r="A19" s="1177"/>
      <c r="B19" s="1177"/>
      <c r="C19" s="1177"/>
      <c r="D19" s="1177"/>
      <c r="E19" s="1177"/>
      <c r="F19" s="1177"/>
      <c r="G19" s="1177"/>
      <c r="H19" s="1177"/>
      <c r="I19" s="1177"/>
      <c r="J19" s="1177"/>
      <c r="K19" s="1177"/>
      <c r="L19" s="1177"/>
      <c r="M19" s="1177"/>
      <c r="N19" s="1177"/>
      <c r="O19" s="1177"/>
      <c r="P19" s="1177"/>
    </row>
    <row r="20" spans="1:16">
      <c r="A20" s="1177"/>
      <c r="B20" s="1177"/>
      <c r="C20" s="1177"/>
      <c r="D20" s="1177"/>
      <c r="E20" s="1177"/>
      <c r="F20" s="1177"/>
      <c r="G20" s="1177"/>
      <c r="H20" s="1177"/>
      <c r="I20" s="1177"/>
      <c r="J20" s="1177"/>
      <c r="K20" s="1177"/>
      <c r="L20" s="1177"/>
      <c r="M20" s="1177"/>
      <c r="N20" s="1177"/>
      <c r="O20" s="1177"/>
      <c r="P20" s="1177"/>
    </row>
    <row r="21" spans="1:16">
      <c r="A21" s="1177"/>
      <c r="B21" s="1177"/>
      <c r="C21" s="1177"/>
      <c r="D21" s="1177"/>
      <c r="E21" s="1177"/>
      <c r="F21" s="1177"/>
      <c r="G21" s="1177"/>
      <c r="H21" s="1177"/>
      <c r="I21" s="1177"/>
      <c r="J21" s="1177"/>
      <c r="K21" s="1177"/>
      <c r="L21" s="1177"/>
      <c r="M21" s="1177"/>
      <c r="N21" s="1177"/>
      <c r="O21" s="1177"/>
      <c r="P21" s="1177"/>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E42"/>
  <sheetViews>
    <sheetView zoomScale="80" zoomScaleNormal="80" workbookViewId="0">
      <selection activeCell="A3" sqref="A3:E3"/>
    </sheetView>
  </sheetViews>
  <sheetFormatPr defaultColWidth="9" defaultRowHeight="14.25"/>
  <cols>
    <col min="1" max="1" width="0.875" style="3190" customWidth="1"/>
    <col min="2" max="2" width="37.25" style="3190" customWidth="1"/>
    <col min="3" max="3" width="11.375" style="3190" customWidth="1"/>
    <col min="4" max="4" width="31.75" style="3190" customWidth="1"/>
    <col min="5" max="5" width="0.5" style="3190" customWidth="1"/>
    <col min="6" max="7" width="13" style="3190" customWidth="1"/>
    <col min="8" max="16384" width="9" style="3190"/>
  </cols>
  <sheetData>
    <row r="1" spans="1:5" ht="18.75">
      <c r="A1" s="3191" t="s">
        <v>94</v>
      </c>
    </row>
    <row r="2" spans="1:5" ht="78" customHeight="1">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spans="1:5" ht="18">
      <c r="A3" s="3254" t="str">
        <f>IF(项目基本情况!B9="房地产市场价值","估价结果一览表（市场价值不需“结果表-1”）","估价结果一览表")</f>
        <v>估价结果一览表</v>
      </c>
      <c r="B3" s="3254"/>
      <c r="C3" s="3254"/>
      <c r="D3" s="3254"/>
      <c r="E3" s="3254"/>
    </row>
    <row r="4" spans="1:5" ht="18.75">
      <c r="A4" s="3192"/>
      <c r="B4" s="3255" t="s">
        <v>95</v>
      </c>
      <c r="C4" s="3255"/>
      <c r="D4" s="3255"/>
      <c r="E4" s="3192"/>
    </row>
    <row r="5" spans="1:5" ht="15.75">
      <c r="B5" s="3247" t="s">
        <v>96</v>
      </c>
      <c r="C5" s="3193" t="s">
        <v>97</v>
      </c>
      <c r="D5" s="3194" t="e">
        <f ca="1">结果表!H101</f>
        <v>#REF!</v>
      </c>
    </row>
    <row r="6" spans="1:5" ht="15.75">
      <c r="B6" s="3247"/>
      <c r="C6" s="3193" t="s">
        <v>98</v>
      </c>
      <c r="D6" s="3194" t="e">
        <f ca="1">NUMBERSTRING(INT(D5*10000),2)&amp;"元整"</f>
        <v>#REF!</v>
      </c>
    </row>
    <row r="7" spans="1:5" ht="15.75">
      <c r="B7" s="3248"/>
      <c r="C7" s="3195" t="s">
        <v>99</v>
      </c>
      <c r="D7" s="3196" t="e">
        <f ca="1">结果表!H102</f>
        <v>#REF!</v>
      </c>
    </row>
    <row r="8" spans="1:5" ht="15.75">
      <c r="B8" s="3249" t="str">
        <f>结果表!E103</f>
        <v>2.估价师知悉的法定优先受偿款</v>
      </c>
      <c r="C8" s="3197" t="s">
        <v>100</v>
      </c>
      <c r="D8" s="3196">
        <f>结果表!H103</f>
        <v>0</v>
      </c>
    </row>
    <row r="9" spans="1:5" ht="15.75">
      <c r="B9" s="3251"/>
      <c r="C9" s="3193" t="s">
        <v>98</v>
      </c>
      <c r="D9" s="3194" t="str">
        <f>NUMBERSTRING(INT(D8*10000),2)&amp;"元整"</f>
        <v>零元整</v>
      </c>
    </row>
    <row r="10" spans="1:5" ht="15">
      <c r="B10" s="3198" t="s">
        <v>101</v>
      </c>
      <c r="C10" s="3199" t="s">
        <v>102</v>
      </c>
      <c r="D10" s="3200">
        <f>结果表!H104</f>
        <v>0</v>
      </c>
    </row>
    <row r="11" spans="1:5" ht="15">
      <c r="B11" s="3198" t="s">
        <v>103</v>
      </c>
      <c r="C11" s="3199" t="s">
        <v>102</v>
      </c>
      <c r="D11" s="3200">
        <f>结果表!H105</f>
        <v>0</v>
      </c>
    </row>
    <row r="12" spans="1:5" ht="15">
      <c r="B12" s="3198" t="s">
        <v>104</v>
      </c>
      <c r="C12" s="3199" t="s">
        <v>102</v>
      </c>
      <c r="D12" s="3200">
        <f>结果表!H106</f>
        <v>0</v>
      </c>
    </row>
    <row r="13" spans="1:5" ht="15.75">
      <c r="B13" s="3246" t="str">
        <f>结果表!E107</f>
        <v>3.房地产抵押价值</v>
      </c>
      <c r="C13" s="3201" t="s">
        <v>97</v>
      </c>
      <c r="D13" s="3202" t="e">
        <f ca="1">结果表!H107</f>
        <v>#REF!</v>
      </c>
    </row>
    <row r="14" spans="1:5" ht="15.75">
      <c r="B14" s="3247"/>
      <c r="C14" s="3193" t="s">
        <v>98</v>
      </c>
      <c r="D14" s="3194" t="e">
        <f ca="1">NUMBERSTRING(INT(D13*10000),2)&amp;"元整"</f>
        <v>#REF!</v>
      </c>
    </row>
    <row r="15" spans="1:5" ht="15">
      <c r="B15" s="3248"/>
      <c r="C15" s="3195" t="s">
        <v>99</v>
      </c>
      <c r="D15" s="3203" t="e">
        <f ca="1">结果表!H108</f>
        <v>#REF!</v>
      </c>
    </row>
    <row r="16" spans="1:5" ht="15">
      <c r="B16" s="3249" t="str">
        <f>结果表!E109</f>
        <v>——</v>
      </c>
      <c r="C16" s="3201" t="s">
        <v>97</v>
      </c>
      <c r="D16" s="3204" t="str">
        <f>结果表!H109</f>
        <v>——</v>
      </c>
    </row>
    <row r="17" spans="1:5" ht="15.75">
      <c r="B17" s="3250"/>
      <c r="C17" s="3193" t="s">
        <v>98</v>
      </c>
      <c r="D17" s="3194" t="e">
        <f>NUMBERSTRING(INT(D16*10000),2)&amp;"元整"</f>
        <v>#VALUE!</v>
      </c>
    </row>
    <row r="18" spans="1:5" ht="15">
      <c r="B18" s="3251"/>
      <c r="C18" s="3195" t="s">
        <v>99</v>
      </c>
      <c r="D18" s="3203" t="str">
        <f>结果表!H110</f>
        <v>——</v>
      </c>
    </row>
    <row r="19" spans="1:5" ht="15.75">
      <c r="B19" s="3246" t="str">
        <f>结果表!E111</f>
        <v>——</v>
      </c>
      <c r="C19" s="3201" t="s">
        <v>97</v>
      </c>
      <c r="D19" s="3196" t="str">
        <f>结果表!H111</f>
        <v>——</v>
      </c>
    </row>
    <row r="20" spans="1:5" ht="15.75">
      <c r="B20" s="3247"/>
      <c r="C20" s="3193" t="s">
        <v>98</v>
      </c>
      <c r="D20" s="3194" t="e">
        <f>NUMBERSTRING(INT(D19*10000),2)&amp;"元整"</f>
        <v>#VALUE!</v>
      </c>
    </row>
    <row r="21" spans="1:5" ht="15">
      <c r="B21" s="3252"/>
      <c r="C21" s="3205" t="s">
        <v>99</v>
      </c>
      <c r="D21" s="3206" t="str">
        <f>结果表!H112</f>
        <v>——</v>
      </c>
    </row>
    <row r="22" spans="1:5">
      <c r="B22" s="3207" t="s">
        <v>105</v>
      </c>
    </row>
    <row r="24" spans="1:5" ht="18.75">
      <c r="A24" s="3208"/>
      <c r="B24" s="3209" t="s">
        <v>106</v>
      </c>
      <c r="C24" s="3208"/>
      <c r="D24" s="3208"/>
      <c r="E24" s="3208"/>
    </row>
    <row r="25" spans="1:5">
      <c r="A25" s="3208"/>
      <c r="B25" s="3208"/>
      <c r="C25" s="3208"/>
      <c r="D25" s="3208"/>
      <c r="E25" s="3208"/>
    </row>
    <row r="26" spans="1:5">
      <c r="A26" s="3208"/>
      <c r="B26" s="3208"/>
      <c r="C26" s="3208"/>
      <c r="D26" s="3208"/>
      <c r="E26" s="3208"/>
    </row>
    <row r="27" spans="1:5">
      <c r="A27" s="3208"/>
      <c r="B27" s="3208"/>
      <c r="C27" s="3208"/>
      <c r="D27" s="3208"/>
      <c r="E27" s="3208"/>
    </row>
    <row r="28" spans="1:5">
      <c r="A28" s="3208"/>
      <c r="B28" s="3208"/>
      <c r="C28" s="3208"/>
      <c r="D28" s="3208"/>
      <c r="E28" s="3208"/>
    </row>
    <row r="29" spans="1:5">
      <c r="A29" s="3208"/>
      <c r="B29" s="3208"/>
      <c r="C29" s="3208"/>
      <c r="D29" s="3208"/>
      <c r="E29" s="3208"/>
    </row>
    <row r="30" spans="1:5">
      <c r="A30" s="3208"/>
      <c r="B30" s="3208"/>
      <c r="C30" s="3208"/>
      <c r="D30" s="3208"/>
      <c r="E30" s="3208"/>
    </row>
    <row r="31" spans="1:5">
      <c r="A31" s="3208"/>
      <c r="B31" s="3208"/>
      <c r="C31" s="3208"/>
      <c r="D31" s="3208"/>
      <c r="E31" s="3208"/>
    </row>
    <row r="32" spans="1:5">
      <c r="A32" s="3208"/>
      <c r="B32" s="3208"/>
      <c r="C32" s="3208"/>
      <c r="D32" s="3208"/>
      <c r="E32" s="3208"/>
    </row>
    <row r="33" spans="1:5">
      <c r="A33" s="3208"/>
      <c r="B33" s="3208"/>
      <c r="C33" s="3208"/>
      <c r="D33" s="3208"/>
      <c r="E33" s="3208"/>
    </row>
    <row r="34" spans="1:5">
      <c r="A34" s="3208"/>
      <c r="B34" s="3208"/>
      <c r="C34" s="3208"/>
      <c r="D34" s="3208"/>
      <c r="E34" s="3208"/>
    </row>
    <row r="35" spans="1:5">
      <c r="A35" s="3208"/>
      <c r="B35" s="3208"/>
      <c r="C35" s="3208"/>
      <c r="D35" s="3208"/>
      <c r="E35" s="3208"/>
    </row>
    <row r="36" spans="1:5">
      <c r="A36" s="3208"/>
      <c r="B36" s="3208"/>
      <c r="C36" s="3208"/>
      <c r="D36" s="3208"/>
      <c r="E36" s="3208"/>
    </row>
    <row r="37" spans="1:5">
      <c r="A37" s="3208"/>
      <c r="B37" s="3208"/>
      <c r="C37" s="3208"/>
      <c r="D37" s="3208"/>
      <c r="E37" s="3208"/>
    </row>
    <row r="38" spans="1:5">
      <c r="A38" s="3208"/>
      <c r="B38" s="3208"/>
      <c r="C38" s="3208"/>
      <c r="D38" s="3208"/>
      <c r="E38" s="3208"/>
    </row>
    <row r="39" spans="1:5">
      <c r="A39" s="3208"/>
      <c r="B39" s="3208"/>
      <c r="C39" s="3208"/>
      <c r="D39" s="3208"/>
      <c r="E39" s="3208"/>
    </row>
    <row r="40" spans="1:5">
      <c r="A40" s="3208"/>
      <c r="B40" s="3208"/>
      <c r="C40" s="3208"/>
      <c r="D40" s="3208"/>
      <c r="E40" s="3208"/>
    </row>
    <row r="41" spans="1:5">
      <c r="A41" s="3208"/>
      <c r="B41" s="3208"/>
      <c r="C41" s="3208"/>
      <c r="D41" s="3208"/>
      <c r="E41" s="3208"/>
    </row>
    <row r="42" spans="1:5">
      <c r="A42" s="3208"/>
      <c r="B42" s="3208"/>
      <c r="C42" s="3208"/>
      <c r="D42" s="3208"/>
      <c r="E42" s="320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zoomScale="70" zoomScaleNormal="70" workbookViewId="0">
      <selection activeCell="K42" sqref="K4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1883</v>
      </c>
      <c r="B1" s="895"/>
      <c r="C1" s="896" t="s">
        <v>230</v>
      </c>
      <c r="D1" s="897" t="s">
        <v>124</v>
      </c>
      <c r="E1" s="898" t="s">
        <v>1884</v>
      </c>
      <c r="F1" s="899">
        <f ca="1">J53</f>
        <v>21.08</v>
      </c>
      <c r="G1" s="900">
        <f>MATCH(C1,'数据-取费表'!A6:A16,0)+5</f>
        <v>6</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1885</v>
      </c>
      <c r="B2" s="903">
        <f ca="1">C40+J29+L46</f>
        <v>205142</v>
      </c>
      <c r="C2" s="904" t="s">
        <v>1886</v>
      </c>
      <c r="D2" s="904"/>
      <c r="E2" s="905"/>
      <c r="F2" s="906"/>
      <c r="G2" s="907"/>
      <c r="H2" s="908"/>
      <c r="I2" s="908"/>
      <c r="J2" s="908"/>
      <c r="K2" s="1072"/>
      <c r="L2" s="908"/>
      <c r="M2" s="908"/>
    </row>
    <row r="3" spans="1:37" ht="18" customHeight="1">
      <c r="A3" s="909" t="s">
        <v>1888</v>
      </c>
      <c r="B3" s="910">
        <f ca="1">IF(ISERROR(B2*10000/F43),0,ROUND(B2*10000/F43,0))</f>
        <v>37939</v>
      </c>
      <c r="C3" s="904" t="s">
        <v>1889</v>
      </c>
      <c r="D3" s="904"/>
      <c r="E3" s="905"/>
      <c r="F3" s="906"/>
      <c r="G3" s="907"/>
      <c r="H3" s="911" t="s">
        <v>1890</v>
      </c>
      <c r="I3" s="1073"/>
      <c r="J3" s="1073"/>
      <c r="K3" s="1074"/>
      <c r="L3" s="1073"/>
      <c r="M3" s="1073"/>
    </row>
    <row r="4" spans="1:37" ht="18" customHeight="1">
      <c r="A4" s="912" t="s">
        <v>1891</v>
      </c>
      <c r="B4" s="913" t="s">
        <v>1892</v>
      </c>
      <c r="C4" s="913" t="s">
        <v>1893</v>
      </c>
      <c r="D4" s="913" t="s">
        <v>1894</v>
      </c>
      <c r="E4" s="914" t="s">
        <v>1895</v>
      </c>
      <c r="F4" s="915"/>
      <c r="G4" s="718"/>
      <c r="H4" s="912" t="s">
        <v>1891</v>
      </c>
      <c r="I4" s="913" t="s">
        <v>1892</v>
      </c>
      <c r="J4" s="913" t="s">
        <v>1893</v>
      </c>
      <c r="K4" s="913" t="s">
        <v>1894</v>
      </c>
      <c r="L4" s="914" t="s">
        <v>1895</v>
      </c>
      <c r="M4" s="915"/>
    </row>
    <row r="5" spans="1:37" ht="18" customHeight="1">
      <c r="A5" s="916">
        <v>1</v>
      </c>
      <c r="B5" s="917" t="s">
        <v>1896</v>
      </c>
      <c r="C5" s="918">
        <f ca="1">C6+C10+C12</f>
        <v>16639</v>
      </c>
      <c r="D5" s="919" t="s">
        <v>1897</v>
      </c>
      <c r="E5" s="920"/>
      <c r="F5" s="921"/>
      <c r="G5" s="718"/>
      <c r="H5" s="916">
        <v>1</v>
      </c>
      <c r="I5" s="917" t="s">
        <v>1896</v>
      </c>
      <c r="J5" s="918">
        <f ca="1">J6+J10+J12</f>
        <v>20161</v>
      </c>
      <c r="K5" s="919" t="s">
        <v>1897</v>
      </c>
      <c r="L5" s="920"/>
      <c r="M5" s="921"/>
    </row>
    <row r="6" spans="1:37" ht="18" customHeight="1">
      <c r="A6" s="922" t="s">
        <v>942</v>
      </c>
      <c r="B6" s="3483" t="s">
        <v>1898</v>
      </c>
      <c r="C6" s="923">
        <f ca="1">ROUND(F6*F8*F7*(1-F9)/10000,0)</f>
        <v>16618</v>
      </c>
      <c r="D6" s="924" t="s">
        <v>2334</v>
      </c>
      <c r="E6" s="925" t="s">
        <v>1900</v>
      </c>
      <c r="F6" s="926">
        <f ca="1">INDIRECT("'数据-取费表'!u"&amp;$G$1)</f>
        <v>8.42</v>
      </c>
      <c r="G6" s="718"/>
      <c r="H6" s="922" t="s">
        <v>942</v>
      </c>
      <c r="I6" s="3483" t="s">
        <v>1898</v>
      </c>
      <c r="J6" s="1001">
        <f ca="1">ROUND(M6*M8*M7*(1-M9)/10000,0)</f>
        <v>20161</v>
      </c>
      <c r="K6" s="924" t="s">
        <v>2335</v>
      </c>
      <c r="L6" s="925" t="s">
        <v>1900</v>
      </c>
      <c r="M6" s="926">
        <f ca="1">INDIRECT("'数据-取费表'!z"&amp;$G$1)</f>
        <v>11.35</v>
      </c>
    </row>
    <row r="7" spans="1:37" ht="18" customHeight="1">
      <c r="A7" s="927"/>
      <c r="B7" s="3484"/>
      <c r="C7" s="928"/>
      <c r="D7" s="929"/>
      <c r="E7" s="930" t="s">
        <v>1902</v>
      </c>
      <c r="F7" s="926">
        <f ca="1">IF(INDIRECT("'数据-取费表'!ah"&amp;$G$1)="",INDIRECT("'数据-取费表'!k"&amp;$G$1),INDIRECT("'数据-取费表'!ah"&amp;$G$1))</f>
        <v>54071.78</v>
      </c>
      <c r="G7" s="718"/>
      <c r="H7" s="931"/>
      <c r="I7" s="3484"/>
      <c r="J7" s="932"/>
      <c r="K7" s="929"/>
      <c r="L7" s="925" t="s">
        <v>1902</v>
      </c>
      <c r="M7" s="926">
        <f ca="1">F7</f>
        <v>54071.78</v>
      </c>
    </row>
    <row r="8" spans="1:37" ht="18" customHeight="1">
      <c r="A8" s="931"/>
      <c r="B8" s="3484"/>
      <c r="C8" s="932"/>
      <c r="D8" s="929"/>
      <c r="E8" s="925" t="s">
        <v>1903</v>
      </c>
      <c r="F8" s="926">
        <f ca="1">INDIRECT("'数据-取费表'!ai"&amp;$G$1)</f>
        <v>365</v>
      </c>
      <c r="G8" s="718"/>
      <c r="H8" s="931"/>
      <c r="I8" s="3484"/>
      <c r="J8" s="932"/>
      <c r="K8" s="929"/>
      <c r="L8" s="925" t="s">
        <v>1903</v>
      </c>
      <c r="M8" s="926">
        <f ca="1">INDIRECT("'数据-取费表'!ai"&amp;$G$1)</f>
        <v>365</v>
      </c>
    </row>
    <row r="9" spans="1:37" ht="18" customHeight="1">
      <c r="A9" s="931"/>
      <c r="B9" s="3485"/>
      <c r="C9" s="932"/>
      <c r="D9" s="929"/>
      <c r="E9" s="925" t="s">
        <v>1904</v>
      </c>
      <c r="F9" s="933">
        <f ca="1">INDIRECT("'数据-取费表'!w"&amp;$G$1)</f>
        <v>0</v>
      </c>
      <c r="G9" s="718"/>
      <c r="H9" s="931"/>
      <c r="I9" s="3485"/>
      <c r="J9" s="932"/>
      <c r="K9" s="929"/>
      <c r="L9" s="937" t="s">
        <v>1904</v>
      </c>
      <c r="M9" s="943">
        <f ca="1">INDIRECT("'数据-取费表'!ab"&amp;$G$1)</f>
        <v>0.1</v>
      </c>
    </row>
    <row r="10" spans="1:37" ht="18" customHeight="1">
      <c r="A10" s="922" t="s">
        <v>946</v>
      </c>
      <c r="B10" s="934" t="s">
        <v>1905</v>
      </c>
      <c r="C10" s="935">
        <f ca="1">ROUND(IF(F10="押一",C6/12*F11,IF(F10="押二",C6/12*2*F11,IF(F10="押三",C6/12*3*F11,C11*F11))),0)</f>
        <v>21</v>
      </c>
      <c r="D10" s="936" t="s">
        <v>1906</v>
      </c>
      <c r="E10" s="937" t="s">
        <v>1907</v>
      </c>
      <c r="F10" s="938" t="s">
        <v>2336</v>
      </c>
      <c r="G10" s="718"/>
      <c r="H10" s="922" t="s">
        <v>946</v>
      </c>
      <c r="I10" s="934" t="s">
        <v>1905</v>
      </c>
      <c r="J10" s="1001">
        <f ca="1">ROUND(IF(M10="押一",J6/12*M11,IF(M10="押二",J6/12*2*M11,IF(M10="押三",J6/12*3*M11,J11*M11))),0)</f>
        <v>0</v>
      </c>
      <c r="K10" s="936" t="s">
        <v>1906</v>
      </c>
      <c r="L10" s="937" t="s">
        <v>1907</v>
      </c>
      <c r="M10" s="938"/>
    </row>
    <row r="11" spans="1:37" ht="18" customHeight="1">
      <c r="A11" s="939"/>
      <c r="B11" s="940" t="s">
        <v>2337</v>
      </c>
      <c r="C11" s="941"/>
      <c r="D11" s="942"/>
      <c r="E11" s="937" t="s">
        <v>1910</v>
      </c>
      <c r="F11" s="943">
        <f ca="1">'数据-取费表'!B39</f>
        <v>1.4999999999999999E-2</v>
      </c>
      <c r="G11" s="718"/>
      <c r="H11" s="944"/>
      <c r="I11" s="940" t="s">
        <v>2337</v>
      </c>
      <c r="J11" s="941"/>
      <c r="K11" s="1075"/>
      <c r="L11" s="937" t="s">
        <v>1910</v>
      </c>
      <c r="M11" s="1076">
        <f ca="1">'数据-取费表'!B39</f>
        <v>1.4999999999999999E-2</v>
      </c>
    </row>
    <row r="12" spans="1:37" ht="18" customHeight="1">
      <c r="A12" s="945" t="s">
        <v>991</v>
      </c>
      <c r="B12" s="946" t="s">
        <v>1912</v>
      </c>
      <c r="C12" s="947"/>
      <c r="D12" s="948"/>
      <c r="E12" s="949"/>
      <c r="F12" s="950"/>
      <c r="G12" s="718"/>
      <c r="H12" s="945" t="s">
        <v>991</v>
      </c>
      <c r="I12" s="946" t="s">
        <v>1912</v>
      </c>
      <c r="J12" s="947"/>
      <c r="K12" s="1077"/>
      <c r="L12" s="949"/>
      <c r="M12" s="1078"/>
    </row>
    <row r="13" spans="1:37" ht="18" customHeight="1">
      <c r="A13" s="951">
        <v>2</v>
      </c>
      <c r="B13" s="952" t="s">
        <v>1913</v>
      </c>
      <c r="C13" s="953">
        <f ca="1">ROUND(C29*F13,0)</f>
        <v>33080</v>
      </c>
      <c r="D13" s="954" t="s">
        <v>1914</v>
      </c>
      <c r="E13" s="954" t="s">
        <v>1915</v>
      </c>
      <c r="F13" s="955">
        <f ca="1">INDIRECT("'数据-取费表'!y"&amp;$G$1)</f>
        <v>0.73</v>
      </c>
      <c r="G13" s="718"/>
      <c r="H13" s="951">
        <v>2</v>
      </c>
      <c r="I13" s="952" t="s">
        <v>1913</v>
      </c>
      <c r="J13" s="1079">
        <f ca="1">ROUND(J14*J15,0)</f>
        <v>31267</v>
      </c>
      <c r="K13" s="979" t="s">
        <v>1914</v>
      </c>
      <c r="L13" s="1080"/>
      <c r="M13" s="1081"/>
    </row>
    <row r="14" spans="1:37" ht="18" customHeight="1">
      <c r="A14" s="956" t="s">
        <v>965</v>
      </c>
      <c r="B14" s="925" t="s">
        <v>1916</v>
      </c>
      <c r="C14" s="957">
        <f ca="1">INDIRECT("'数据-取费表'!m"&amp;$G$1)+INDIRECT("'数据-取费表'!t"&amp;$G$1)</f>
        <v>29910</v>
      </c>
      <c r="D14" s="958" t="s">
        <v>1917</v>
      </c>
      <c r="E14" s="959"/>
      <c r="F14" s="960"/>
      <c r="G14" s="718"/>
      <c r="H14" s="956" t="s">
        <v>942</v>
      </c>
      <c r="I14" s="925" t="s">
        <v>1918</v>
      </c>
      <c r="J14" s="961">
        <f ca="1">C29</f>
        <v>45315</v>
      </c>
      <c r="K14" s="1082"/>
      <c r="L14" s="1083"/>
      <c r="M14" s="1084"/>
    </row>
    <row r="15" spans="1:37" s="891" customFormat="1" ht="18" customHeight="1">
      <c r="A15" s="956" t="s">
        <v>969</v>
      </c>
      <c r="B15" s="925" t="s">
        <v>1844</v>
      </c>
      <c r="C15" s="961">
        <f ca="1">ROUND(C14*F15,0)</f>
        <v>1496</v>
      </c>
      <c r="D15" s="962" t="s">
        <v>1919</v>
      </c>
      <c r="E15" s="962" t="s">
        <v>1920</v>
      </c>
      <c r="F15" s="963">
        <f>'数据-取费表'!B33</f>
        <v>0.05</v>
      </c>
      <c r="G15" s="964"/>
      <c r="H15" s="965" t="s">
        <v>946</v>
      </c>
      <c r="I15" s="949" t="s">
        <v>1915</v>
      </c>
      <c r="J15" s="1078">
        <f ca="1">INDIRECT("'数据-取费表'!ad"&amp;$G$1)</f>
        <v>0.69</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1847</v>
      </c>
      <c r="C16" s="961">
        <f ca="1">ROUND(INDIRECT("'数据-取费表'!m"&amp;$G$1)*F16,0)</f>
        <v>0</v>
      </c>
      <c r="D16" s="925" t="s">
        <v>1919</v>
      </c>
      <c r="E16" s="925" t="s">
        <v>1920</v>
      </c>
      <c r="F16" s="966">
        <f ca="1">IF(INDIRECT("'数据-取费表'!c"&amp;$G$1)="住宅",'数据-取费表'!B34,0)</f>
        <v>0</v>
      </c>
      <c r="G16" s="718"/>
      <c r="H16" s="951" t="s">
        <v>1921</v>
      </c>
      <c r="I16" s="952" t="s">
        <v>1922</v>
      </c>
      <c r="J16" s="953">
        <f ca="1">ROUND(J17+J22+J23+J24,0)</f>
        <v>3734</v>
      </c>
      <c r="K16" s="979" t="s">
        <v>1923</v>
      </c>
      <c r="L16" s="980"/>
      <c r="M16" s="921"/>
    </row>
    <row r="17" spans="1:37" s="891" customFormat="1" ht="18" customHeight="1">
      <c r="A17" s="956" t="s">
        <v>1924</v>
      </c>
      <c r="B17" s="925" t="s">
        <v>1925</v>
      </c>
      <c r="C17" s="961">
        <f ca="1">ROUND(F17*(F43+INDIRECT("'数据-取费表'!S"&amp;$G$1))/10000,0)</f>
        <v>1088</v>
      </c>
      <c r="D17" s="925" t="s">
        <v>1926</v>
      </c>
      <c r="E17" s="925" t="s">
        <v>1927</v>
      </c>
      <c r="F17" s="967">
        <f>'数据-取费表'!B35</f>
        <v>200</v>
      </c>
      <c r="G17" s="964"/>
      <c r="H17" s="956" t="s">
        <v>942</v>
      </c>
      <c r="I17" s="925" t="s">
        <v>1928</v>
      </c>
      <c r="J17" s="982">
        <f ca="1">ROUND(IF(AND(项目基本情况!B11="自然人",项目基本情况!B10="北京市"),J6*M17/(1+'数据-取费表'!C42),J18+J19+J20),2)</f>
        <v>3410.85</v>
      </c>
      <c r="K17" s="958" t="s">
        <v>1929</v>
      </c>
      <c r="L17" s="983" t="s">
        <v>1930</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1931</v>
      </c>
      <c r="B18" s="925" t="s">
        <v>1853</v>
      </c>
      <c r="C18" s="961">
        <f ca="1">ROUND(C14*F18,0)</f>
        <v>598</v>
      </c>
      <c r="D18" s="925" t="s">
        <v>1919</v>
      </c>
      <c r="E18" s="925" t="s">
        <v>1920</v>
      </c>
      <c r="F18" s="966">
        <f>'数据-取费表'!B36</f>
        <v>0.02</v>
      </c>
      <c r="G18" s="964"/>
      <c r="H18" s="956" t="s">
        <v>965</v>
      </c>
      <c r="I18" s="925" t="s">
        <v>1932</v>
      </c>
      <c r="J18" s="961">
        <f ca="1">ROUND(J6*M18/(1+'数据-取费表'!C42),2)</f>
        <v>1075.25</v>
      </c>
      <c r="K18" s="983" t="s">
        <v>1933</v>
      </c>
      <c r="L18" s="925" t="s">
        <v>1920</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1934</v>
      </c>
      <c r="C19" s="961">
        <f ca="1">SUM(C14:C18)</f>
        <v>33092</v>
      </c>
      <c r="D19" s="968" t="s">
        <v>1935</v>
      </c>
      <c r="E19" s="969"/>
      <c r="F19" s="967"/>
      <c r="G19" s="718"/>
      <c r="H19" s="956" t="s">
        <v>969</v>
      </c>
      <c r="I19" s="925" t="s">
        <v>1936</v>
      </c>
      <c r="J19" s="961">
        <f ca="1">IF(K19="按租金收入计税",ROUND(J6*M19/(1+'数据-取费表'!C42),2),ROUND(C29*M19*0.7,2))</f>
        <v>2304.11</v>
      </c>
      <c r="K19" s="986" t="s">
        <v>1937</v>
      </c>
      <c r="L19" s="925" t="s">
        <v>1920</v>
      </c>
      <c r="M19" s="966">
        <f>IF(K19="按租金收入计税",'数据-取费表'!B51,'数据-取费表'!B50)</f>
        <v>0.12</v>
      </c>
    </row>
    <row r="20" spans="1:37" s="891" customFormat="1" ht="18" customHeight="1">
      <c r="A20" s="956" t="s">
        <v>946</v>
      </c>
      <c r="B20" s="925" t="s">
        <v>1938</v>
      </c>
      <c r="C20" s="961">
        <f ca="1">ROUND(C19*F20,0)</f>
        <v>662</v>
      </c>
      <c r="D20" s="970" t="s">
        <v>1939</v>
      </c>
      <c r="E20" s="925" t="s">
        <v>1920</v>
      </c>
      <c r="F20" s="966">
        <f>'数据-取费表'!B37</f>
        <v>0.02</v>
      </c>
      <c r="G20" s="964"/>
      <c r="H20" s="956" t="s">
        <v>972</v>
      </c>
      <c r="I20" s="924" t="s">
        <v>1940</v>
      </c>
      <c r="J20" s="988">
        <f ca="1">ROUND(M20*M21/10000,2)</f>
        <v>31.49</v>
      </c>
      <c r="K20" s="989" t="s">
        <v>1941</v>
      </c>
      <c r="L20" s="925" t="s">
        <v>1942</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1943</v>
      </c>
      <c r="C21" s="961" t="s">
        <v>124</v>
      </c>
      <c r="D21" s="970" t="s">
        <v>1944</v>
      </c>
      <c r="E21" s="925" t="s">
        <v>1945</v>
      </c>
      <c r="F21" s="966">
        <f>'数据-取费表'!B38</f>
        <v>0.02</v>
      </c>
      <c r="G21" s="964"/>
      <c r="H21" s="971"/>
      <c r="I21" s="1088"/>
      <c r="J21" s="992"/>
      <c r="K21" s="993"/>
      <c r="L21" s="925" t="s">
        <v>1946</v>
      </c>
      <c r="M21" s="926">
        <f ca="1">INDIRECT("'数据-取费表'!r"&amp;$G$1)</f>
        <v>10498.289999999999</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1947</v>
      </c>
      <c r="C22" s="961"/>
      <c r="D22" s="968" t="str">
        <f>IF(F23&lt;=1,"单利计息。","复利计息。")&amp;"建造成本、管理费用、销售费用产生的利息。"</f>
        <v>复利计息。建造成本、管理费用、销售费用产生的利息。</v>
      </c>
      <c r="E22" s="969"/>
      <c r="F22" s="967"/>
      <c r="G22" s="718"/>
      <c r="H22" s="956" t="s">
        <v>946</v>
      </c>
      <c r="I22" s="925" t="s">
        <v>1948</v>
      </c>
      <c r="J22" s="961">
        <f ca="1">ROUND(J14*M22,2)</f>
        <v>90.63</v>
      </c>
      <c r="K22" s="983" t="s">
        <v>1949</v>
      </c>
      <c r="L22" s="925" t="s">
        <v>1920</v>
      </c>
      <c r="M22" s="995">
        <f ca="1">INDIRECT("'数据-取费表'!Ak"&amp;$G$1)</f>
        <v>2E-3</v>
      </c>
    </row>
    <row r="23" spans="1:37" s="891" customFormat="1" ht="18" customHeight="1">
      <c r="A23" s="956" t="s">
        <v>965</v>
      </c>
      <c r="B23" s="925" t="s">
        <v>1950</v>
      </c>
      <c r="C23" s="961">
        <f ca="1">IF('数据-取费表'!B22&lt;=1,ROUND(C19*F24*F23/2,0)+ROUND(C20*F24*F23/2,0),ROUND(C19*(POWER((1+F24),F23/2)-1),0)+ROUND(C20*(POWER((1+F24),F23/2)-1),0))</f>
        <v>1271</v>
      </c>
      <c r="D23" s="972" t="str">
        <f>IF(F23&lt;=1,"(建造成本+管理费用)×利率×(建设周期÷2)","(建造成本+管理费用)×((1+利率)^(建设周期÷2)-1)")</f>
        <v>(建造成本+管理费用)×((1+利率)^(建设周期÷2)-1)</v>
      </c>
      <c r="E23" s="925" t="s">
        <v>1951</v>
      </c>
      <c r="F23" s="973">
        <f>'数据-取费表'!B20</f>
        <v>2.5</v>
      </c>
      <c r="G23" s="964"/>
      <c r="H23" s="956" t="s">
        <v>991</v>
      </c>
      <c r="I23" s="925" t="s">
        <v>1952</v>
      </c>
      <c r="J23" s="961">
        <f ca="1">ROUND(J13*M23,2)</f>
        <v>31.27</v>
      </c>
      <c r="K23" s="983" t="s">
        <v>1953</v>
      </c>
      <c r="L23" s="925" t="s">
        <v>1920</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1954</v>
      </c>
      <c r="C24" s="961">
        <f ca="1">ROUND(IF('数据-取费表'!B22&lt;=1,F21*F24*F23/2,F21*(POWER((1+F24),F23/2)-1)),4)</f>
        <v>8.0000000000000004E-4</v>
      </c>
      <c r="D24" s="972" t="str">
        <f>IF(F23&lt;=1,"销售费用×利率×(建设周期÷2)","销售费用×((1+利率)^(建设周期÷2)-1)")</f>
        <v>销售费用×((1+利率)^(建设周期÷2)-1)</v>
      </c>
      <c r="E24" s="925" t="s">
        <v>1955</v>
      </c>
      <c r="F24" s="974">
        <f ca="1">'数据-取费表'!B40</f>
        <v>0.03</v>
      </c>
      <c r="G24" s="964"/>
      <c r="H24" s="965" t="s">
        <v>994</v>
      </c>
      <c r="I24" s="949" t="s">
        <v>1938</v>
      </c>
      <c r="J24" s="975">
        <f ca="1">ROUND(J5*M24,2)</f>
        <v>201.61</v>
      </c>
      <c r="K24" s="976" t="s">
        <v>1956</v>
      </c>
      <c r="L24" s="949" t="s">
        <v>1920</v>
      </c>
      <c r="M24" s="950">
        <f ca="1">INDIRECT("'数据-取费表'!Am"&amp;$G$1)</f>
        <v>0.01</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1957</v>
      </c>
      <c r="C25" s="961"/>
      <c r="D25" s="968" t="s">
        <v>1958</v>
      </c>
      <c r="E25" s="969"/>
      <c r="F25" s="967"/>
      <c r="G25" s="718"/>
      <c r="H25" s="951" t="s">
        <v>1959</v>
      </c>
      <c r="I25" s="997" t="s">
        <v>1960</v>
      </c>
      <c r="J25" s="953">
        <f ca="1">J5-J16</f>
        <v>16427</v>
      </c>
      <c r="K25" s="998" t="s">
        <v>1961</v>
      </c>
      <c r="L25" s="999"/>
      <c r="M25" s="1000"/>
    </row>
    <row r="26" spans="1:37">
      <c r="A26" s="956" t="s">
        <v>965</v>
      </c>
      <c r="B26" s="925" t="s">
        <v>1962</v>
      </c>
      <c r="C26" s="961">
        <f ca="1">ROUND((C19+C20)*F26,0)</f>
        <v>6751</v>
      </c>
      <c r="D26" s="970" t="s">
        <v>1963</v>
      </c>
      <c r="E26" s="937" t="s">
        <v>1964</v>
      </c>
      <c r="F26" s="933">
        <f ca="1">INDIRECT("'数据-取费表'!q"&amp;$G$1)</f>
        <v>0.2</v>
      </c>
      <c r="G26" s="718"/>
      <c r="H26" s="916" t="s">
        <v>1965</v>
      </c>
      <c r="I26" s="917" t="s">
        <v>1966</v>
      </c>
      <c r="J26" s="1001">
        <f ca="1">IF(J5&lt;&gt;0,ROUND(J25*(1-((1+M28)/(1+M26))^M27)/(M26-M28),0),0)</f>
        <v>183421</v>
      </c>
      <c r="K26" s="989" t="s">
        <v>1967</v>
      </c>
      <c r="L26" s="925" t="s">
        <v>1968</v>
      </c>
      <c r="M26" s="933">
        <f ca="1">INDIRECT("'数据-取费表'!I"&amp;$G$1)</f>
        <v>5.5E-2</v>
      </c>
    </row>
    <row r="27" spans="1:37" ht="18" customHeight="1">
      <c r="A27" s="956" t="s">
        <v>969</v>
      </c>
      <c r="B27" s="925" t="s">
        <v>1969</v>
      </c>
      <c r="C27" s="961">
        <f ca="1">ROUND(F21*F26,4)</f>
        <v>4.0000000000000001E-3</v>
      </c>
      <c r="D27" s="970" t="s">
        <v>1970</v>
      </c>
      <c r="E27" s="962"/>
      <c r="F27" s="963"/>
      <c r="G27" s="718"/>
      <c r="H27" s="931"/>
      <c r="I27" s="1003"/>
      <c r="J27" s="932"/>
      <c r="K27" s="1004" t="s">
        <v>1971</v>
      </c>
      <c r="L27" s="925" t="s">
        <v>1972</v>
      </c>
      <c r="M27" s="1005">
        <f ca="1">INDIRECT("'数据-取费表'!ag"&amp;$G$1)</f>
        <v>14.689999999999998</v>
      </c>
    </row>
    <row r="28" spans="1:37" s="891" customFormat="1" ht="18" customHeight="1">
      <c r="A28" s="956" t="s">
        <v>999</v>
      </c>
      <c r="B28" s="925" t="s">
        <v>1973</v>
      </c>
      <c r="C28" s="961">
        <f>ROUND(F28/(1+'数据-取费表'!C42),4)</f>
        <v>5.33E-2</v>
      </c>
      <c r="D28" s="970" t="s">
        <v>1974</v>
      </c>
      <c r="E28" s="925" t="s">
        <v>1920</v>
      </c>
      <c r="F28" s="966">
        <f>'数据-取费表'!B41</f>
        <v>5.6000000000000001E-2</v>
      </c>
      <c r="G28" s="964"/>
      <c r="H28" s="939"/>
      <c r="I28" s="1007"/>
      <c r="J28" s="953"/>
      <c r="K28" s="993"/>
      <c r="L28" s="925" t="s">
        <v>1975</v>
      </c>
      <c r="M28" s="933">
        <f ca="1">INDIRECT("'数据-取费表'!aa"&amp;$G$1)</f>
        <v>0.02</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1878</v>
      </c>
      <c r="B29" s="949" t="s">
        <v>1976</v>
      </c>
      <c r="C29" s="975">
        <f ca="1">ROUND((C19+C20+C23+C26)/(1-F21-C24-C27-C28),0)</f>
        <v>45315</v>
      </c>
      <c r="D29" s="976"/>
      <c r="E29" s="949"/>
      <c r="F29" s="977"/>
      <c r="G29" s="964"/>
      <c r="H29" s="978" t="s">
        <v>1977</v>
      </c>
      <c r="I29" s="1008" t="s">
        <v>1978</v>
      </c>
      <c r="J29" s="1009">
        <f ca="1">ROUND(J26/(1+F40)^F41,0)</f>
        <v>130276</v>
      </c>
      <c r="K29" s="1010" t="s">
        <v>1979</v>
      </c>
      <c r="L29" s="1011"/>
      <c r="M29" s="1012">
        <f ca="1">INDIRECT("'数据-取费表'!k"&amp;$G$1)</f>
        <v>54071.78</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1921</v>
      </c>
      <c r="B30" s="952" t="s">
        <v>1922</v>
      </c>
      <c r="C30" s="953">
        <f ca="1">ROUND(C31+C36+C37+C38,0)</f>
        <v>3107</v>
      </c>
      <c r="D30" s="979" t="s">
        <v>1923</v>
      </c>
      <c r="E30" s="980"/>
      <c r="F30" s="921"/>
      <c r="G30" s="718"/>
      <c r="H30" s="981"/>
      <c r="I30" s="1089"/>
      <c r="J30" s="1090"/>
      <c r="K30" s="1006"/>
      <c r="L30" s="1091"/>
      <c r="M30" s="1092"/>
    </row>
    <row r="31" spans="1:37" ht="18" customHeight="1">
      <c r="A31" s="956" t="s">
        <v>942</v>
      </c>
      <c r="B31" s="925" t="s">
        <v>1928</v>
      </c>
      <c r="C31" s="982">
        <f ca="1">ROUND(IF(AND(项目基本情况!B11="自然人",项目基本情况!B10="北京市"),C6*F31/(1+'数据-取费表'!C42),C32+C33+C34),2)</f>
        <v>2816.98</v>
      </c>
      <c r="D31" s="958" t="s">
        <v>1929</v>
      </c>
      <c r="E31" s="983" t="s">
        <v>1930</v>
      </c>
      <c r="F31" s="984" t="str">
        <f>IF(项目基本情况!B11="企业","——",IF(M47="住宅",IF(F6*F7*F8/12/(1+'数据-取费表'!F30)&gt;100000,4%,2.5%),IF(F6*F7*F8/12/(1+'数据-取费表'!F30)&gt;100000,12%,7%)))</f>
        <v>——</v>
      </c>
      <c r="G31" s="718"/>
      <c r="H31" s="985" t="s">
        <v>1980</v>
      </c>
      <c r="I31" s="1089"/>
      <c r="J31" s="1090"/>
      <c r="K31" s="1006"/>
      <c r="L31" s="1091"/>
      <c r="M31" s="1092"/>
    </row>
    <row r="32" spans="1:37" ht="18" customHeight="1">
      <c r="A32" s="956" t="s">
        <v>965</v>
      </c>
      <c r="B32" s="925" t="s">
        <v>1932</v>
      </c>
      <c r="C32" s="961">
        <f ca="1">IF(项目基本情况!B11="自然人","——",ROUND(C6*F32/(1+'数据-取费表'!C42),2))</f>
        <v>886.29</v>
      </c>
      <c r="D32" s="983" t="s">
        <v>1933</v>
      </c>
      <c r="E32" s="925" t="s">
        <v>1920</v>
      </c>
      <c r="F32" s="974">
        <f>'数据-取费表'!B41</f>
        <v>5.6000000000000001E-2</v>
      </c>
      <c r="G32" s="718"/>
      <c r="H32" s="981"/>
      <c r="I32" s="1089"/>
      <c r="J32" s="1090"/>
      <c r="K32" s="1006"/>
      <c r="L32" s="1091"/>
      <c r="M32" s="1092"/>
    </row>
    <row r="33" spans="1:18" ht="18" customHeight="1">
      <c r="A33" s="956" t="s">
        <v>969</v>
      </c>
      <c r="B33" s="925" t="s">
        <v>1936</v>
      </c>
      <c r="C33" s="961">
        <f ca="1">IF(项目基本情况!B11="自然人","——",IF(D33="按租金收入计税",ROUND(C6*F33/(1+'数据-取费表'!C42),2),IF(D33="按房产原值计税",ROUND(C29*F33*0.7,2),INDIRECT("'数据-取费表'!Aj"&amp;$G$1))))</f>
        <v>1899.2</v>
      </c>
      <c r="D33" s="986" t="s">
        <v>1937</v>
      </c>
      <c r="E33" s="925" t="s">
        <v>1920</v>
      </c>
      <c r="F33" s="966">
        <f>IF(D33="按票据","——",IF(D33="按租金收入计税",'数据-取费表'!B51,'数据-取费表'!B50))</f>
        <v>0.12</v>
      </c>
      <c r="G33" s="718"/>
      <c r="H33" s="987"/>
      <c r="I33" s="1089"/>
      <c r="J33" s="1090"/>
      <c r="K33" s="1093"/>
      <c r="L33" s="987"/>
      <c r="M33" s="987"/>
    </row>
    <row r="34" spans="1:18" ht="18" customHeight="1">
      <c r="A34" s="922" t="s">
        <v>972</v>
      </c>
      <c r="B34" s="924" t="s">
        <v>1940</v>
      </c>
      <c r="C34" s="988">
        <f ca="1">IF(项目基本情况!B11="自然人","——",ROUND(F34*F35/10000,2))</f>
        <v>31.49</v>
      </c>
      <c r="D34" s="989" t="s">
        <v>1941</v>
      </c>
      <c r="E34" s="925" t="s">
        <v>1942</v>
      </c>
      <c r="F34" s="973">
        <f>'数据-取费表'!B52</f>
        <v>30</v>
      </c>
      <c r="G34" s="718"/>
      <c r="H34" s="981"/>
      <c r="I34" s="1089"/>
      <c r="J34" s="1090"/>
      <c r="K34" s="1094"/>
      <c r="L34" s="1095"/>
      <c r="M34" s="1095"/>
    </row>
    <row r="35" spans="1:18" ht="18" customHeight="1">
      <c r="A35" s="990"/>
      <c r="B35" s="991"/>
      <c r="C35" s="992"/>
      <c r="D35" s="993"/>
      <c r="E35" s="925" t="s">
        <v>1946</v>
      </c>
      <c r="F35" s="926">
        <f ca="1">INDIRECT("'数据-取费表'!r"&amp;$G$1)</f>
        <v>10498.289999999999</v>
      </c>
      <c r="G35" s="718"/>
      <c r="H35" s="981"/>
      <c r="I35" s="1089"/>
      <c r="J35" s="1090"/>
      <c r="K35" s="1093"/>
      <c r="L35" s="987"/>
      <c r="M35" s="987"/>
    </row>
    <row r="36" spans="1:18" ht="18" customHeight="1">
      <c r="A36" s="994" t="s">
        <v>946</v>
      </c>
      <c r="B36" s="925" t="s">
        <v>1948</v>
      </c>
      <c r="C36" s="961">
        <f ca="1">ROUND(C29*F36,2)</f>
        <v>90.63</v>
      </c>
      <c r="D36" s="983" t="s">
        <v>1981</v>
      </c>
      <c r="E36" s="925" t="s">
        <v>1920</v>
      </c>
      <c r="F36" s="995">
        <f ca="1">INDIRECT("'数据-取费表'!Ak"&amp;$G$1)</f>
        <v>2E-3</v>
      </c>
      <c r="G36" s="718"/>
      <c r="H36" s="987"/>
      <c r="I36" s="1089"/>
      <c r="J36" s="1090"/>
      <c r="K36" s="1096"/>
      <c r="L36" s="987"/>
      <c r="M36" s="987"/>
    </row>
    <row r="37" spans="1:18" ht="18" customHeight="1">
      <c r="A37" s="956" t="s">
        <v>991</v>
      </c>
      <c r="B37" s="925" t="s">
        <v>1952</v>
      </c>
      <c r="C37" s="961">
        <f ca="1">ROUND(C13*F37,2)</f>
        <v>33.08</v>
      </c>
      <c r="D37" s="983" t="s">
        <v>1953</v>
      </c>
      <c r="E37" s="925" t="s">
        <v>1920</v>
      </c>
      <c r="F37" s="996">
        <f ca="1">INDIRECT("'数据-取费表'!Al"&amp;$G$1)</f>
        <v>1E-3</v>
      </c>
      <c r="G37" s="718"/>
      <c r="H37" s="987"/>
      <c r="I37" s="1089"/>
      <c r="J37" s="1090"/>
      <c r="K37" s="1096"/>
      <c r="L37" s="987"/>
      <c r="M37" s="987"/>
    </row>
    <row r="38" spans="1:18" ht="18" customHeight="1">
      <c r="A38" s="965" t="s">
        <v>994</v>
      </c>
      <c r="B38" s="949" t="s">
        <v>1938</v>
      </c>
      <c r="C38" s="975">
        <f ca="1">ROUND(C5*F38,2)</f>
        <v>166.39</v>
      </c>
      <c r="D38" s="976" t="s">
        <v>1956</v>
      </c>
      <c r="E38" s="949" t="s">
        <v>1920</v>
      </c>
      <c r="F38" s="950">
        <f ca="1">INDIRECT("'数据-取费表'!Am"&amp;$G$1)</f>
        <v>0.01</v>
      </c>
      <c r="G38" s="718"/>
      <c r="H38" s="987"/>
      <c r="I38" s="1089"/>
      <c r="J38" s="1090"/>
      <c r="K38" s="1091"/>
      <c r="L38" s="987"/>
      <c r="M38" s="987"/>
    </row>
    <row r="39" spans="1:18" ht="24.6" customHeight="1">
      <c r="A39" s="951" t="s">
        <v>1959</v>
      </c>
      <c r="B39" s="997" t="s">
        <v>1960</v>
      </c>
      <c r="C39" s="953">
        <f ca="1">C5-C30</f>
        <v>13532</v>
      </c>
      <c r="D39" s="998" t="s">
        <v>1961</v>
      </c>
      <c r="E39" s="999"/>
      <c r="F39" s="1000"/>
      <c r="G39" s="718"/>
      <c r="H39" s="987"/>
      <c r="I39" s="1089"/>
      <c r="J39" s="1090"/>
      <c r="K39" s="1091"/>
      <c r="L39" s="987"/>
      <c r="M39" s="987"/>
    </row>
    <row r="40" spans="1:18" ht="18" customHeight="1">
      <c r="A40" s="916" t="s">
        <v>1965</v>
      </c>
      <c r="B40" s="917" t="s">
        <v>1982</v>
      </c>
      <c r="C40" s="1001">
        <f ca="1">ROUND(C39*(1-((1+F42)/(1+F40))^F41)/(F40-F42),0)</f>
        <v>71287</v>
      </c>
      <c r="D40" s="989" t="s">
        <v>1967</v>
      </c>
      <c r="E40" s="925" t="s">
        <v>1968</v>
      </c>
      <c r="F40" s="933">
        <f ca="1">INDIRECT("'数据-取费表'!I"&amp;$G$1)</f>
        <v>5.5E-2</v>
      </c>
      <c r="G40" s="718"/>
      <c r="H40" s="1002"/>
      <c r="I40" s="1089"/>
      <c r="J40" s="1090"/>
      <c r="K40" s="1091"/>
      <c r="L40" s="1002"/>
      <c r="M40" s="1002"/>
    </row>
    <row r="41" spans="1:18" ht="18" customHeight="1">
      <c r="A41" s="931"/>
      <c r="B41" s="1003"/>
      <c r="C41" s="932"/>
      <c r="D41" s="1004" t="s">
        <v>1971</v>
      </c>
      <c r="E41" s="925" t="s">
        <v>1972</v>
      </c>
      <c r="F41" s="1005">
        <f ca="1">IF(INDIRECT("'数据-取费表'!af"&amp;$G$1)=0,INDIRECT("'数据-取费表'!ae"&amp;$G$1),INDIRECT("'数据-取费表'!af"&amp;$G$1))</f>
        <v>6.39</v>
      </c>
      <c r="G41" s="718"/>
      <c r="H41" s="1006"/>
      <c r="I41" s="1089"/>
      <c r="J41" s="1090"/>
      <c r="K41" s="1096"/>
      <c r="L41" s="1006"/>
      <c r="M41" s="1006"/>
    </row>
    <row r="42" spans="1:18" ht="18" customHeight="1">
      <c r="A42" s="939"/>
      <c r="B42" s="1007"/>
      <c r="C42" s="953"/>
      <c r="D42" s="993"/>
      <c r="E42" s="925" t="s">
        <v>1975</v>
      </c>
      <c r="F42" s="933">
        <f ca="1">INDIRECT("'数据-取费表'!v"&amp;$G$1)</f>
        <v>0</v>
      </c>
      <c r="G42" s="718"/>
      <c r="H42" s="1006"/>
      <c r="I42" s="1089"/>
      <c r="J42" s="1090"/>
      <c r="K42" s="1096"/>
      <c r="L42" s="1006"/>
      <c r="M42" s="1006"/>
    </row>
    <row r="43" spans="1:18" ht="18" customHeight="1">
      <c r="A43" s="978" t="s">
        <v>1977</v>
      </c>
      <c r="B43" s="1008" t="s">
        <v>1983</v>
      </c>
      <c r="C43" s="1009">
        <f ca="1">ROUND(C40*10000/F43,0)</f>
        <v>13184</v>
      </c>
      <c r="D43" s="1010" t="s">
        <v>1984</v>
      </c>
      <c r="E43" s="1011" t="s">
        <v>1985</v>
      </c>
      <c r="F43" s="1012">
        <f ca="1">INDIRECT("'数据-取费表'!k"&amp;$G$1)</f>
        <v>54071.78</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1988</v>
      </c>
      <c r="P45" s="1002"/>
      <c r="Q45" s="1002"/>
      <c r="R45" s="1002"/>
    </row>
    <row r="46" spans="1:18" s="718" customFormat="1">
      <c r="A46" s="1015" t="s">
        <v>1989</v>
      </c>
      <c r="C46" s="1016">
        <f ca="1">C68-C40</f>
        <v>-72104</v>
      </c>
      <c r="D46" s="1017" t="str">
        <f>C2</f>
        <v>万元</v>
      </c>
      <c r="E46" s="1013"/>
      <c r="F46" s="1013"/>
      <c r="I46" s="1100" t="s">
        <v>1990</v>
      </c>
      <c r="J46" s="1101"/>
      <c r="K46" s="1102"/>
      <c r="L46" s="1103">
        <f ca="1">IF(M47="住宅",0,IF(L48&gt;J51,L60,J60))</f>
        <v>3579</v>
      </c>
      <c r="O46" s="1104" t="s">
        <v>1991</v>
      </c>
      <c r="P46" s="1105" t="s">
        <v>1992</v>
      </c>
      <c r="Q46" s="1149" t="s">
        <v>1993</v>
      </c>
      <c r="R46" s="1149" t="s">
        <v>1994</v>
      </c>
    </row>
    <row r="47" spans="1:18" s="718" customFormat="1">
      <c r="A47" s="1018" t="s">
        <v>1891</v>
      </c>
      <c r="B47" s="1019" t="s">
        <v>1892</v>
      </c>
      <c r="C47" s="1020" t="s">
        <v>1893</v>
      </c>
      <c r="D47" s="1019" t="s">
        <v>1894</v>
      </c>
      <c r="E47" s="1021" t="s">
        <v>1895</v>
      </c>
      <c r="F47" s="1022"/>
      <c r="G47" s="1023"/>
      <c r="I47" s="1106" t="s">
        <v>1995</v>
      </c>
      <c r="J47" s="1107" t="s">
        <v>1697</v>
      </c>
      <c r="K47" s="1108" t="s">
        <v>1996</v>
      </c>
      <c r="L47" s="1109">
        <f ca="1">INDIRECT("'数据-取费表'!d"&amp;$G$1)</f>
        <v>50</v>
      </c>
      <c r="M47" s="1110" t="str">
        <f>IF(ISNUMBER(FIND("住宅",C1)),"住宅","非住宅")</f>
        <v>非住宅</v>
      </c>
      <c r="O47" s="1111" t="s">
        <v>1753</v>
      </c>
      <c r="P47" s="1112" t="s">
        <v>1997</v>
      </c>
      <c r="Q47" s="1150">
        <f ca="1">C40+J29</f>
        <v>201563</v>
      </c>
      <c r="R47" s="1150" t="s">
        <v>1998</v>
      </c>
    </row>
    <row r="48" spans="1:18" s="718" customFormat="1" ht="27.75">
      <c r="A48" s="1024" t="s">
        <v>1999</v>
      </c>
      <c r="B48" s="917" t="s">
        <v>1896</v>
      </c>
      <c r="C48" s="1025">
        <f ca="1">C49+C53+C55</f>
        <v>0</v>
      </c>
      <c r="D48" s="1026"/>
      <c r="E48" s="1027"/>
      <c r="F48" s="1028"/>
      <c r="G48" s="1023"/>
      <c r="H48" s="1029"/>
      <c r="I48" s="1113" t="s">
        <v>2000</v>
      </c>
      <c r="J48" s="1114" t="s">
        <v>2338</v>
      </c>
      <c r="K48" s="1115" t="s">
        <v>2001</v>
      </c>
      <c r="L48" s="1116">
        <f ca="1">INDIRECT("'数据-取费表'!f"&amp;$G$1)</f>
        <v>21.08</v>
      </c>
      <c r="O48" s="1111" t="s">
        <v>1755</v>
      </c>
      <c r="P48" s="1112" t="s">
        <v>2002</v>
      </c>
      <c r="Q48" s="1150">
        <f ca="1">J60</f>
        <v>3579</v>
      </c>
      <c r="R48" s="1150" t="s">
        <v>2003</v>
      </c>
    </row>
    <row r="49" spans="1:18" s="718" customFormat="1">
      <c r="A49" s="1030" t="s">
        <v>2004</v>
      </c>
      <c r="B49" s="1031" t="s">
        <v>2005</v>
      </c>
      <c r="C49" s="1032">
        <f ca="1">ROUND(F49*F51*F50*(1-F52)/10000,0)</f>
        <v>0</v>
      </c>
      <c r="D49" s="1033" t="s">
        <v>2335</v>
      </c>
      <c r="E49" s="1034" t="s">
        <v>2007</v>
      </c>
      <c r="F49" s="1035"/>
      <c r="H49" s="1029"/>
      <c r="I49" s="1113" t="s">
        <v>2008</v>
      </c>
      <c r="J49" s="1117">
        <v>2000</v>
      </c>
      <c r="K49" s="1115" t="s">
        <v>2009</v>
      </c>
      <c r="L49" s="1118"/>
      <c r="O49" s="1119" t="s">
        <v>2010</v>
      </c>
      <c r="P49" s="1112" t="s">
        <v>2011</v>
      </c>
      <c r="Q49" s="1150">
        <f ca="1">C29</f>
        <v>45315</v>
      </c>
      <c r="R49" s="1150" t="s">
        <v>1998</v>
      </c>
    </row>
    <row r="50" spans="1:18" s="718" customFormat="1">
      <c r="A50" s="1036"/>
      <c r="B50" s="1037"/>
      <c r="C50" s="1038"/>
      <c r="D50" s="1039"/>
      <c r="E50" s="1040" t="s">
        <v>1902</v>
      </c>
      <c r="F50" s="1041">
        <f ca="1">F7</f>
        <v>54071.78</v>
      </c>
      <c r="H50" s="1029"/>
      <c r="I50" s="1113" t="s">
        <v>2012</v>
      </c>
      <c r="J50" s="1120">
        <f>SUMPRODUCT((I63:I65=J47)*(J62:L62=J48)*(J63:L65))</f>
        <v>60</v>
      </c>
      <c r="K50" s="1115" t="s">
        <v>2013</v>
      </c>
      <c r="L50" s="1118"/>
      <c r="M50" s="1121"/>
      <c r="O50" s="1119" t="s">
        <v>2014</v>
      </c>
      <c r="P50" s="1112" t="s">
        <v>2015</v>
      </c>
      <c r="Q50" s="1151">
        <f ca="1">J58</f>
        <v>0.4</v>
      </c>
      <c r="R50" s="1150"/>
    </row>
    <row r="51" spans="1:18" s="718" customFormat="1">
      <c r="A51" s="1042"/>
      <c r="B51" s="1037"/>
      <c r="C51" s="1043"/>
      <c r="D51" s="1039"/>
      <c r="E51" s="1044" t="s">
        <v>1903</v>
      </c>
      <c r="F51" s="926">
        <f ca="1">F8</f>
        <v>365</v>
      </c>
      <c r="I51" s="1122" t="s">
        <v>2016</v>
      </c>
      <c r="J51" s="1116">
        <f>IF(J49="",J50,J49+J50-YEAR('数据-取费表'!B2))</f>
        <v>35</v>
      </c>
      <c r="K51" s="1123" t="s">
        <v>2017</v>
      </c>
      <c r="L51" s="1124">
        <f ca="1">ROUND(-PV(INDIRECT("'数据-取费表'!h"&amp;$G$1),J51,(C39-C13*C76),0),0)</f>
        <v>183660</v>
      </c>
      <c r="M51" s="1125"/>
      <c r="O51" s="1119" t="s">
        <v>2018</v>
      </c>
      <c r="P51" s="1112" t="s">
        <v>2019</v>
      </c>
      <c r="Q51" s="1151">
        <f>J52</f>
        <v>0.08</v>
      </c>
      <c r="R51" s="1150"/>
    </row>
    <row r="52" spans="1:18" s="718" customFormat="1">
      <c r="A52" s="1042"/>
      <c r="B52" s="1037"/>
      <c r="C52" s="1043"/>
      <c r="D52" s="1039"/>
      <c r="E52" s="1044" t="s">
        <v>1904</v>
      </c>
      <c r="F52" s="1045"/>
      <c r="I52" s="1126" t="s">
        <v>2020</v>
      </c>
      <c r="J52" s="1127">
        <v>0.08</v>
      </c>
      <c r="K52" s="1126" t="s">
        <v>2021</v>
      </c>
      <c r="L52" s="1127"/>
      <c r="O52" s="1119" t="s">
        <v>2022</v>
      </c>
      <c r="P52" s="1112" t="s">
        <v>2023</v>
      </c>
      <c r="Q52" s="1150">
        <f ca="1">J53</f>
        <v>21.08</v>
      </c>
      <c r="R52" s="1150" t="s">
        <v>2024</v>
      </c>
    </row>
    <row r="53" spans="1:18" s="718" customFormat="1" ht="24">
      <c r="A53" s="1046" t="s">
        <v>2025</v>
      </c>
      <c r="B53" s="1047" t="s">
        <v>1905</v>
      </c>
      <c r="C53" s="935">
        <f ca="1">ROUND(IF(F53="押一",C49/12*F11,IF(F53="押二",C49/12*2*F11,IF(F53="押三",C49/12*3*F11,C54*F11))),0)</f>
        <v>0</v>
      </c>
      <c r="D53" s="936" t="s">
        <v>1906</v>
      </c>
      <c r="E53" s="937" t="s">
        <v>1907</v>
      </c>
      <c r="F53" s="938"/>
      <c r="I53" s="1128" t="s">
        <v>2027</v>
      </c>
      <c r="J53" s="1129">
        <f ca="1">IF(M47="住宅",IF(D1="——",MAX(J51,L48),MAX(J51,L48-'数据-取费表'!B24)),IF(D1="——",MIN(J51,L48),MIN(J51,L48-'数据-取费表'!B24)))</f>
        <v>21.08</v>
      </c>
      <c r="K53" s="3481" t="s">
        <v>2028</v>
      </c>
      <c r="L53" s="3482"/>
      <c r="O53" s="1111" t="s">
        <v>1846</v>
      </c>
      <c r="P53" s="1112" t="s">
        <v>2029</v>
      </c>
      <c r="Q53" s="1150">
        <f ca="1">Q47+Q48</f>
        <v>205142</v>
      </c>
      <c r="R53" s="1150" t="s">
        <v>2030</v>
      </c>
    </row>
    <row r="54" spans="1:18" s="718" customFormat="1">
      <c r="A54" s="1048"/>
      <c r="B54" s="940" t="s">
        <v>2337</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2031</v>
      </c>
      <c r="P54" s="904"/>
      <c r="Q54" s="904"/>
      <c r="R54" s="904"/>
    </row>
    <row r="55" spans="1:18" s="718" customFormat="1">
      <c r="A55" s="945" t="s">
        <v>991</v>
      </c>
      <c r="B55" s="946" t="s">
        <v>1912</v>
      </c>
      <c r="C55" s="947"/>
      <c r="D55" s="936"/>
      <c r="E55" s="1049"/>
      <c r="F55" s="1050"/>
      <c r="I55" s="1133" t="s">
        <v>2032</v>
      </c>
      <c r="J55" s="1134">
        <f ca="1">ROUND(IF(J47="钢混",J57/J50,1-(1-2%)*(J50-J57)/J50),3)</f>
        <v>0.23200000000000001</v>
      </c>
      <c r="K55" s="1135" t="s">
        <v>2033</v>
      </c>
      <c r="L55" s="1136"/>
      <c r="O55" s="1104" t="s">
        <v>1991</v>
      </c>
      <c r="P55" s="1105" t="s">
        <v>1992</v>
      </c>
      <c r="Q55" s="1149" t="s">
        <v>1993</v>
      </c>
      <c r="R55" s="1149" t="s">
        <v>1994</v>
      </c>
    </row>
    <row r="56" spans="1:18" s="718" customFormat="1" ht="24">
      <c r="A56" s="1051">
        <v>2</v>
      </c>
      <c r="B56" s="1052" t="s">
        <v>1913</v>
      </c>
      <c r="C56" s="376">
        <f ca="1">C13</f>
        <v>33080</v>
      </c>
      <c r="D56" s="1053"/>
      <c r="E56" s="1054"/>
      <c r="F56" s="1050"/>
      <c r="I56" s="1137" t="s">
        <v>2034</v>
      </c>
      <c r="J56" s="1138" t="s">
        <v>518</v>
      </c>
      <c r="K56" s="1113" t="s">
        <v>2035</v>
      </c>
      <c r="L56" s="1116" t="str">
        <f ca="1">IF(L48&lt;J51,"——",L48-J53)</f>
        <v>——</v>
      </c>
      <c r="O56" s="1111" t="s">
        <v>1753</v>
      </c>
      <c r="P56" s="1112" t="s">
        <v>1997</v>
      </c>
      <c r="Q56" s="1150">
        <f ca="1">C40+J29</f>
        <v>201563</v>
      </c>
      <c r="R56" s="1150" t="s">
        <v>1998</v>
      </c>
    </row>
    <row r="57" spans="1:18" s="718" customFormat="1" ht="24">
      <c r="A57" s="1055"/>
      <c r="B57" s="1056" t="s">
        <v>1976</v>
      </c>
      <c r="C57" s="386">
        <f ca="1">C29</f>
        <v>45315</v>
      </c>
      <c r="D57" s="1057"/>
      <c r="E57" s="1058"/>
      <c r="F57" s="1059"/>
      <c r="I57" s="1139" t="s">
        <v>2036</v>
      </c>
      <c r="J57" s="1140">
        <f ca="1">IF(OR(M47="住宅",J51&lt;L48,J56="是"),"——",J51-L48)</f>
        <v>13.920000000000002</v>
      </c>
      <c r="K57" s="1113" t="s">
        <v>2339</v>
      </c>
      <c r="L57" s="1116" t="str">
        <f ca="1">IF(L48&lt;J51,"——",IF(L55="比较法",L49,IF(L55="基准地价",L50,L51)))</f>
        <v>——</v>
      </c>
      <c r="O57" s="1111" t="s">
        <v>1755</v>
      </c>
      <c r="P57" s="1112" t="s">
        <v>2038</v>
      </c>
      <c r="Q57" s="1150">
        <f ca="1">L60</f>
        <v>0</v>
      </c>
      <c r="R57" s="1150" t="s">
        <v>2039</v>
      </c>
    </row>
    <row r="58" spans="1:18" s="718" customFormat="1" ht="24">
      <c r="A58" s="1060" t="s">
        <v>1921</v>
      </c>
      <c r="B58" s="1052" t="s">
        <v>1922</v>
      </c>
      <c r="C58" s="935">
        <f ca="1">ROUND(C59+C64+C65+C66,0)</f>
        <v>155</v>
      </c>
      <c r="D58" s="1061" t="s">
        <v>1923</v>
      </c>
      <c r="E58" s="1062"/>
      <c r="F58" s="1028"/>
      <c r="I58" s="1139" t="s">
        <v>2040</v>
      </c>
      <c r="J58" s="1141">
        <f ca="1">IF(J55&lt;0.4,0.4,J55)</f>
        <v>0.4</v>
      </c>
      <c r="K58" s="1123" t="s">
        <v>2340</v>
      </c>
      <c r="L58" s="1116" t="e">
        <f ca="1">ROUND(POWER(1+L52,L47-L48)*(POWER(1+L52,L48)-1)/(POWER(1+L52,L47)-1),4)</f>
        <v>#DIV/0!</v>
      </c>
      <c r="O58" s="1119" t="s">
        <v>2010</v>
      </c>
      <c r="P58" s="1112" t="s">
        <v>2042</v>
      </c>
      <c r="Q58" s="1150">
        <f>IF(L55="比较法",L49,IF(L55="基准地价",L50,0))</f>
        <v>0</v>
      </c>
      <c r="R58" s="1150" t="s">
        <v>1998</v>
      </c>
    </row>
    <row r="59" spans="1:18" s="718" customFormat="1" ht="24">
      <c r="A59" s="956" t="s">
        <v>942</v>
      </c>
      <c r="B59" s="1056" t="s">
        <v>1928</v>
      </c>
      <c r="C59" s="982">
        <f ca="1">ROUND(IF(AND(项目基本情况!B11="自然人",项目基本情况!B10="北京市"),C49*F59/(1+'数据-取费表'!C42),C60+C61+C62),0)</f>
        <v>31</v>
      </c>
      <c r="D59" s="1063" t="s">
        <v>1929</v>
      </c>
      <c r="E59" s="1064" t="s">
        <v>1930</v>
      </c>
      <c r="F59" s="984" t="str">
        <f>IF(项目基本情况!B11="企业","——",IF('数据-取费表'!B10="住宅",IF(F49*F50*F51/12/(1+'数据-取费表'!F30)&gt;100000,4%,2.5%),IF(F49*F50*F51/12/(1+'数据-取费表'!F30)&gt;100000,12%,7%)))</f>
        <v>——</v>
      </c>
      <c r="I59" s="1139" t="s">
        <v>2043</v>
      </c>
      <c r="J59" s="1140">
        <f ca="1">IF(OR(M47="住宅",J51&lt;L48,J56="是"),"——",ROUND(C29*J58,0))</f>
        <v>18126</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2014</v>
      </c>
      <c r="P59" s="1112" t="s">
        <v>2044</v>
      </c>
      <c r="Q59" s="1151">
        <f>L52</f>
        <v>0</v>
      </c>
      <c r="R59" s="1150"/>
    </row>
    <row r="60" spans="1:18" s="718" customFormat="1" ht="15.75">
      <c r="A60" s="956" t="s">
        <v>965</v>
      </c>
      <c r="B60" s="1056" t="s">
        <v>1932</v>
      </c>
      <c r="C60" s="961">
        <f ca="1">IF(项目基本情况!B11="自然人","——",ROUND(C48*F60/(1+'数据-取费表'!C42),2))</f>
        <v>0</v>
      </c>
      <c r="D60" s="1064" t="s">
        <v>1933</v>
      </c>
      <c r="E60" s="1056" t="s">
        <v>1920</v>
      </c>
      <c r="F60" s="974">
        <f t="shared" ref="F60:F66" si="0">F32</f>
        <v>5.6000000000000001E-2</v>
      </c>
      <c r="I60" s="1142" t="s">
        <v>2045</v>
      </c>
      <c r="J60" s="1143">
        <f ca="1">IF(OR(M47="住宅",J51&lt;L48,J56="是"),"0",ROUND(J59/(1+J52)^J53,0))</f>
        <v>3579</v>
      </c>
      <c r="K60" s="1144" t="s">
        <v>2046</v>
      </c>
      <c r="L60" s="1143">
        <f ca="1">IF(OR(M47="住宅",L48&lt;J51),0,ROUND(L57*(L58/L59-1),0))</f>
        <v>0</v>
      </c>
      <c r="O60" s="1119" t="s">
        <v>2018</v>
      </c>
      <c r="P60" s="1112" t="s">
        <v>2047</v>
      </c>
      <c r="Q60" s="1150" t="e">
        <f ca="1">L58</f>
        <v>#DIV/0!</v>
      </c>
      <c r="R60" s="1150" t="s">
        <v>2048</v>
      </c>
    </row>
    <row r="61" spans="1:18" s="718" customFormat="1">
      <c r="A61" s="956" t="s">
        <v>969</v>
      </c>
      <c r="B61" s="1056" t="s">
        <v>1936</v>
      </c>
      <c r="C61" s="961">
        <f ca="1">IF(项目基本情况!B11="自然人","——",IF(D61="按租金收入计税",ROUND(C49*F61/(1+'数据-取费表'!C42),2),IF(D61="按房产原值计税",ROUND(C57*F61*0.7,2),INDIRECT("'数据-取费表'!Aj"&amp;$G$1))))</f>
        <v>0</v>
      </c>
      <c r="D61" s="986" t="s">
        <v>1937</v>
      </c>
      <c r="E61" s="1056" t="s">
        <v>1920</v>
      </c>
      <c r="F61" s="966">
        <f t="shared" si="0"/>
        <v>0.12</v>
      </c>
      <c r="I61" s="1002"/>
      <c r="J61" s="1002"/>
      <c r="K61" s="1002"/>
      <c r="L61" s="1002"/>
      <c r="O61" s="1119" t="s">
        <v>2022</v>
      </c>
      <c r="P61" s="1112" t="str">
        <f>K59</f>
        <v>建筑物剩余耐用年限下的土地年期修正系数Kn</v>
      </c>
      <c r="Q61" s="1150" t="e">
        <f ca="1">L59</f>
        <v>#DIV/0!</v>
      </c>
      <c r="R61" s="1150" t="s">
        <v>2049</v>
      </c>
    </row>
    <row r="62" spans="1:18" s="718" customFormat="1">
      <c r="A62" s="956" t="s">
        <v>972</v>
      </c>
      <c r="B62" s="1065" t="s">
        <v>1940</v>
      </c>
      <c r="C62" s="988">
        <f ca="1">IF(项目基本情况!B11="自然人","——",ROUND(F62*F63/10000,2))</f>
        <v>31.49</v>
      </c>
      <c r="D62" s="1066" t="s">
        <v>1941</v>
      </c>
      <c r="E62" s="1056" t="s">
        <v>1942</v>
      </c>
      <c r="F62" s="973">
        <f t="shared" si="0"/>
        <v>30</v>
      </c>
      <c r="I62" s="1145" t="s">
        <v>2050</v>
      </c>
      <c r="J62" s="1146" t="s">
        <v>2051</v>
      </c>
      <c r="K62" s="1146" t="s">
        <v>2052</v>
      </c>
      <c r="L62" s="1146" t="s">
        <v>2053</v>
      </c>
      <c r="M62" s="1147" t="s">
        <v>2054</v>
      </c>
      <c r="O62" s="1111" t="s">
        <v>1846</v>
      </c>
      <c r="P62" s="1112" t="s">
        <v>2029</v>
      </c>
      <c r="Q62" s="1150">
        <f ca="1">Q56+Q57</f>
        <v>201563</v>
      </c>
      <c r="R62" s="1150" t="s">
        <v>2030</v>
      </c>
    </row>
    <row r="63" spans="1:18" s="718" customFormat="1">
      <c r="A63" s="971"/>
      <c r="B63" s="1067"/>
      <c r="C63" s="992"/>
      <c r="D63" s="1068"/>
      <c r="E63" s="1056" t="s">
        <v>1946</v>
      </c>
      <c r="F63" s="926">
        <f t="shared" ca="1" si="0"/>
        <v>10498.289999999999</v>
      </c>
      <c r="I63" s="1145" t="s">
        <v>2055</v>
      </c>
      <c r="J63" s="1146">
        <v>70</v>
      </c>
      <c r="K63" s="1146">
        <v>50</v>
      </c>
      <c r="L63" s="1146">
        <v>80</v>
      </c>
      <c r="M63" s="1148">
        <v>0.02</v>
      </c>
      <c r="O63" s="1132" t="s">
        <v>2056</v>
      </c>
      <c r="P63" s="904"/>
      <c r="Q63" s="904"/>
      <c r="R63" s="904"/>
    </row>
    <row r="64" spans="1:18" s="718" customFormat="1">
      <c r="A64" s="956" t="s">
        <v>946</v>
      </c>
      <c r="B64" s="1056" t="s">
        <v>1948</v>
      </c>
      <c r="C64" s="961">
        <f ca="1">ROUND(C57*F64,2)</f>
        <v>90.63</v>
      </c>
      <c r="D64" s="1064" t="s">
        <v>1981</v>
      </c>
      <c r="E64" s="1056" t="s">
        <v>1920</v>
      </c>
      <c r="F64" s="995">
        <f t="shared" ca="1" si="0"/>
        <v>2E-3</v>
      </c>
      <c r="I64" s="1145" t="s">
        <v>2057</v>
      </c>
      <c r="J64" s="1146">
        <v>50</v>
      </c>
      <c r="K64" s="1146">
        <v>35</v>
      </c>
      <c r="L64" s="1146">
        <v>60</v>
      </c>
      <c r="M64" s="1147">
        <v>0</v>
      </c>
      <c r="O64" s="1104" t="s">
        <v>1991</v>
      </c>
      <c r="P64" s="1105" t="s">
        <v>1992</v>
      </c>
      <c r="Q64" s="1149" t="s">
        <v>1993</v>
      </c>
      <c r="R64" s="1149" t="s">
        <v>1994</v>
      </c>
    </row>
    <row r="65" spans="1:18" s="718" customFormat="1">
      <c r="A65" s="956" t="s">
        <v>991</v>
      </c>
      <c r="B65" s="1056" t="s">
        <v>1952</v>
      </c>
      <c r="C65" s="961">
        <f ca="1">ROUND(C56*F65,2)</f>
        <v>33.08</v>
      </c>
      <c r="D65" s="1064" t="s">
        <v>1953</v>
      </c>
      <c r="E65" s="1056" t="s">
        <v>1920</v>
      </c>
      <c r="F65" s="996">
        <f t="shared" ca="1" si="0"/>
        <v>1E-3</v>
      </c>
      <c r="I65" s="1145" t="s">
        <v>2058</v>
      </c>
      <c r="J65" s="1146">
        <v>40</v>
      </c>
      <c r="K65" s="1146">
        <v>30</v>
      </c>
      <c r="L65" s="1146">
        <v>50</v>
      </c>
      <c r="M65" s="1148">
        <v>0.02</v>
      </c>
      <c r="O65" s="1111" t="s">
        <v>1753</v>
      </c>
      <c r="P65" s="1112" t="s">
        <v>1997</v>
      </c>
      <c r="Q65" s="1150">
        <f ca="1">C40+J29</f>
        <v>201563</v>
      </c>
      <c r="R65" s="1150" t="s">
        <v>1998</v>
      </c>
    </row>
    <row r="66" spans="1:18" s="718" customFormat="1" ht="15.75">
      <c r="A66" s="956" t="s">
        <v>994</v>
      </c>
      <c r="B66" s="1056" t="s">
        <v>1938</v>
      </c>
      <c r="C66" s="961">
        <f ca="1">ROUND(C48*F66,2)</f>
        <v>0</v>
      </c>
      <c r="D66" s="1064" t="s">
        <v>1956</v>
      </c>
      <c r="E66" s="1056" t="s">
        <v>1920</v>
      </c>
      <c r="F66" s="933">
        <f t="shared" ca="1" si="0"/>
        <v>0.01</v>
      </c>
      <c r="O66" s="1111" t="s">
        <v>1755</v>
      </c>
      <c r="P66" s="1112" t="s">
        <v>2038</v>
      </c>
      <c r="Q66" s="1150">
        <f ca="1">L60</f>
        <v>0</v>
      </c>
      <c r="R66" s="1150" t="s">
        <v>2039</v>
      </c>
    </row>
    <row r="67" spans="1:18" s="718" customFormat="1" ht="15.75">
      <c r="A67" s="1051" t="s">
        <v>1959</v>
      </c>
      <c r="B67" s="1152" t="s">
        <v>1960</v>
      </c>
      <c r="C67" s="935">
        <f ca="1">C48-C58</f>
        <v>-155</v>
      </c>
      <c r="D67" s="1063" t="s">
        <v>1961</v>
      </c>
      <c r="E67" s="1153"/>
      <c r="F67" s="1154"/>
      <c r="O67" s="1119" t="s">
        <v>2010</v>
      </c>
      <c r="P67" s="1112" t="s">
        <v>2042</v>
      </c>
      <c r="Q67" s="1174">
        <f ca="1">L51</f>
        <v>183660</v>
      </c>
      <c r="R67" s="1150" t="s">
        <v>2059</v>
      </c>
    </row>
    <row r="68" spans="1:18" s="718" customFormat="1" ht="15.75">
      <c r="A68" s="1155" t="s">
        <v>1965</v>
      </c>
      <c r="B68" s="1156" t="s">
        <v>1982</v>
      </c>
      <c r="C68" s="1001">
        <f ca="1">ROUND(C67*(1-((1+F70)/(1+F68))^F69)/(F68-F70),0)</f>
        <v>-817</v>
      </c>
      <c r="D68" s="1066" t="s">
        <v>1967</v>
      </c>
      <c r="E68" s="1056" t="s">
        <v>1968</v>
      </c>
      <c r="F68" s="933">
        <f ca="1">F40</f>
        <v>5.5E-2</v>
      </c>
      <c r="O68" s="1119" t="s">
        <v>2014</v>
      </c>
      <c r="P68" s="1173" t="s">
        <v>2060</v>
      </c>
      <c r="Q68" s="1150">
        <f ca="1">ROUND(Q69-Q70*Q71,0)</f>
        <v>11216</v>
      </c>
      <c r="R68" s="1150" t="s">
        <v>2061</v>
      </c>
    </row>
    <row r="69" spans="1:18" s="718" customFormat="1">
      <c r="A69" s="1157"/>
      <c r="B69" s="1158"/>
      <c r="C69" s="932"/>
      <c r="D69" s="1159" t="s">
        <v>1971</v>
      </c>
      <c r="E69" s="1056" t="s">
        <v>1972</v>
      </c>
      <c r="F69" s="1005">
        <f ca="1">F41</f>
        <v>6.39</v>
      </c>
      <c r="O69" s="1119" t="s">
        <v>2062</v>
      </c>
      <c r="P69" s="1173" t="s">
        <v>2063</v>
      </c>
      <c r="Q69" s="1150">
        <f ca="1">C39</f>
        <v>13532</v>
      </c>
      <c r="R69" s="1150" t="s">
        <v>1998</v>
      </c>
    </row>
    <row r="70" spans="1:18" s="718" customFormat="1">
      <c r="A70" s="1160"/>
      <c r="B70" s="1161"/>
      <c r="C70" s="953"/>
      <c r="D70" s="1068"/>
      <c r="E70" s="1056" t="s">
        <v>1975</v>
      </c>
      <c r="F70" s="1045"/>
      <c r="O70" s="1119" t="s">
        <v>2064</v>
      </c>
      <c r="P70" s="1173" t="s">
        <v>2065</v>
      </c>
      <c r="Q70" s="1150">
        <f ca="1">C13</f>
        <v>33080</v>
      </c>
      <c r="R70" s="1150" t="s">
        <v>1998</v>
      </c>
    </row>
    <row r="71" spans="1:18" s="718" customFormat="1">
      <c r="A71" s="1162" t="s">
        <v>1977</v>
      </c>
      <c r="B71" s="1163" t="s">
        <v>1983</v>
      </c>
      <c r="C71" s="1009">
        <f ca="1">ROUND(C68*10000/F71,0)</f>
        <v>-151</v>
      </c>
      <c r="D71" s="1164" t="s">
        <v>1984</v>
      </c>
      <c r="E71" s="1165" t="s">
        <v>1985</v>
      </c>
      <c r="F71" s="1012">
        <f ca="1">F43</f>
        <v>54071.78</v>
      </c>
      <c r="O71" s="1119" t="s">
        <v>2066</v>
      </c>
      <c r="P71" s="1173" t="s">
        <v>2067</v>
      </c>
      <c r="Q71" s="1151">
        <f ca="1">C76</f>
        <v>7.0000000000000007E-2</v>
      </c>
      <c r="R71" s="1150"/>
    </row>
    <row r="72" spans="1:18" s="718" customFormat="1">
      <c r="B72" s="1098"/>
      <c r="C72" s="1098"/>
      <c r="O72" s="1119" t="s">
        <v>2018</v>
      </c>
      <c r="P72" s="1112" t="s">
        <v>2044</v>
      </c>
      <c r="Q72" s="1151">
        <f>L52</f>
        <v>0</v>
      </c>
      <c r="R72" s="1150"/>
    </row>
    <row r="73" spans="1:18" ht="15.75">
      <c r="A73" s="718"/>
      <c r="B73" s="1098"/>
      <c r="C73" s="1098"/>
      <c r="D73" s="718"/>
      <c r="E73" s="718"/>
      <c r="F73" s="718"/>
      <c r="O73" s="1119" t="s">
        <v>2022</v>
      </c>
      <c r="P73" s="1112" t="s">
        <v>2047</v>
      </c>
      <c r="Q73" s="1150" t="e">
        <f ca="1">L58</f>
        <v>#DIV/0!</v>
      </c>
      <c r="R73" s="1150" t="s">
        <v>2048</v>
      </c>
    </row>
    <row r="74" spans="1:18">
      <c r="A74" s="718"/>
      <c r="B74" s="418" t="s">
        <v>2068</v>
      </c>
      <c r="C74" s="1166"/>
      <c r="D74" s="718"/>
      <c r="E74" s="718"/>
      <c r="F74" s="718"/>
      <c r="O74" s="1119" t="s">
        <v>2069</v>
      </c>
      <c r="P74" s="1112" t="str">
        <f>K59</f>
        <v>建筑物剩余耐用年限下的土地年期修正系数Kn</v>
      </c>
      <c r="Q74" s="1150" t="e">
        <f ca="1">L59</f>
        <v>#DIV/0!</v>
      </c>
      <c r="R74" s="1150" t="s">
        <v>2049</v>
      </c>
    </row>
    <row r="75" spans="1:18">
      <c r="A75" s="718"/>
      <c r="B75" s="1167" t="s">
        <v>2070</v>
      </c>
      <c r="C75" s="1168">
        <f ca="1">ROUND(C13*C76,0)</f>
        <v>2316</v>
      </c>
      <c r="D75" s="718"/>
      <c r="E75" s="718"/>
      <c r="F75" s="718"/>
      <c r="K75" s="1097"/>
      <c r="L75" s="718"/>
      <c r="O75" s="1111" t="s">
        <v>1846</v>
      </c>
      <c r="P75" s="1112" t="s">
        <v>2029</v>
      </c>
      <c r="Q75" s="1150">
        <f ca="1">Q65+Q66</f>
        <v>201563</v>
      </c>
      <c r="R75" s="1150" t="s">
        <v>2030</v>
      </c>
    </row>
    <row r="76" spans="1:18">
      <c r="B76" s="510" t="s">
        <v>2071</v>
      </c>
      <c r="C76" s="1169">
        <f ca="1">INDIRECT("'数据-取费表'!j"&amp;$G$1)</f>
        <v>7.0000000000000007E-2</v>
      </c>
      <c r="I76" s="718"/>
      <c r="J76" s="718"/>
      <c r="K76" s="1097"/>
      <c r="L76" s="718"/>
    </row>
    <row r="77" spans="1:18">
      <c r="B77" s="1170" t="s">
        <v>2072</v>
      </c>
      <c r="C77" s="1171"/>
      <c r="I77" s="718"/>
      <c r="J77" s="718"/>
      <c r="K77" s="1097"/>
      <c r="L77" s="718"/>
    </row>
    <row r="78" spans="1:18">
      <c r="B78" s="416" t="s">
        <v>2073</v>
      </c>
      <c r="C78" s="1172"/>
    </row>
    <row r="79" spans="1:18">
      <c r="B79" s="1167" t="s">
        <v>2074</v>
      </c>
      <c r="C79" s="419">
        <f ca="1">1-C80</f>
        <v>0.82899999999999996</v>
      </c>
    </row>
    <row r="80" spans="1:18">
      <c r="B80" s="1167" t="s">
        <v>2075</v>
      </c>
      <c r="C80" s="419">
        <f ca="1">ROUND(C75/C39,3)</f>
        <v>0.17100000000000001</v>
      </c>
    </row>
    <row r="81" spans="2:3">
      <c r="B81" s="416" t="s">
        <v>2076</v>
      </c>
      <c r="C81" s="386"/>
    </row>
    <row r="82" spans="2:3">
      <c r="B82" s="418" t="s">
        <v>1828</v>
      </c>
      <c r="C82" s="420">
        <f ca="1">1-C83</f>
        <v>0.53600000000000003</v>
      </c>
    </row>
    <row r="83" spans="2:3">
      <c r="B83" s="418" t="s">
        <v>1829</v>
      </c>
      <c r="C83" s="419">
        <f ca="1">ROUND(C13/C40,3)</f>
        <v>0.46400000000000002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20" priority="3">
      <formula>$F$10="自定义"</formula>
    </cfRule>
  </conditionalFormatting>
  <conditionalFormatting sqref="C54">
    <cfRule type="expression" dxfId="19" priority="1">
      <formula>$F$53="自定义"</formula>
    </cfRule>
  </conditionalFormatting>
  <conditionalFormatting sqref="I55 I60">
    <cfRule type="expression" dxfId="18" priority="57">
      <formula>$J$51&gt;$L$48</formula>
    </cfRule>
  </conditionalFormatting>
  <conditionalFormatting sqref="J11">
    <cfRule type="expression" dxfId="17" priority="2">
      <formula>$M$10="自定义"</formula>
    </cfRule>
  </conditionalFormatting>
  <conditionalFormatting sqref="K55 K60">
    <cfRule type="expression" dxfId="1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83"/>
  <sheetViews>
    <sheetView view="pageBreakPreview" zoomScale="70" zoomScaleNormal="70" workbookViewId="0">
      <selection activeCell="K42" sqref="K42"/>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1883</v>
      </c>
      <c r="B1" s="895"/>
      <c r="C1" s="896" t="s">
        <v>609</v>
      </c>
      <c r="D1" s="897" t="s">
        <v>124</v>
      </c>
      <c r="E1" s="898" t="s">
        <v>1884</v>
      </c>
      <c r="F1" s="899">
        <f ca="1">J53</f>
        <v>21.08</v>
      </c>
      <c r="G1" s="900">
        <f>MATCH(C1,'数据-取费表'!A6:A16,0)+5</f>
        <v>7</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1885</v>
      </c>
      <c r="B2" s="903">
        <f ca="1">C40+J29+L46</f>
        <v>6980</v>
      </c>
      <c r="C2" s="904" t="s">
        <v>1886</v>
      </c>
      <c r="D2" s="904"/>
      <c r="E2" s="905"/>
      <c r="F2" s="906"/>
      <c r="G2" s="907"/>
      <c r="H2" s="908"/>
      <c r="I2" s="908"/>
      <c r="J2" s="908"/>
      <c r="K2" s="1072"/>
      <c r="L2" s="908"/>
      <c r="M2" s="908"/>
    </row>
    <row r="3" spans="1:37" ht="18" customHeight="1">
      <c r="A3" s="909" t="s">
        <v>1888</v>
      </c>
      <c r="B3" s="910">
        <f ca="1">IF(ISERROR(B2*10000/F43),0,ROUND(B2*10000/F43,0))</f>
        <v>6477</v>
      </c>
      <c r="C3" s="904" t="s">
        <v>1889</v>
      </c>
      <c r="D3" s="904"/>
      <c r="E3" s="905"/>
      <c r="F3" s="906"/>
      <c r="G3" s="907"/>
      <c r="H3" s="911" t="s">
        <v>1890</v>
      </c>
      <c r="I3" s="1073"/>
      <c r="J3" s="1073"/>
      <c r="K3" s="1074"/>
      <c r="L3" s="1073"/>
      <c r="M3" s="1073"/>
    </row>
    <row r="4" spans="1:37" ht="18" customHeight="1">
      <c r="A4" s="912" t="s">
        <v>1891</v>
      </c>
      <c r="B4" s="913" t="s">
        <v>1892</v>
      </c>
      <c r="C4" s="913" t="s">
        <v>1893</v>
      </c>
      <c r="D4" s="913" t="s">
        <v>1894</v>
      </c>
      <c r="E4" s="914" t="s">
        <v>1895</v>
      </c>
      <c r="F4" s="915"/>
      <c r="G4" s="718"/>
      <c r="H4" s="912" t="s">
        <v>1891</v>
      </c>
      <c r="I4" s="913" t="s">
        <v>1892</v>
      </c>
      <c r="J4" s="913" t="s">
        <v>1893</v>
      </c>
      <c r="K4" s="913" t="s">
        <v>1894</v>
      </c>
      <c r="L4" s="914" t="s">
        <v>1895</v>
      </c>
      <c r="M4" s="915"/>
    </row>
    <row r="5" spans="1:37" ht="18" customHeight="1">
      <c r="A5" s="916">
        <v>1</v>
      </c>
      <c r="B5" s="917" t="s">
        <v>1896</v>
      </c>
      <c r="C5" s="918">
        <f ca="1">C6+C10+C12</f>
        <v>565</v>
      </c>
      <c r="D5" s="919" t="s">
        <v>1897</v>
      </c>
      <c r="E5" s="920"/>
      <c r="F5" s="921"/>
      <c r="G5" s="718"/>
      <c r="H5" s="916">
        <v>1</v>
      </c>
      <c r="I5" s="917" t="s">
        <v>1896</v>
      </c>
      <c r="J5" s="918">
        <f ca="1">J6+J10+J12</f>
        <v>0</v>
      </c>
      <c r="K5" s="919" t="s">
        <v>1897</v>
      </c>
      <c r="L5" s="920"/>
      <c r="M5" s="921"/>
    </row>
    <row r="6" spans="1:37" ht="18" customHeight="1">
      <c r="A6" s="922" t="s">
        <v>942</v>
      </c>
      <c r="B6" s="3483" t="s">
        <v>1898</v>
      </c>
      <c r="C6" s="923">
        <f ca="1">ROUND(F6*F8*F7*(1-F9)/10000,0)</f>
        <v>565</v>
      </c>
      <c r="D6" s="924" t="s">
        <v>2334</v>
      </c>
      <c r="E6" s="925" t="s">
        <v>1900</v>
      </c>
      <c r="F6" s="926">
        <f ca="1">INDIRECT("'数据-取费表'!u"&amp;$G$1)</f>
        <v>1600</v>
      </c>
      <c r="G6" s="718"/>
      <c r="H6" s="922" t="s">
        <v>942</v>
      </c>
      <c r="I6" s="3483" t="s">
        <v>1898</v>
      </c>
      <c r="J6" s="1001">
        <f ca="1">ROUND(M6*M8*M7*(1-M9)/10000,0)</f>
        <v>0</v>
      </c>
      <c r="K6" s="924" t="s">
        <v>2335</v>
      </c>
      <c r="L6" s="925" t="s">
        <v>1900</v>
      </c>
      <c r="M6" s="926">
        <f ca="1">INDIRECT("'数据-取费表'!z"&amp;$G$1)</f>
        <v>0</v>
      </c>
    </row>
    <row r="7" spans="1:37" ht="18" customHeight="1">
      <c r="A7" s="927"/>
      <c r="B7" s="3484"/>
      <c r="C7" s="928"/>
      <c r="D7" s="929"/>
      <c r="E7" s="930" t="s">
        <v>1902</v>
      </c>
      <c r="F7" s="926">
        <f ca="1">IF(INDIRECT("'数据-取费表'!ah"&amp;$G$1)="",INDIRECT("'数据-取费表'!k"&amp;$G$1),INDIRECT("'数据-取费表'!ah"&amp;$G$1))</f>
        <v>327</v>
      </c>
      <c r="G7" s="718"/>
      <c r="H7" s="931"/>
      <c r="I7" s="3484"/>
      <c r="J7" s="932"/>
      <c r="K7" s="929"/>
      <c r="L7" s="925" t="s">
        <v>1902</v>
      </c>
      <c r="M7" s="926">
        <f ca="1">F7</f>
        <v>327</v>
      </c>
    </row>
    <row r="8" spans="1:37" ht="18" customHeight="1">
      <c r="A8" s="931"/>
      <c r="B8" s="3484"/>
      <c r="C8" s="932"/>
      <c r="D8" s="929"/>
      <c r="E8" s="925" t="s">
        <v>1903</v>
      </c>
      <c r="F8" s="926">
        <f ca="1">INDIRECT("'数据-取费表'!ai"&amp;$G$1)</f>
        <v>12</v>
      </c>
      <c r="G8" s="718"/>
      <c r="H8" s="931"/>
      <c r="I8" s="3484"/>
      <c r="J8" s="932"/>
      <c r="K8" s="929"/>
      <c r="L8" s="925" t="s">
        <v>1903</v>
      </c>
      <c r="M8" s="926">
        <f ca="1">INDIRECT("'数据-取费表'!ai"&amp;$G$1)</f>
        <v>12</v>
      </c>
    </row>
    <row r="9" spans="1:37" ht="18" customHeight="1">
      <c r="A9" s="931"/>
      <c r="B9" s="3485"/>
      <c r="C9" s="932"/>
      <c r="D9" s="929"/>
      <c r="E9" s="925" t="s">
        <v>1904</v>
      </c>
      <c r="F9" s="933">
        <f ca="1">INDIRECT("'数据-取费表'!w"&amp;$G$1)</f>
        <v>0.1</v>
      </c>
      <c r="G9" s="718"/>
      <c r="H9" s="931"/>
      <c r="I9" s="3485"/>
      <c r="J9" s="932"/>
      <c r="K9" s="929"/>
      <c r="L9" s="937" t="s">
        <v>1904</v>
      </c>
      <c r="M9" s="943">
        <f ca="1">INDIRECT("'数据-取费表'!ab"&amp;$G$1)</f>
        <v>0</v>
      </c>
    </row>
    <row r="10" spans="1:37" ht="18" customHeight="1">
      <c r="A10" s="922" t="s">
        <v>946</v>
      </c>
      <c r="B10" s="934" t="s">
        <v>1905</v>
      </c>
      <c r="C10" s="935">
        <f ca="1">ROUND(IF(F10="押一",C6/12*F11,IF(F10="押二",C6/12*2*F11,IF(F10="押三",C6/12*3*F11,C11*F11))),0)</f>
        <v>0</v>
      </c>
      <c r="D10" s="936" t="s">
        <v>1906</v>
      </c>
      <c r="E10" s="937" t="s">
        <v>1907</v>
      </c>
      <c r="F10" s="938"/>
      <c r="G10" s="718"/>
      <c r="H10" s="922" t="s">
        <v>946</v>
      </c>
      <c r="I10" s="934" t="s">
        <v>1905</v>
      </c>
      <c r="J10" s="1001">
        <f ca="1">ROUND(IF(M10="押一",J6/12*M11,IF(M10="押二",J6/12*2*M11,IF(M10="押三",J6/12*3*M11,J11*M11))),0)</f>
        <v>0</v>
      </c>
      <c r="K10" s="936" t="s">
        <v>1906</v>
      </c>
      <c r="L10" s="937" t="s">
        <v>1907</v>
      </c>
      <c r="M10" s="938"/>
    </row>
    <row r="11" spans="1:37" ht="18" customHeight="1">
      <c r="A11" s="939"/>
      <c r="B11" s="940" t="s">
        <v>2337</v>
      </c>
      <c r="C11" s="941"/>
      <c r="D11" s="942"/>
      <c r="E11" s="937" t="s">
        <v>1910</v>
      </c>
      <c r="F11" s="943">
        <f ca="1">'数据-取费表'!B39</f>
        <v>1.4999999999999999E-2</v>
      </c>
      <c r="G11" s="718"/>
      <c r="H11" s="944"/>
      <c r="I11" s="940" t="s">
        <v>2337</v>
      </c>
      <c r="J11" s="941"/>
      <c r="K11" s="1075"/>
      <c r="L11" s="937" t="s">
        <v>1910</v>
      </c>
      <c r="M11" s="1076">
        <f ca="1">'数据-取费表'!B39</f>
        <v>1.4999999999999999E-2</v>
      </c>
    </row>
    <row r="12" spans="1:37" ht="18" customHeight="1">
      <c r="A12" s="945" t="s">
        <v>991</v>
      </c>
      <c r="B12" s="946" t="s">
        <v>1912</v>
      </c>
      <c r="C12" s="947"/>
      <c r="D12" s="948"/>
      <c r="E12" s="949"/>
      <c r="F12" s="950"/>
      <c r="G12" s="718"/>
      <c r="H12" s="945" t="s">
        <v>991</v>
      </c>
      <c r="I12" s="946" t="s">
        <v>1912</v>
      </c>
      <c r="J12" s="947"/>
      <c r="K12" s="1077"/>
      <c r="L12" s="949"/>
      <c r="M12" s="1078"/>
    </row>
    <row r="13" spans="1:37" ht="18" customHeight="1">
      <c r="A13" s="951">
        <v>2</v>
      </c>
      <c r="B13" s="952" t="s">
        <v>1913</v>
      </c>
      <c r="C13" s="953">
        <f ca="1">ROUND(C29*F13,0)</f>
        <v>5774</v>
      </c>
      <c r="D13" s="954" t="s">
        <v>1914</v>
      </c>
      <c r="E13" s="954" t="s">
        <v>1915</v>
      </c>
      <c r="F13" s="955">
        <f ca="1">INDIRECT("'数据-取费表'!y"&amp;$G$1)</f>
        <v>0.73</v>
      </c>
      <c r="G13" s="718"/>
      <c r="H13" s="951">
        <v>2</v>
      </c>
      <c r="I13" s="952" t="s">
        <v>1913</v>
      </c>
      <c r="J13" s="1079">
        <f ca="1">ROUND(J14*J15,0)</f>
        <v>0</v>
      </c>
      <c r="K13" s="979" t="s">
        <v>1914</v>
      </c>
      <c r="L13" s="1080"/>
      <c r="M13" s="1081"/>
    </row>
    <row r="14" spans="1:37" ht="18" customHeight="1">
      <c r="A14" s="956" t="s">
        <v>965</v>
      </c>
      <c r="B14" s="925" t="s">
        <v>1916</v>
      </c>
      <c r="C14" s="957">
        <f ca="1">INDIRECT("'数据-取费表'!m"&amp;$G$1)+INDIRECT("'数据-取费表'!t"&amp;$G$1)</f>
        <v>5961</v>
      </c>
      <c r="D14" s="958" t="s">
        <v>1917</v>
      </c>
      <c r="E14" s="959"/>
      <c r="F14" s="960"/>
      <c r="G14" s="718"/>
      <c r="H14" s="956" t="s">
        <v>942</v>
      </c>
      <c r="I14" s="925" t="s">
        <v>1918</v>
      </c>
      <c r="J14" s="961">
        <f ca="1">C29</f>
        <v>7910</v>
      </c>
      <c r="K14" s="1082"/>
      <c r="L14" s="1083"/>
      <c r="M14" s="1084"/>
    </row>
    <row r="15" spans="1:37" s="891" customFormat="1" ht="18" customHeight="1">
      <c r="A15" s="956" t="s">
        <v>969</v>
      </c>
      <c r="B15" s="925" t="s">
        <v>1844</v>
      </c>
      <c r="C15" s="961">
        <f ca="1">ROUND(C14*F15,0)</f>
        <v>298</v>
      </c>
      <c r="D15" s="962" t="s">
        <v>1919</v>
      </c>
      <c r="E15" s="962" t="s">
        <v>1920</v>
      </c>
      <c r="F15" s="963">
        <f>'数据-取费表'!B33</f>
        <v>0.05</v>
      </c>
      <c r="G15" s="964"/>
      <c r="H15" s="965" t="s">
        <v>946</v>
      </c>
      <c r="I15" s="949" t="s">
        <v>1915</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1847</v>
      </c>
      <c r="C16" s="961">
        <f ca="1">ROUND(INDIRECT("'数据-取费表'!m"&amp;$G$1)*F16,0)</f>
        <v>0</v>
      </c>
      <c r="D16" s="925" t="s">
        <v>1919</v>
      </c>
      <c r="E16" s="925" t="s">
        <v>1920</v>
      </c>
      <c r="F16" s="966">
        <f ca="1">IF(INDIRECT("'数据-取费表'!c"&amp;$G$1)="住宅",'数据-取费表'!B34,0)</f>
        <v>0</v>
      </c>
      <c r="G16" s="718"/>
      <c r="H16" s="951" t="s">
        <v>1921</v>
      </c>
      <c r="I16" s="952" t="s">
        <v>1922</v>
      </c>
      <c r="J16" s="953">
        <f ca="1">ROUND(J17+J22+J23+J24,0)</f>
        <v>22</v>
      </c>
      <c r="K16" s="979" t="s">
        <v>1923</v>
      </c>
      <c r="L16" s="980"/>
      <c r="M16" s="921"/>
    </row>
    <row r="17" spans="1:37" s="891" customFormat="1" ht="18" customHeight="1">
      <c r="A17" s="956" t="s">
        <v>1924</v>
      </c>
      <c r="B17" s="925" t="s">
        <v>1925</v>
      </c>
      <c r="C17" s="961">
        <f ca="1">ROUND(F17*(F43+INDIRECT("'数据-取费表'!S"&amp;$G$1))/10000,0)</f>
        <v>217</v>
      </c>
      <c r="D17" s="925" t="s">
        <v>1926</v>
      </c>
      <c r="E17" s="925" t="s">
        <v>1927</v>
      </c>
      <c r="F17" s="967">
        <f>'数据-取费表'!B35</f>
        <v>200</v>
      </c>
      <c r="G17" s="964"/>
      <c r="H17" s="956" t="s">
        <v>942</v>
      </c>
      <c r="I17" s="925" t="s">
        <v>1928</v>
      </c>
      <c r="J17" s="982">
        <f ca="1">ROUND(IF(AND(项目基本情况!B11="自然人",项目基本情况!B10="北京市"),J6*M17/(1+'数据-取费表'!C42),J18+J19+J20),2)</f>
        <v>6.28</v>
      </c>
      <c r="K17" s="958" t="s">
        <v>1929</v>
      </c>
      <c r="L17" s="983" t="s">
        <v>1930</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1931</v>
      </c>
      <c r="B18" s="925" t="s">
        <v>1853</v>
      </c>
      <c r="C18" s="961">
        <f ca="1">ROUND(C14*F18,0)</f>
        <v>119</v>
      </c>
      <c r="D18" s="925" t="s">
        <v>1919</v>
      </c>
      <c r="E18" s="925" t="s">
        <v>1920</v>
      </c>
      <c r="F18" s="966">
        <f>'数据-取费表'!B36</f>
        <v>0.02</v>
      </c>
      <c r="G18" s="964"/>
      <c r="H18" s="956" t="s">
        <v>965</v>
      </c>
      <c r="I18" s="925" t="s">
        <v>1932</v>
      </c>
      <c r="J18" s="961">
        <f ca="1">ROUND(J6*M18/(1+'数据-取费表'!C42),2)</f>
        <v>0</v>
      </c>
      <c r="K18" s="983" t="s">
        <v>1933</v>
      </c>
      <c r="L18" s="925" t="s">
        <v>1920</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1934</v>
      </c>
      <c r="C19" s="961">
        <f ca="1">SUM(C14:C18)</f>
        <v>6595</v>
      </c>
      <c r="D19" s="968" t="s">
        <v>1935</v>
      </c>
      <c r="E19" s="969"/>
      <c r="F19" s="967"/>
      <c r="G19" s="718"/>
      <c r="H19" s="956" t="s">
        <v>969</v>
      </c>
      <c r="I19" s="925" t="s">
        <v>1936</v>
      </c>
      <c r="J19" s="961">
        <f ca="1">IF(K19="按租金收入计税",ROUND(J6*M19/(1+'数据-取费表'!C42),2),ROUND(C29*M19*0.7,2))</f>
        <v>0</v>
      </c>
      <c r="K19" s="986" t="s">
        <v>1937</v>
      </c>
      <c r="L19" s="925" t="s">
        <v>1920</v>
      </c>
      <c r="M19" s="966">
        <f>IF(K19="按租金收入计税",'数据-取费表'!B51,'数据-取费表'!B50)</f>
        <v>0.12</v>
      </c>
    </row>
    <row r="20" spans="1:37" s="891" customFormat="1" ht="18" customHeight="1">
      <c r="A20" s="956" t="s">
        <v>946</v>
      </c>
      <c r="B20" s="925" t="s">
        <v>1938</v>
      </c>
      <c r="C20" s="961">
        <f ca="1">ROUND(C19*F20,0)</f>
        <v>132</v>
      </c>
      <c r="D20" s="970" t="s">
        <v>1939</v>
      </c>
      <c r="E20" s="925" t="s">
        <v>1920</v>
      </c>
      <c r="F20" s="966">
        <f>'数据-取费表'!B37</f>
        <v>0.02</v>
      </c>
      <c r="G20" s="964"/>
      <c r="H20" s="956" t="s">
        <v>972</v>
      </c>
      <c r="I20" s="924" t="s">
        <v>1940</v>
      </c>
      <c r="J20" s="988">
        <f ca="1">ROUND(M20*M21/10000,2)</f>
        <v>6.28</v>
      </c>
      <c r="K20" s="989" t="s">
        <v>1941</v>
      </c>
      <c r="L20" s="925" t="s">
        <v>1942</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1943</v>
      </c>
      <c r="C21" s="961" t="s">
        <v>124</v>
      </c>
      <c r="D21" s="970" t="s">
        <v>1944</v>
      </c>
      <c r="E21" s="925" t="s">
        <v>1945</v>
      </c>
      <c r="F21" s="966">
        <f>'数据-取费表'!B38</f>
        <v>0.02</v>
      </c>
      <c r="G21" s="964"/>
      <c r="H21" s="971"/>
      <c r="I21" s="1088"/>
      <c r="J21" s="992"/>
      <c r="K21" s="993"/>
      <c r="L21" s="925" t="s">
        <v>1946</v>
      </c>
      <c r="M21" s="926">
        <f ca="1">INDIRECT("'数据-取费表'!r"&amp;$G$1)</f>
        <v>2092.31</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1947</v>
      </c>
      <c r="C22" s="961"/>
      <c r="D22" s="968" t="str">
        <f>IF(F23&lt;=1,"单利计息。","复利计息。")&amp;"建造成本、管理费用、销售费用产生的利息。"</f>
        <v>复利计息。建造成本、管理费用、销售费用产生的利息。</v>
      </c>
      <c r="E22" s="969"/>
      <c r="F22" s="967"/>
      <c r="G22" s="718"/>
      <c r="H22" s="956" t="s">
        <v>946</v>
      </c>
      <c r="I22" s="925" t="s">
        <v>1948</v>
      </c>
      <c r="J22" s="961">
        <f ca="1">ROUND(J14*M22,2)</f>
        <v>15.82</v>
      </c>
      <c r="K22" s="983" t="s">
        <v>1949</v>
      </c>
      <c r="L22" s="925" t="s">
        <v>1920</v>
      </c>
      <c r="M22" s="995">
        <f ca="1">INDIRECT("'数据-取费表'!Ak"&amp;$G$1)</f>
        <v>2E-3</v>
      </c>
    </row>
    <row r="23" spans="1:37" s="891" customFormat="1" ht="18" customHeight="1">
      <c r="A23" s="956" t="s">
        <v>965</v>
      </c>
      <c r="B23" s="925" t="s">
        <v>1950</v>
      </c>
      <c r="C23" s="961">
        <f ca="1">IF('数据-取费表'!B22&lt;=1,ROUND(C19*F24*F23/2,0)+ROUND(C20*F24*F23/2,0),ROUND(C19*(POWER((1+F24),F23/2)-1),0)+ROUND(C20*(POWER((1+F24),F23/2)-1),0))</f>
        <v>253</v>
      </c>
      <c r="D23" s="972" t="str">
        <f>IF(F23&lt;=1,"(建造成本+管理费用)×利率×(建设周期÷2)","(建造成本+管理费用)×((1+利率)^(建设周期÷2)-1)")</f>
        <v>(建造成本+管理费用)×((1+利率)^(建设周期÷2)-1)</v>
      </c>
      <c r="E23" s="925" t="s">
        <v>1951</v>
      </c>
      <c r="F23" s="973">
        <f>'数据-取费表'!B20</f>
        <v>2.5</v>
      </c>
      <c r="G23" s="964"/>
      <c r="H23" s="956" t="s">
        <v>991</v>
      </c>
      <c r="I23" s="925" t="s">
        <v>1952</v>
      </c>
      <c r="J23" s="961">
        <f ca="1">ROUND(J13*M23,2)</f>
        <v>0</v>
      </c>
      <c r="K23" s="983" t="s">
        <v>1953</v>
      </c>
      <c r="L23" s="925" t="s">
        <v>1920</v>
      </c>
      <c r="M23" s="996">
        <f ca="1">INDIRECT("'数据-取费表'!Al"&amp;$G$1)</f>
        <v>1E-3</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1954</v>
      </c>
      <c r="C24" s="961">
        <f ca="1">ROUND(IF('数据-取费表'!B22&lt;=1,F21*F24*F23/2,F21*(POWER((1+F24),F23/2)-1)),4)</f>
        <v>8.0000000000000004E-4</v>
      </c>
      <c r="D24" s="972" t="str">
        <f>IF(F23&lt;=1,"销售费用×利率×(建设周期÷2)","销售费用×((1+利率)^(建设周期÷2)-1)")</f>
        <v>销售费用×((1+利率)^(建设周期÷2)-1)</v>
      </c>
      <c r="E24" s="925" t="s">
        <v>1955</v>
      </c>
      <c r="F24" s="974">
        <f ca="1">'数据-取费表'!B40</f>
        <v>0.03</v>
      </c>
      <c r="G24" s="964"/>
      <c r="H24" s="965" t="s">
        <v>994</v>
      </c>
      <c r="I24" s="949" t="s">
        <v>1938</v>
      </c>
      <c r="J24" s="975">
        <f ca="1">ROUND(J5*M24,2)</f>
        <v>0</v>
      </c>
      <c r="K24" s="976" t="s">
        <v>1956</v>
      </c>
      <c r="L24" s="949" t="s">
        <v>1920</v>
      </c>
      <c r="M24" s="950">
        <f ca="1">INDIRECT("'数据-取费表'!Am"&amp;$G$1)</f>
        <v>0.01</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1957</v>
      </c>
      <c r="C25" s="961"/>
      <c r="D25" s="968" t="s">
        <v>1958</v>
      </c>
      <c r="E25" s="969"/>
      <c r="F25" s="967"/>
      <c r="G25" s="718"/>
      <c r="H25" s="951" t="s">
        <v>1959</v>
      </c>
      <c r="I25" s="997" t="s">
        <v>1960</v>
      </c>
      <c r="J25" s="953">
        <f ca="1">J5-J16</f>
        <v>-22</v>
      </c>
      <c r="K25" s="998" t="s">
        <v>1961</v>
      </c>
      <c r="L25" s="999"/>
      <c r="M25" s="1000"/>
    </row>
    <row r="26" spans="1:37">
      <c r="A26" s="956" t="s">
        <v>965</v>
      </c>
      <c r="B26" s="925" t="s">
        <v>1962</v>
      </c>
      <c r="C26" s="961">
        <f ca="1">ROUND((C19+C20)*F26,0)</f>
        <v>336</v>
      </c>
      <c r="D26" s="970" t="s">
        <v>1963</v>
      </c>
      <c r="E26" s="937" t="s">
        <v>1964</v>
      </c>
      <c r="F26" s="933">
        <f ca="1">INDIRECT("'数据-取费表'!q"&amp;$G$1)</f>
        <v>0.05</v>
      </c>
      <c r="G26" s="718"/>
      <c r="H26" s="916" t="s">
        <v>1965</v>
      </c>
      <c r="I26" s="917" t="s">
        <v>1966</v>
      </c>
      <c r="J26" s="1001">
        <f ca="1">IF(J5&lt;&gt;0,ROUND(J25*(1-((1+M28)/(1+M26))^M27)/(M26-M28),0),0)</f>
        <v>0</v>
      </c>
      <c r="K26" s="989" t="s">
        <v>1967</v>
      </c>
      <c r="L26" s="925" t="s">
        <v>1968</v>
      </c>
      <c r="M26" s="933">
        <f ca="1">INDIRECT("'数据-取费表'!I"&amp;$G$1)</f>
        <v>5.5E-2</v>
      </c>
    </row>
    <row r="27" spans="1:37" ht="18" customHeight="1">
      <c r="A27" s="956" t="s">
        <v>969</v>
      </c>
      <c r="B27" s="925" t="s">
        <v>1969</v>
      </c>
      <c r="C27" s="961">
        <f ca="1">ROUND(F21*F26,4)</f>
        <v>1E-3</v>
      </c>
      <c r="D27" s="970" t="s">
        <v>1970</v>
      </c>
      <c r="E27" s="962"/>
      <c r="F27" s="963"/>
      <c r="G27" s="718"/>
      <c r="H27" s="931"/>
      <c r="I27" s="1003"/>
      <c r="J27" s="932"/>
      <c r="K27" s="1004" t="s">
        <v>1971</v>
      </c>
      <c r="L27" s="925" t="s">
        <v>1972</v>
      </c>
      <c r="M27" s="1005">
        <f ca="1">INDIRECT("'数据-取费表'!ag"&amp;$G$1)</f>
        <v>0</v>
      </c>
    </row>
    <row r="28" spans="1:37" s="891" customFormat="1" ht="18" customHeight="1">
      <c r="A28" s="956" t="s">
        <v>999</v>
      </c>
      <c r="B28" s="925" t="s">
        <v>1973</v>
      </c>
      <c r="C28" s="961">
        <f>ROUND(F28/(1+'数据-取费表'!C42),4)</f>
        <v>5.33E-2</v>
      </c>
      <c r="D28" s="970" t="s">
        <v>1974</v>
      </c>
      <c r="E28" s="925" t="s">
        <v>1920</v>
      </c>
      <c r="F28" s="966">
        <f>'数据-取费表'!B41</f>
        <v>5.6000000000000001E-2</v>
      </c>
      <c r="G28" s="964"/>
      <c r="H28" s="939"/>
      <c r="I28" s="1007"/>
      <c r="J28" s="953"/>
      <c r="K28" s="993"/>
      <c r="L28" s="925" t="s">
        <v>1975</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1878</v>
      </c>
      <c r="B29" s="949" t="s">
        <v>1976</v>
      </c>
      <c r="C29" s="975">
        <f ca="1">ROUND((C19+C20+C23+C26)/(1-F21-C24-C27-C28),0)</f>
        <v>7910</v>
      </c>
      <c r="D29" s="976"/>
      <c r="E29" s="949"/>
      <c r="F29" s="977"/>
      <c r="G29" s="964"/>
      <c r="H29" s="978" t="s">
        <v>1977</v>
      </c>
      <c r="I29" s="1008" t="s">
        <v>1978</v>
      </c>
      <c r="J29" s="1009">
        <f ca="1">ROUND(J26/(1+F40)^F41,0)</f>
        <v>0</v>
      </c>
      <c r="K29" s="1010" t="s">
        <v>1979</v>
      </c>
      <c r="L29" s="1011"/>
      <c r="M29" s="1012">
        <f ca="1">INDIRECT("'数据-取费表'!k"&amp;$G$1)</f>
        <v>10776.5</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1921</v>
      </c>
      <c r="B30" s="952" t="s">
        <v>1922</v>
      </c>
      <c r="C30" s="953">
        <f ca="1">ROUND(C31+C36+C37+C38,0)</f>
        <v>128</v>
      </c>
      <c r="D30" s="979" t="s">
        <v>1923</v>
      </c>
      <c r="E30" s="980"/>
      <c r="F30" s="921"/>
      <c r="G30" s="718"/>
      <c r="H30" s="981"/>
      <c r="I30" s="1089"/>
      <c r="J30" s="1090"/>
      <c r="K30" s="1006"/>
      <c r="L30" s="1091"/>
      <c r="M30" s="1092"/>
    </row>
    <row r="31" spans="1:37" ht="18" customHeight="1">
      <c r="A31" s="956" t="s">
        <v>942</v>
      </c>
      <c r="B31" s="925" t="s">
        <v>1928</v>
      </c>
      <c r="C31" s="982">
        <f ca="1">ROUND(IF(AND(项目基本情况!B11="自然人",项目基本情况!B10="北京市"),C6*F31/(1+'数据-取费表'!C42),C32+C33+C34),2)</f>
        <v>100.98</v>
      </c>
      <c r="D31" s="958" t="s">
        <v>1929</v>
      </c>
      <c r="E31" s="983" t="s">
        <v>1930</v>
      </c>
      <c r="F31" s="984" t="str">
        <f>IF(项目基本情况!B11="企业","——",IF(M47="住宅",IF(F6*F7*F8/12/(1+'数据-取费表'!F30)&gt;100000,4%,2.5%),IF(F6*F7*F8/12/(1+'数据-取费表'!F30)&gt;100000,12%,7%)))</f>
        <v>——</v>
      </c>
      <c r="G31" s="718"/>
      <c r="H31" s="985" t="s">
        <v>1980</v>
      </c>
      <c r="I31" s="1089"/>
      <c r="J31" s="1090"/>
      <c r="K31" s="1006"/>
      <c r="L31" s="1091"/>
      <c r="M31" s="1092"/>
    </row>
    <row r="32" spans="1:37" ht="18" customHeight="1">
      <c r="A32" s="956" t="s">
        <v>965</v>
      </c>
      <c r="B32" s="925" t="s">
        <v>1932</v>
      </c>
      <c r="C32" s="961">
        <f ca="1">IF(项目基本情况!B11="自然人","——",ROUND(C6*F32/(1+'数据-取费表'!C42),2))</f>
        <v>30.13</v>
      </c>
      <c r="D32" s="983" t="s">
        <v>1933</v>
      </c>
      <c r="E32" s="925" t="s">
        <v>1920</v>
      </c>
      <c r="F32" s="974">
        <f>'数据-取费表'!B41</f>
        <v>5.6000000000000001E-2</v>
      </c>
      <c r="G32" s="718"/>
      <c r="H32" s="981"/>
      <c r="I32" s="1089"/>
      <c r="J32" s="1090"/>
      <c r="K32" s="1006"/>
      <c r="L32" s="1091"/>
      <c r="M32" s="1092"/>
    </row>
    <row r="33" spans="1:18" ht="18" customHeight="1">
      <c r="A33" s="956" t="s">
        <v>969</v>
      </c>
      <c r="B33" s="925" t="s">
        <v>1936</v>
      </c>
      <c r="C33" s="961">
        <f ca="1">IF(项目基本情况!B11="自然人","——",IF(D33="按租金收入计税",ROUND(C6*F33/(1+'数据-取费表'!C42),2),IF(D33="按房产原值计税",ROUND(C29*F33*0.7,2),INDIRECT("'数据-取费表'!Aj"&amp;$G$1))))</f>
        <v>64.569999999999993</v>
      </c>
      <c r="D33" s="986" t="s">
        <v>1937</v>
      </c>
      <c r="E33" s="925" t="s">
        <v>1920</v>
      </c>
      <c r="F33" s="966">
        <f>IF(D33="按票据","——",IF(D33="按租金收入计税",'数据-取费表'!B51,'数据-取费表'!B50))</f>
        <v>0.12</v>
      </c>
      <c r="G33" s="718"/>
      <c r="H33" s="987"/>
      <c r="I33" s="1089"/>
      <c r="J33" s="1090"/>
      <c r="K33" s="1093"/>
      <c r="L33" s="987"/>
      <c r="M33" s="987"/>
    </row>
    <row r="34" spans="1:18" ht="18" customHeight="1">
      <c r="A34" s="922" t="s">
        <v>972</v>
      </c>
      <c r="B34" s="924" t="s">
        <v>1940</v>
      </c>
      <c r="C34" s="988">
        <f ca="1">IF(项目基本情况!B11="自然人","——",ROUND(F34*F35/10000,2))</f>
        <v>6.28</v>
      </c>
      <c r="D34" s="989" t="s">
        <v>1941</v>
      </c>
      <c r="E34" s="925" t="s">
        <v>1942</v>
      </c>
      <c r="F34" s="973">
        <f>'数据-取费表'!B52</f>
        <v>30</v>
      </c>
      <c r="G34" s="718"/>
      <c r="H34" s="981"/>
      <c r="I34" s="1089"/>
      <c r="J34" s="1090"/>
      <c r="K34" s="1094"/>
      <c r="L34" s="1095"/>
      <c r="M34" s="1095"/>
    </row>
    <row r="35" spans="1:18" ht="18" customHeight="1">
      <c r="A35" s="990"/>
      <c r="B35" s="991"/>
      <c r="C35" s="992"/>
      <c r="D35" s="993"/>
      <c r="E35" s="925" t="s">
        <v>1946</v>
      </c>
      <c r="F35" s="926">
        <f ca="1">INDIRECT("'数据-取费表'!r"&amp;$G$1)</f>
        <v>2092.31</v>
      </c>
      <c r="G35" s="718"/>
      <c r="H35" s="981"/>
      <c r="I35" s="1089"/>
      <c r="J35" s="1090"/>
      <c r="K35" s="1093"/>
      <c r="L35" s="987"/>
      <c r="M35" s="987"/>
    </row>
    <row r="36" spans="1:18" ht="18" customHeight="1">
      <c r="A36" s="994" t="s">
        <v>946</v>
      </c>
      <c r="B36" s="925" t="s">
        <v>1948</v>
      </c>
      <c r="C36" s="961">
        <f ca="1">ROUND(C29*F36,2)</f>
        <v>15.82</v>
      </c>
      <c r="D36" s="983" t="s">
        <v>1981</v>
      </c>
      <c r="E36" s="925" t="s">
        <v>1920</v>
      </c>
      <c r="F36" s="995">
        <f ca="1">INDIRECT("'数据-取费表'!Ak"&amp;$G$1)</f>
        <v>2E-3</v>
      </c>
      <c r="G36" s="718"/>
      <c r="H36" s="987"/>
      <c r="I36" s="1089"/>
      <c r="J36" s="1090"/>
      <c r="K36" s="1096"/>
      <c r="L36" s="987"/>
      <c r="M36" s="987"/>
    </row>
    <row r="37" spans="1:18" ht="18" customHeight="1">
      <c r="A37" s="956" t="s">
        <v>991</v>
      </c>
      <c r="B37" s="925" t="s">
        <v>1952</v>
      </c>
      <c r="C37" s="961">
        <f ca="1">ROUND(C13*F37,2)</f>
        <v>5.77</v>
      </c>
      <c r="D37" s="983" t="s">
        <v>1953</v>
      </c>
      <c r="E37" s="925" t="s">
        <v>1920</v>
      </c>
      <c r="F37" s="996">
        <f ca="1">INDIRECT("'数据-取费表'!Al"&amp;$G$1)</f>
        <v>1E-3</v>
      </c>
      <c r="G37" s="718"/>
      <c r="H37" s="987"/>
      <c r="I37" s="1089"/>
      <c r="J37" s="1090"/>
      <c r="K37" s="1096"/>
      <c r="L37" s="987"/>
      <c r="M37" s="987"/>
    </row>
    <row r="38" spans="1:18" ht="18" customHeight="1">
      <c r="A38" s="965" t="s">
        <v>994</v>
      </c>
      <c r="B38" s="949" t="s">
        <v>1938</v>
      </c>
      <c r="C38" s="975">
        <f ca="1">ROUND(C5*F38,2)</f>
        <v>5.65</v>
      </c>
      <c r="D38" s="976" t="s">
        <v>1956</v>
      </c>
      <c r="E38" s="949" t="s">
        <v>1920</v>
      </c>
      <c r="F38" s="950">
        <f ca="1">INDIRECT("'数据-取费表'!Am"&amp;$G$1)</f>
        <v>0.01</v>
      </c>
      <c r="G38" s="718"/>
      <c r="H38" s="987"/>
      <c r="I38" s="1089"/>
      <c r="J38" s="1090"/>
      <c r="K38" s="1091"/>
      <c r="L38" s="987"/>
      <c r="M38" s="987"/>
    </row>
    <row r="39" spans="1:18" ht="24.6" customHeight="1">
      <c r="A39" s="951" t="s">
        <v>1959</v>
      </c>
      <c r="B39" s="997" t="s">
        <v>1960</v>
      </c>
      <c r="C39" s="953">
        <f ca="1">C5-C30</f>
        <v>437</v>
      </c>
      <c r="D39" s="998" t="s">
        <v>1961</v>
      </c>
      <c r="E39" s="999"/>
      <c r="F39" s="1000"/>
      <c r="G39" s="718"/>
      <c r="H39" s="987"/>
      <c r="I39" s="1089"/>
      <c r="J39" s="1090"/>
      <c r="K39" s="1091"/>
      <c r="L39" s="987"/>
      <c r="M39" s="987"/>
    </row>
    <row r="40" spans="1:18" ht="18" customHeight="1">
      <c r="A40" s="916" t="s">
        <v>1965</v>
      </c>
      <c r="B40" s="917" t="s">
        <v>1982</v>
      </c>
      <c r="C40" s="1001">
        <f ca="1">ROUND(C39*(1-((1+F42)/(1+F40))^F41)/(F40-F42),0)</f>
        <v>6355</v>
      </c>
      <c r="D40" s="989" t="s">
        <v>1967</v>
      </c>
      <c r="E40" s="925" t="s">
        <v>1968</v>
      </c>
      <c r="F40" s="933">
        <f ca="1">INDIRECT("'数据-取费表'!I"&amp;$G$1)</f>
        <v>5.5E-2</v>
      </c>
      <c r="G40" s="718"/>
      <c r="H40" s="1002"/>
      <c r="I40" s="1089"/>
      <c r="J40" s="1090"/>
      <c r="K40" s="1091"/>
      <c r="L40" s="1002"/>
      <c r="M40" s="1002"/>
    </row>
    <row r="41" spans="1:18" ht="18" customHeight="1">
      <c r="A41" s="931"/>
      <c r="B41" s="1003"/>
      <c r="C41" s="932"/>
      <c r="D41" s="1004" t="s">
        <v>1971</v>
      </c>
      <c r="E41" s="925" t="s">
        <v>1972</v>
      </c>
      <c r="F41" s="1005">
        <f ca="1">IF(INDIRECT("'数据-取费表'!af"&amp;$G$1)=0,INDIRECT("'数据-取费表'!ae"&amp;$G$1),INDIRECT("'数据-取费表'!af"&amp;$G$1))</f>
        <v>21.08</v>
      </c>
      <c r="G41" s="718"/>
      <c r="H41" s="1006"/>
      <c r="I41" s="1089"/>
      <c r="J41" s="1090"/>
      <c r="K41" s="1096"/>
      <c r="L41" s="1006"/>
      <c r="M41" s="1006"/>
    </row>
    <row r="42" spans="1:18" ht="18" customHeight="1">
      <c r="A42" s="939"/>
      <c r="B42" s="1007"/>
      <c r="C42" s="953"/>
      <c r="D42" s="993"/>
      <c r="E42" s="925" t="s">
        <v>1975</v>
      </c>
      <c r="F42" s="933">
        <f ca="1">INDIRECT("'数据-取费表'!v"&amp;$G$1)</f>
        <v>0.02</v>
      </c>
      <c r="G42" s="718"/>
      <c r="H42" s="1006"/>
      <c r="I42" s="1089"/>
      <c r="J42" s="1090"/>
      <c r="K42" s="1096"/>
      <c r="L42" s="1006"/>
      <c r="M42" s="1006"/>
    </row>
    <row r="43" spans="1:18" ht="18" customHeight="1">
      <c r="A43" s="978" t="s">
        <v>1977</v>
      </c>
      <c r="B43" s="1008" t="s">
        <v>1983</v>
      </c>
      <c r="C43" s="1009">
        <f ca="1">ROUND(C40*10000/F43,0)</f>
        <v>5897</v>
      </c>
      <c r="D43" s="1010" t="s">
        <v>1984</v>
      </c>
      <c r="E43" s="1011" t="s">
        <v>1985</v>
      </c>
      <c r="F43" s="1012">
        <f ca="1">INDIRECT("'数据-取费表'!k"&amp;$G$1)</f>
        <v>10776.5</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1988</v>
      </c>
      <c r="P45" s="1002"/>
      <c r="Q45" s="1002"/>
      <c r="R45" s="1002"/>
    </row>
    <row r="46" spans="1:18" s="718" customFormat="1">
      <c r="A46" s="1015" t="s">
        <v>1989</v>
      </c>
      <c r="C46" s="1016">
        <f ca="1">C68-C40</f>
        <v>-6699</v>
      </c>
      <c r="D46" s="1017" t="str">
        <f>C2</f>
        <v>万元</v>
      </c>
      <c r="E46" s="1013"/>
      <c r="F46" s="1013"/>
      <c r="I46" s="1100" t="s">
        <v>1990</v>
      </c>
      <c r="J46" s="1101"/>
      <c r="K46" s="1102"/>
      <c r="L46" s="1103">
        <f ca="1">IF(M47="住宅",0,IF(L48&gt;J51,L60,J60))</f>
        <v>625</v>
      </c>
      <c r="O46" s="1104" t="s">
        <v>1991</v>
      </c>
      <c r="P46" s="1105" t="s">
        <v>1992</v>
      </c>
      <c r="Q46" s="1149" t="s">
        <v>1993</v>
      </c>
      <c r="R46" s="1149" t="s">
        <v>1994</v>
      </c>
    </row>
    <row r="47" spans="1:18" s="718" customFormat="1">
      <c r="A47" s="1018" t="s">
        <v>1891</v>
      </c>
      <c r="B47" s="1019" t="s">
        <v>1892</v>
      </c>
      <c r="C47" s="1020" t="s">
        <v>1893</v>
      </c>
      <c r="D47" s="1019" t="s">
        <v>1894</v>
      </c>
      <c r="E47" s="1021" t="s">
        <v>1895</v>
      </c>
      <c r="F47" s="1022"/>
      <c r="G47" s="1023"/>
      <c r="I47" s="1106" t="s">
        <v>1995</v>
      </c>
      <c r="J47" s="1107" t="s">
        <v>1697</v>
      </c>
      <c r="K47" s="1108" t="s">
        <v>1996</v>
      </c>
      <c r="L47" s="1109">
        <f ca="1">INDIRECT("'数据-取费表'!d"&amp;$G$1)</f>
        <v>50</v>
      </c>
      <c r="M47" s="1110" t="str">
        <f>IF(ISNUMBER(FIND("住宅",C1)),"住宅","非住宅")</f>
        <v>非住宅</v>
      </c>
      <c r="O47" s="1111" t="s">
        <v>1753</v>
      </c>
      <c r="P47" s="1112" t="s">
        <v>1997</v>
      </c>
      <c r="Q47" s="1150">
        <f ca="1">C40+J29</f>
        <v>6355</v>
      </c>
      <c r="R47" s="1150" t="s">
        <v>1998</v>
      </c>
    </row>
    <row r="48" spans="1:18" s="718" customFormat="1" ht="27.75">
      <c r="A48" s="1024" t="s">
        <v>1999</v>
      </c>
      <c r="B48" s="917" t="s">
        <v>1896</v>
      </c>
      <c r="C48" s="1025">
        <f ca="1">C49+C53+C55</f>
        <v>0</v>
      </c>
      <c r="D48" s="1026"/>
      <c r="E48" s="1027"/>
      <c r="F48" s="1028"/>
      <c r="G48" s="1023"/>
      <c r="H48" s="1029"/>
      <c r="I48" s="1113" t="s">
        <v>2000</v>
      </c>
      <c r="J48" s="1114" t="s">
        <v>2338</v>
      </c>
      <c r="K48" s="1115" t="s">
        <v>2001</v>
      </c>
      <c r="L48" s="1116">
        <f ca="1">INDIRECT("'数据-取费表'!f"&amp;$G$1)</f>
        <v>21.08</v>
      </c>
      <c r="O48" s="1111" t="s">
        <v>1755</v>
      </c>
      <c r="P48" s="1112" t="s">
        <v>2002</v>
      </c>
      <c r="Q48" s="1150">
        <f ca="1">J60</f>
        <v>625</v>
      </c>
      <c r="R48" s="1150" t="s">
        <v>2003</v>
      </c>
    </row>
    <row r="49" spans="1:18" s="718" customFormat="1">
      <c r="A49" s="1030" t="s">
        <v>2004</v>
      </c>
      <c r="B49" s="1031" t="s">
        <v>2005</v>
      </c>
      <c r="C49" s="1032">
        <f ca="1">ROUND(F49*F51*F50*(1-F52)/10000,0)</f>
        <v>0</v>
      </c>
      <c r="D49" s="1033" t="s">
        <v>2335</v>
      </c>
      <c r="E49" s="1034" t="s">
        <v>2007</v>
      </c>
      <c r="F49" s="1035"/>
      <c r="H49" s="1029"/>
      <c r="I49" s="1113" t="s">
        <v>2008</v>
      </c>
      <c r="J49" s="1117">
        <v>2000</v>
      </c>
      <c r="K49" s="1115" t="s">
        <v>2009</v>
      </c>
      <c r="L49" s="1118"/>
      <c r="O49" s="1119" t="s">
        <v>2010</v>
      </c>
      <c r="P49" s="1112" t="s">
        <v>2011</v>
      </c>
      <c r="Q49" s="1150">
        <f ca="1">C29</f>
        <v>7910</v>
      </c>
      <c r="R49" s="1150" t="s">
        <v>1998</v>
      </c>
    </row>
    <row r="50" spans="1:18" s="718" customFormat="1">
      <c r="A50" s="1036"/>
      <c r="B50" s="1037"/>
      <c r="C50" s="1038"/>
      <c r="D50" s="1039"/>
      <c r="E50" s="1040" t="s">
        <v>1902</v>
      </c>
      <c r="F50" s="1041">
        <f ca="1">F7</f>
        <v>327</v>
      </c>
      <c r="H50" s="1029"/>
      <c r="I50" s="1113" t="s">
        <v>2012</v>
      </c>
      <c r="J50" s="1120">
        <f>SUMPRODUCT((I63:I65=J47)*(J62:L62=J48)*(J63:L65))</f>
        <v>60</v>
      </c>
      <c r="K50" s="1115" t="s">
        <v>2013</v>
      </c>
      <c r="L50" s="1118"/>
      <c r="M50" s="1121"/>
      <c r="O50" s="1119" t="s">
        <v>2014</v>
      </c>
      <c r="P50" s="1112" t="s">
        <v>2015</v>
      </c>
      <c r="Q50" s="1151">
        <f ca="1">J58</f>
        <v>0.4</v>
      </c>
      <c r="R50" s="1150"/>
    </row>
    <row r="51" spans="1:18" s="718" customFormat="1">
      <c r="A51" s="1042"/>
      <c r="B51" s="1037"/>
      <c r="C51" s="1043"/>
      <c r="D51" s="1039"/>
      <c r="E51" s="1044" t="s">
        <v>1903</v>
      </c>
      <c r="F51" s="926">
        <f ca="1">F8</f>
        <v>12</v>
      </c>
      <c r="I51" s="1122" t="s">
        <v>2016</v>
      </c>
      <c r="J51" s="1116">
        <f>IF(J49="",J50,J49+J50-YEAR('数据-取费表'!B2))</f>
        <v>35</v>
      </c>
      <c r="K51" s="1123" t="s">
        <v>2017</v>
      </c>
      <c r="L51" s="1124">
        <f ca="1">ROUND(-PV(INDIRECT("'数据-取费表'!h"&amp;$G$1),J51,(C39-C13*C76),0),0)</f>
        <v>537</v>
      </c>
      <c r="M51" s="1125"/>
      <c r="O51" s="1119" t="s">
        <v>2018</v>
      </c>
      <c r="P51" s="1112" t="s">
        <v>2019</v>
      </c>
      <c r="Q51" s="1151">
        <f>J52</f>
        <v>0.08</v>
      </c>
      <c r="R51" s="1150"/>
    </row>
    <row r="52" spans="1:18" s="718" customFormat="1">
      <c r="A52" s="1042"/>
      <c r="B52" s="1037"/>
      <c r="C52" s="1043"/>
      <c r="D52" s="1039"/>
      <c r="E52" s="1044" t="s">
        <v>1904</v>
      </c>
      <c r="F52" s="1045"/>
      <c r="I52" s="1126" t="s">
        <v>2020</v>
      </c>
      <c r="J52" s="1127">
        <v>0.08</v>
      </c>
      <c r="K52" s="1126" t="s">
        <v>2021</v>
      </c>
      <c r="L52" s="1127"/>
      <c r="O52" s="1119" t="s">
        <v>2022</v>
      </c>
      <c r="P52" s="1112" t="s">
        <v>2023</v>
      </c>
      <c r="Q52" s="1150">
        <f ca="1">J53</f>
        <v>21.08</v>
      </c>
      <c r="R52" s="1150" t="s">
        <v>2024</v>
      </c>
    </row>
    <row r="53" spans="1:18" s="718" customFormat="1" ht="24">
      <c r="A53" s="1046" t="s">
        <v>2025</v>
      </c>
      <c r="B53" s="1047" t="s">
        <v>1905</v>
      </c>
      <c r="C53" s="935">
        <f ca="1">ROUND(IF(F53="押一",C49/12*F11,IF(F53="押二",C49/12*2*F11,IF(F53="押三",C49/12*3*F11,C54*F11))),0)</f>
        <v>0</v>
      </c>
      <c r="D53" s="936" t="s">
        <v>1906</v>
      </c>
      <c r="E53" s="937" t="s">
        <v>1907</v>
      </c>
      <c r="F53" s="938"/>
      <c r="I53" s="1128" t="s">
        <v>2027</v>
      </c>
      <c r="J53" s="1129">
        <f ca="1">IF(M47="住宅",IF(D1="——",MAX(J51,L48),MAX(J51,L48-'数据-取费表'!B24)),IF(D1="——",MIN(J51,L48),MIN(J51,L48-'数据-取费表'!B24)))</f>
        <v>21.08</v>
      </c>
      <c r="K53" s="3481" t="s">
        <v>2028</v>
      </c>
      <c r="L53" s="3482"/>
      <c r="O53" s="1111" t="s">
        <v>1846</v>
      </c>
      <c r="P53" s="1112" t="s">
        <v>2029</v>
      </c>
      <c r="Q53" s="1150">
        <f ca="1">Q47+Q48</f>
        <v>6980</v>
      </c>
      <c r="R53" s="1150" t="s">
        <v>2030</v>
      </c>
    </row>
    <row r="54" spans="1:18" s="718" customFormat="1">
      <c r="A54" s="1048"/>
      <c r="B54" s="940" t="s">
        <v>2337</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2031</v>
      </c>
      <c r="P54" s="904"/>
      <c r="Q54" s="904"/>
      <c r="R54" s="904"/>
    </row>
    <row r="55" spans="1:18" s="718" customFormat="1">
      <c r="A55" s="945" t="s">
        <v>991</v>
      </c>
      <c r="B55" s="946" t="s">
        <v>1912</v>
      </c>
      <c r="C55" s="947"/>
      <c r="D55" s="936"/>
      <c r="E55" s="1049"/>
      <c r="F55" s="1050"/>
      <c r="I55" s="1133" t="s">
        <v>2032</v>
      </c>
      <c r="J55" s="1134">
        <f ca="1">ROUND(IF(J47="钢混",J57/J50,1-(1-2%)*(J50-J57)/J50),3)</f>
        <v>0.23200000000000001</v>
      </c>
      <c r="K55" s="1135" t="s">
        <v>2033</v>
      </c>
      <c r="L55" s="1136"/>
      <c r="O55" s="1104" t="s">
        <v>1991</v>
      </c>
      <c r="P55" s="1105" t="s">
        <v>1992</v>
      </c>
      <c r="Q55" s="1149" t="s">
        <v>1993</v>
      </c>
      <c r="R55" s="1149" t="s">
        <v>1994</v>
      </c>
    </row>
    <row r="56" spans="1:18" s="718" customFormat="1" ht="24">
      <c r="A56" s="1051">
        <v>2</v>
      </c>
      <c r="B56" s="1052" t="s">
        <v>1913</v>
      </c>
      <c r="C56" s="376">
        <f ca="1">C13</f>
        <v>5774</v>
      </c>
      <c r="D56" s="1053"/>
      <c r="E56" s="1054"/>
      <c r="F56" s="1050"/>
      <c r="I56" s="1137" t="s">
        <v>2034</v>
      </c>
      <c r="J56" s="1138" t="s">
        <v>518</v>
      </c>
      <c r="K56" s="1113" t="s">
        <v>2035</v>
      </c>
      <c r="L56" s="1116" t="str">
        <f ca="1">IF(L48&lt;J51,"——",L48-J53)</f>
        <v>——</v>
      </c>
      <c r="O56" s="1111" t="s">
        <v>1753</v>
      </c>
      <c r="P56" s="1112" t="s">
        <v>1997</v>
      </c>
      <c r="Q56" s="1150">
        <f ca="1">C40+J29</f>
        <v>6355</v>
      </c>
      <c r="R56" s="1150" t="s">
        <v>1998</v>
      </c>
    </row>
    <row r="57" spans="1:18" s="718" customFormat="1" ht="24">
      <c r="A57" s="1055"/>
      <c r="B57" s="1056" t="s">
        <v>1976</v>
      </c>
      <c r="C57" s="386">
        <f ca="1">C29</f>
        <v>7910</v>
      </c>
      <c r="D57" s="1057"/>
      <c r="E57" s="1058"/>
      <c r="F57" s="1059"/>
      <c r="I57" s="1139" t="s">
        <v>2036</v>
      </c>
      <c r="J57" s="1140">
        <f ca="1">IF(OR(M47="住宅",J51&lt;L48,J56="是"),"——",J51-L48)</f>
        <v>13.920000000000002</v>
      </c>
      <c r="K57" s="1113" t="s">
        <v>2339</v>
      </c>
      <c r="L57" s="1116" t="str">
        <f ca="1">IF(L48&lt;J51,"——",IF(L55="比较法",L49,IF(L55="基准地价",L50,L51)))</f>
        <v>——</v>
      </c>
      <c r="O57" s="1111" t="s">
        <v>1755</v>
      </c>
      <c r="P57" s="1112" t="s">
        <v>2038</v>
      </c>
      <c r="Q57" s="1150">
        <f ca="1">L60</f>
        <v>0</v>
      </c>
      <c r="R57" s="1150" t="s">
        <v>2039</v>
      </c>
    </row>
    <row r="58" spans="1:18" s="718" customFormat="1" ht="24">
      <c r="A58" s="1060" t="s">
        <v>1921</v>
      </c>
      <c r="B58" s="1052" t="s">
        <v>1922</v>
      </c>
      <c r="C58" s="935">
        <f ca="1">ROUND(C59+C64+C65+C66,0)</f>
        <v>28</v>
      </c>
      <c r="D58" s="1061" t="s">
        <v>1923</v>
      </c>
      <c r="E58" s="1062"/>
      <c r="F58" s="1028"/>
      <c r="I58" s="1139" t="s">
        <v>2040</v>
      </c>
      <c r="J58" s="1141">
        <f ca="1">IF(J55&lt;0.4,0.4,J55)</f>
        <v>0.4</v>
      </c>
      <c r="K58" s="1123" t="s">
        <v>2340</v>
      </c>
      <c r="L58" s="1116" t="e">
        <f ca="1">ROUND(POWER(1+L52,L47-L48)*(POWER(1+L52,L48)-1)/(POWER(1+L52,L47)-1),4)</f>
        <v>#DIV/0!</v>
      </c>
      <c r="O58" s="1119" t="s">
        <v>2010</v>
      </c>
      <c r="P58" s="1112" t="s">
        <v>2042</v>
      </c>
      <c r="Q58" s="1150">
        <f>IF(L55="比较法",L49,IF(L55="基准地价",L50,0))</f>
        <v>0</v>
      </c>
      <c r="R58" s="1150" t="s">
        <v>1998</v>
      </c>
    </row>
    <row r="59" spans="1:18" s="718" customFormat="1" ht="24">
      <c r="A59" s="956" t="s">
        <v>942</v>
      </c>
      <c r="B59" s="1056" t="s">
        <v>1928</v>
      </c>
      <c r="C59" s="982">
        <f ca="1">ROUND(IF(AND(项目基本情况!B11="自然人",项目基本情况!B10="北京市"),C49*F59/(1+'数据-取费表'!C42),C60+C61+C62),0)</f>
        <v>6</v>
      </c>
      <c r="D59" s="1063" t="s">
        <v>1929</v>
      </c>
      <c r="E59" s="1064" t="s">
        <v>1930</v>
      </c>
      <c r="F59" s="984" t="str">
        <f>IF(项目基本情况!B11="企业","——",IF('数据-取费表'!B10="住宅",IF(F49*F50*F51/12/(1+'数据-取费表'!F30)&gt;100000,4%,2.5%),IF(F49*F50*F51/12/(1+'数据-取费表'!F30)&gt;100000,12%,7%)))</f>
        <v>——</v>
      </c>
      <c r="I59" s="1139" t="s">
        <v>2043</v>
      </c>
      <c r="J59" s="1140">
        <f ca="1">IF(OR(M47="住宅",J51&lt;L48,J56="是"),"——",ROUND(C29*J58,0))</f>
        <v>3164</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2014</v>
      </c>
      <c r="P59" s="1112" t="s">
        <v>2044</v>
      </c>
      <c r="Q59" s="1151">
        <f>L52</f>
        <v>0</v>
      </c>
      <c r="R59" s="1150"/>
    </row>
    <row r="60" spans="1:18" s="718" customFormat="1" ht="15.75">
      <c r="A60" s="956" t="s">
        <v>965</v>
      </c>
      <c r="B60" s="1056" t="s">
        <v>1932</v>
      </c>
      <c r="C60" s="961">
        <f ca="1">IF(项目基本情况!B11="自然人","——",ROUND(C48*F60/(1+'数据-取费表'!C42),2))</f>
        <v>0</v>
      </c>
      <c r="D60" s="1064" t="s">
        <v>1933</v>
      </c>
      <c r="E60" s="1056" t="s">
        <v>1920</v>
      </c>
      <c r="F60" s="974">
        <f t="shared" ref="F60:F66" si="0">F32</f>
        <v>5.6000000000000001E-2</v>
      </c>
      <c r="I60" s="1142" t="s">
        <v>2045</v>
      </c>
      <c r="J60" s="1143">
        <f ca="1">IF(OR(M47="住宅",J51&lt;L48,J56="是"),"0",ROUND(J59/(1+J52)^J53,0))</f>
        <v>625</v>
      </c>
      <c r="K60" s="1144" t="s">
        <v>2046</v>
      </c>
      <c r="L60" s="1143">
        <f ca="1">IF(OR(M47="住宅",L48&lt;J51),0,ROUND(L57*(L58/L59-1),0))</f>
        <v>0</v>
      </c>
      <c r="O60" s="1119" t="s">
        <v>2018</v>
      </c>
      <c r="P60" s="1112" t="s">
        <v>2047</v>
      </c>
      <c r="Q60" s="1150" t="e">
        <f ca="1">L58</f>
        <v>#DIV/0!</v>
      </c>
      <c r="R60" s="1150" t="s">
        <v>2048</v>
      </c>
    </row>
    <row r="61" spans="1:18" s="718" customFormat="1">
      <c r="A61" s="956" t="s">
        <v>969</v>
      </c>
      <c r="B61" s="1056" t="s">
        <v>1936</v>
      </c>
      <c r="C61" s="961">
        <f ca="1">IF(项目基本情况!B11="自然人","——",IF(D61="按租金收入计税",ROUND(C49*F61/(1+'数据-取费表'!C42),2),IF(D61="按房产原值计税",ROUND(C57*F61*0.7,2),INDIRECT("'数据-取费表'!Aj"&amp;$G$1))))</f>
        <v>0</v>
      </c>
      <c r="D61" s="986" t="s">
        <v>1937</v>
      </c>
      <c r="E61" s="1056" t="s">
        <v>1920</v>
      </c>
      <c r="F61" s="966">
        <f t="shared" si="0"/>
        <v>0.12</v>
      </c>
      <c r="I61" s="1002"/>
      <c r="J61" s="1002"/>
      <c r="K61" s="1002"/>
      <c r="L61" s="1002"/>
      <c r="O61" s="1119" t="s">
        <v>2022</v>
      </c>
      <c r="P61" s="1112" t="str">
        <f>K59</f>
        <v>建筑物剩余耐用年限下的土地年期修正系数Kn</v>
      </c>
      <c r="Q61" s="1150" t="e">
        <f ca="1">L59</f>
        <v>#DIV/0!</v>
      </c>
      <c r="R61" s="1150" t="s">
        <v>2049</v>
      </c>
    </row>
    <row r="62" spans="1:18" s="718" customFormat="1">
      <c r="A62" s="956" t="s">
        <v>972</v>
      </c>
      <c r="B62" s="1065" t="s">
        <v>1940</v>
      </c>
      <c r="C62" s="988">
        <f ca="1">IF(项目基本情况!B11="自然人","——",ROUND(F62*F63/10000,2))</f>
        <v>6.28</v>
      </c>
      <c r="D62" s="1066" t="s">
        <v>1941</v>
      </c>
      <c r="E62" s="1056" t="s">
        <v>1942</v>
      </c>
      <c r="F62" s="973">
        <f t="shared" si="0"/>
        <v>30</v>
      </c>
      <c r="I62" s="1145" t="s">
        <v>2050</v>
      </c>
      <c r="J62" s="1146" t="s">
        <v>2051</v>
      </c>
      <c r="K62" s="1146" t="s">
        <v>2052</v>
      </c>
      <c r="L62" s="1146" t="s">
        <v>2053</v>
      </c>
      <c r="M62" s="1147" t="s">
        <v>2054</v>
      </c>
      <c r="O62" s="1111" t="s">
        <v>1846</v>
      </c>
      <c r="P62" s="1112" t="s">
        <v>2029</v>
      </c>
      <c r="Q62" s="1150">
        <f ca="1">Q56+Q57</f>
        <v>6355</v>
      </c>
      <c r="R62" s="1150" t="s">
        <v>2030</v>
      </c>
    </row>
    <row r="63" spans="1:18" s="718" customFormat="1">
      <c r="A63" s="971"/>
      <c r="B63" s="1067"/>
      <c r="C63" s="992"/>
      <c r="D63" s="1068"/>
      <c r="E63" s="1056" t="s">
        <v>1946</v>
      </c>
      <c r="F63" s="926">
        <f t="shared" ca="1" si="0"/>
        <v>2092.31</v>
      </c>
      <c r="I63" s="1145" t="s">
        <v>2055</v>
      </c>
      <c r="J63" s="1146">
        <v>70</v>
      </c>
      <c r="K63" s="1146">
        <v>50</v>
      </c>
      <c r="L63" s="1146">
        <v>80</v>
      </c>
      <c r="M63" s="1148">
        <v>0.02</v>
      </c>
      <c r="O63" s="1132" t="s">
        <v>2056</v>
      </c>
      <c r="P63" s="904"/>
      <c r="Q63" s="904"/>
      <c r="R63" s="904"/>
    </row>
    <row r="64" spans="1:18" s="718" customFormat="1">
      <c r="A64" s="956" t="s">
        <v>946</v>
      </c>
      <c r="B64" s="1056" t="s">
        <v>1948</v>
      </c>
      <c r="C64" s="961">
        <f ca="1">ROUND(C57*F64,2)</f>
        <v>15.82</v>
      </c>
      <c r="D64" s="1064" t="s">
        <v>1981</v>
      </c>
      <c r="E64" s="1056" t="s">
        <v>1920</v>
      </c>
      <c r="F64" s="995">
        <f t="shared" ca="1" si="0"/>
        <v>2E-3</v>
      </c>
      <c r="I64" s="1145" t="s">
        <v>2057</v>
      </c>
      <c r="J64" s="1146">
        <v>50</v>
      </c>
      <c r="K64" s="1146">
        <v>35</v>
      </c>
      <c r="L64" s="1146">
        <v>60</v>
      </c>
      <c r="M64" s="1147">
        <v>0</v>
      </c>
      <c r="O64" s="1104" t="s">
        <v>1991</v>
      </c>
      <c r="P64" s="1105" t="s">
        <v>1992</v>
      </c>
      <c r="Q64" s="1149" t="s">
        <v>1993</v>
      </c>
      <c r="R64" s="1149" t="s">
        <v>1994</v>
      </c>
    </row>
    <row r="65" spans="1:18" s="718" customFormat="1">
      <c r="A65" s="956" t="s">
        <v>991</v>
      </c>
      <c r="B65" s="1056" t="s">
        <v>1952</v>
      </c>
      <c r="C65" s="961">
        <f ca="1">ROUND(C56*F65,2)</f>
        <v>5.77</v>
      </c>
      <c r="D65" s="1064" t="s">
        <v>1953</v>
      </c>
      <c r="E65" s="1056" t="s">
        <v>1920</v>
      </c>
      <c r="F65" s="996">
        <f t="shared" ca="1" si="0"/>
        <v>1E-3</v>
      </c>
      <c r="I65" s="1145" t="s">
        <v>2058</v>
      </c>
      <c r="J65" s="1146">
        <v>40</v>
      </c>
      <c r="K65" s="1146">
        <v>30</v>
      </c>
      <c r="L65" s="1146">
        <v>50</v>
      </c>
      <c r="M65" s="1148">
        <v>0.02</v>
      </c>
      <c r="O65" s="1111" t="s">
        <v>1753</v>
      </c>
      <c r="P65" s="1112" t="s">
        <v>1997</v>
      </c>
      <c r="Q65" s="1150">
        <f ca="1">C40+J29</f>
        <v>6355</v>
      </c>
      <c r="R65" s="1150" t="s">
        <v>1998</v>
      </c>
    </row>
    <row r="66" spans="1:18" s="718" customFormat="1" ht="15.75">
      <c r="A66" s="956" t="s">
        <v>994</v>
      </c>
      <c r="B66" s="1056" t="s">
        <v>1938</v>
      </c>
      <c r="C66" s="961">
        <f ca="1">ROUND(C48*F66,2)</f>
        <v>0</v>
      </c>
      <c r="D66" s="1064" t="s">
        <v>1956</v>
      </c>
      <c r="E66" s="1056" t="s">
        <v>1920</v>
      </c>
      <c r="F66" s="933">
        <f t="shared" ca="1" si="0"/>
        <v>0.01</v>
      </c>
      <c r="O66" s="1111" t="s">
        <v>1755</v>
      </c>
      <c r="P66" s="1112" t="s">
        <v>2038</v>
      </c>
      <c r="Q66" s="1150">
        <f ca="1">L60</f>
        <v>0</v>
      </c>
      <c r="R66" s="1150" t="s">
        <v>2039</v>
      </c>
    </row>
    <row r="67" spans="1:18" s="718" customFormat="1" ht="15.75">
      <c r="A67" s="1051" t="s">
        <v>1959</v>
      </c>
      <c r="B67" s="1152" t="s">
        <v>1960</v>
      </c>
      <c r="C67" s="935">
        <f ca="1">C48-C58</f>
        <v>-28</v>
      </c>
      <c r="D67" s="1063" t="s">
        <v>1961</v>
      </c>
      <c r="E67" s="1153"/>
      <c r="F67" s="1154"/>
      <c r="O67" s="1119" t="s">
        <v>2010</v>
      </c>
      <c r="P67" s="1112" t="s">
        <v>2042</v>
      </c>
      <c r="Q67" s="1174">
        <f ca="1">L51</f>
        <v>537</v>
      </c>
      <c r="R67" s="1150" t="s">
        <v>2059</v>
      </c>
    </row>
    <row r="68" spans="1:18" s="718" customFormat="1" ht="15.75">
      <c r="A68" s="1155" t="s">
        <v>1965</v>
      </c>
      <c r="B68" s="1156" t="s">
        <v>1982</v>
      </c>
      <c r="C68" s="1001">
        <f ca="1">ROUND(C67*(1-((1+F70)/(1+F68))^F69)/(F68-F70),0)</f>
        <v>-344</v>
      </c>
      <c r="D68" s="1066" t="s">
        <v>1967</v>
      </c>
      <c r="E68" s="1056" t="s">
        <v>1968</v>
      </c>
      <c r="F68" s="933">
        <f t="shared" ref="F68:F71" ca="1" si="1">F40</f>
        <v>5.5E-2</v>
      </c>
      <c r="O68" s="1119" t="s">
        <v>2014</v>
      </c>
      <c r="P68" s="1173" t="s">
        <v>2060</v>
      </c>
      <c r="Q68" s="1150">
        <f ca="1">ROUND(Q69-Q70*Q71,0)</f>
        <v>33</v>
      </c>
      <c r="R68" s="1150" t="s">
        <v>2061</v>
      </c>
    </row>
    <row r="69" spans="1:18" s="718" customFormat="1">
      <c r="A69" s="1157"/>
      <c r="B69" s="1158"/>
      <c r="C69" s="932"/>
      <c r="D69" s="1159" t="s">
        <v>1971</v>
      </c>
      <c r="E69" s="1056" t="s">
        <v>1972</v>
      </c>
      <c r="F69" s="1005">
        <f t="shared" ca="1" si="1"/>
        <v>21.08</v>
      </c>
      <c r="O69" s="1119" t="s">
        <v>2062</v>
      </c>
      <c r="P69" s="1173" t="s">
        <v>2063</v>
      </c>
      <c r="Q69" s="1150">
        <f ca="1">C39</f>
        <v>437</v>
      </c>
      <c r="R69" s="1150" t="s">
        <v>1998</v>
      </c>
    </row>
    <row r="70" spans="1:18" s="718" customFormat="1">
      <c r="A70" s="1160"/>
      <c r="B70" s="1161"/>
      <c r="C70" s="953"/>
      <c r="D70" s="1068"/>
      <c r="E70" s="1056" t="s">
        <v>1975</v>
      </c>
      <c r="F70" s="1045"/>
      <c r="O70" s="1119" t="s">
        <v>2064</v>
      </c>
      <c r="P70" s="1173" t="s">
        <v>2065</v>
      </c>
      <c r="Q70" s="1150">
        <f ca="1">C13</f>
        <v>5774</v>
      </c>
      <c r="R70" s="1150" t="s">
        <v>1998</v>
      </c>
    </row>
    <row r="71" spans="1:18" s="718" customFormat="1">
      <c r="A71" s="1162" t="s">
        <v>1977</v>
      </c>
      <c r="B71" s="1163" t="s">
        <v>1983</v>
      </c>
      <c r="C71" s="1009">
        <f ca="1">ROUND(C68*10000/F71,0)</f>
        <v>-319</v>
      </c>
      <c r="D71" s="1164" t="s">
        <v>1984</v>
      </c>
      <c r="E71" s="1165" t="s">
        <v>1985</v>
      </c>
      <c r="F71" s="1012">
        <f t="shared" ca="1" si="1"/>
        <v>10776.5</v>
      </c>
      <c r="O71" s="1119" t="s">
        <v>2066</v>
      </c>
      <c r="P71" s="1173" t="s">
        <v>2067</v>
      </c>
      <c r="Q71" s="1151">
        <f ca="1">C76</f>
        <v>7.0000000000000007E-2</v>
      </c>
      <c r="R71" s="1150"/>
    </row>
    <row r="72" spans="1:18" s="718" customFormat="1">
      <c r="B72" s="1098"/>
      <c r="C72" s="1098"/>
      <c r="O72" s="1119" t="s">
        <v>2018</v>
      </c>
      <c r="P72" s="1112" t="s">
        <v>2044</v>
      </c>
      <c r="Q72" s="1151">
        <f>L52</f>
        <v>0</v>
      </c>
      <c r="R72" s="1150"/>
    </row>
    <row r="73" spans="1:18" ht="15.75">
      <c r="A73" s="718"/>
      <c r="B73" s="1098"/>
      <c r="C73" s="1098"/>
      <c r="D73" s="718"/>
      <c r="E73" s="718"/>
      <c r="F73" s="718"/>
      <c r="O73" s="1119" t="s">
        <v>2022</v>
      </c>
      <c r="P73" s="1112" t="s">
        <v>2047</v>
      </c>
      <c r="Q73" s="1150" t="e">
        <f ca="1">L58</f>
        <v>#DIV/0!</v>
      </c>
      <c r="R73" s="1150" t="s">
        <v>2048</v>
      </c>
    </row>
    <row r="74" spans="1:18">
      <c r="A74" s="718"/>
      <c r="B74" s="418" t="s">
        <v>2068</v>
      </c>
      <c r="C74" s="1166"/>
      <c r="D74" s="718"/>
      <c r="E74" s="718"/>
      <c r="F74" s="718"/>
      <c r="O74" s="1119" t="s">
        <v>2069</v>
      </c>
      <c r="P74" s="1112" t="str">
        <f>K59</f>
        <v>建筑物剩余耐用年限下的土地年期修正系数Kn</v>
      </c>
      <c r="Q74" s="1150" t="e">
        <f ca="1">L59</f>
        <v>#DIV/0!</v>
      </c>
      <c r="R74" s="1150" t="s">
        <v>2049</v>
      </c>
    </row>
    <row r="75" spans="1:18">
      <c r="A75" s="718"/>
      <c r="B75" s="1167" t="s">
        <v>2070</v>
      </c>
      <c r="C75" s="1168">
        <f ca="1">ROUND(C13*C76,0)</f>
        <v>404</v>
      </c>
      <c r="D75" s="718"/>
      <c r="E75" s="718"/>
      <c r="F75" s="718"/>
      <c r="K75" s="1097"/>
      <c r="L75" s="718"/>
      <c r="O75" s="1111" t="s">
        <v>1846</v>
      </c>
      <c r="P75" s="1112" t="s">
        <v>2029</v>
      </c>
      <c r="Q75" s="1150">
        <f ca="1">Q65+Q66</f>
        <v>6355</v>
      </c>
      <c r="R75" s="1150" t="s">
        <v>2030</v>
      </c>
    </row>
    <row r="76" spans="1:18">
      <c r="B76" s="510" t="s">
        <v>2071</v>
      </c>
      <c r="C76" s="1169">
        <f ca="1">INDIRECT("'数据-取费表'!j"&amp;$G$1)</f>
        <v>7.0000000000000007E-2</v>
      </c>
      <c r="I76" s="718"/>
      <c r="J76" s="718"/>
      <c r="K76" s="1097"/>
      <c r="L76" s="718"/>
    </row>
    <row r="77" spans="1:18">
      <c r="B77" s="1170" t="s">
        <v>2072</v>
      </c>
      <c r="C77" s="1171"/>
      <c r="I77" s="718"/>
      <c r="J77" s="718"/>
      <c r="K77" s="1097"/>
      <c r="L77" s="718"/>
    </row>
    <row r="78" spans="1:18">
      <c r="B78" s="416" t="s">
        <v>2073</v>
      </c>
      <c r="C78" s="1172"/>
    </row>
    <row r="79" spans="1:18">
      <c r="B79" s="1167" t="s">
        <v>2074</v>
      </c>
      <c r="C79" s="419">
        <f ca="1">1-C80</f>
        <v>7.5999999999999956E-2</v>
      </c>
    </row>
    <row r="80" spans="1:18">
      <c r="B80" s="1167" t="s">
        <v>2075</v>
      </c>
      <c r="C80" s="419">
        <f ca="1">ROUND(C75/C39,3)</f>
        <v>0.92400000000000004</v>
      </c>
    </row>
    <row r="81" spans="2:3">
      <c r="B81" s="416" t="s">
        <v>2076</v>
      </c>
      <c r="C81" s="386"/>
    </row>
    <row r="82" spans="2:3">
      <c r="B82" s="418" t="s">
        <v>1828</v>
      </c>
      <c r="C82" s="420">
        <f ca="1">1-C83</f>
        <v>9.099999999999997E-2</v>
      </c>
    </row>
    <row r="83" spans="2:3">
      <c r="B83" s="418" t="s">
        <v>1829</v>
      </c>
      <c r="C83" s="419">
        <f ca="1">ROUND(C13/C40,3)</f>
        <v>0.90900000000000003</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 priority="3">
      <formula>$F$10="自定义"</formula>
    </cfRule>
  </conditionalFormatting>
  <conditionalFormatting sqref="C54">
    <cfRule type="expression" dxfId="14" priority="1">
      <formula>$F$53="自定义"</formula>
    </cfRule>
  </conditionalFormatting>
  <conditionalFormatting sqref="I55 I60">
    <cfRule type="expression" dxfId="13" priority="5">
      <formula>$J$51&gt;$L$48</formula>
    </cfRule>
  </conditionalFormatting>
  <conditionalFormatting sqref="J11">
    <cfRule type="expression" dxfId="12" priority="2">
      <formula>$M$10="自定义"</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893"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890" customFormat="1" ht="21">
      <c r="A1" s="894" t="s">
        <v>1883</v>
      </c>
      <c r="B1" s="895"/>
      <c r="C1" s="896"/>
      <c r="D1" s="897" t="s">
        <v>124</v>
      </c>
      <c r="E1" s="898" t="s">
        <v>1884</v>
      </c>
      <c r="F1" s="899">
        <f ca="1">J53</f>
        <v>0</v>
      </c>
      <c r="G1" s="900">
        <f>MATCH(C1,'数据-取费表'!A6:A16,0)+5</f>
        <v>8</v>
      </c>
      <c r="H1" s="901"/>
      <c r="I1" s="1069"/>
      <c r="J1" s="1069"/>
      <c r="K1" s="1070"/>
      <c r="L1" s="1069"/>
      <c r="M1" s="1069"/>
      <c r="N1" s="1071"/>
      <c r="O1" s="1071"/>
      <c r="P1" s="1071"/>
      <c r="Q1" s="1071"/>
      <c r="R1" s="1071"/>
      <c r="S1" s="1071"/>
      <c r="T1" s="1071"/>
      <c r="U1" s="1071"/>
      <c r="V1" s="1071"/>
      <c r="W1" s="1071"/>
      <c r="X1" s="1071"/>
      <c r="Y1" s="1071"/>
      <c r="Z1" s="1071"/>
      <c r="AA1" s="1071"/>
      <c r="AB1" s="1071"/>
      <c r="AC1" s="1071"/>
      <c r="AD1" s="1071"/>
      <c r="AE1" s="1071"/>
      <c r="AF1" s="1071"/>
      <c r="AG1" s="1071"/>
      <c r="AH1" s="1071"/>
      <c r="AI1" s="1071"/>
      <c r="AJ1" s="1071"/>
      <c r="AK1" s="1071"/>
    </row>
    <row r="2" spans="1:37" ht="18" customHeight="1">
      <c r="A2" s="902" t="s">
        <v>1885</v>
      </c>
      <c r="B2" s="903" t="e">
        <f ca="1">C40+J29+L46</f>
        <v>#DIV/0!</v>
      </c>
      <c r="C2" s="904" t="s">
        <v>1886</v>
      </c>
      <c r="D2" s="904"/>
      <c r="E2" s="905"/>
      <c r="F2" s="906"/>
      <c r="G2" s="907"/>
      <c r="H2" s="908"/>
      <c r="I2" s="908"/>
      <c r="J2" s="908"/>
      <c r="K2" s="1072"/>
      <c r="L2" s="908"/>
      <c r="M2" s="908"/>
    </row>
    <row r="3" spans="1:37" ht="18" customHeight="1">
      <c r="A3" s="909" t="s">
        <v>1888</v>
      </c>
      <c r="B3" s="910">
        <f ca="1">IF(ISERROR(B2*10000/F43),0,ROUND(B2*10000/F43,0))</f>
        <v>0</v>
      </c>
      <c r="C3" s="904" t="s">
        <v>1889</v>
      </c>
      <c r="D3" s="904"/>
      <c r="E3" s="905"/>
      <c r="F3" s="906"/>
      <c r="G3" s="907"/>
      <c r="H3" s="911" t="s">
        <v>1890</v>
      </c>
      <c r="I3" s="1073"/>
      <c r="J3" s="1073"/>
      <c r="K3" s="1074"/>
      <c r="L3" s="1073"/>
      <c r="M3" s="1073"/>
    </row>
    <row r="4" spans="1:37" ht="18" customHeight="1">
      <c r="A4" s="912" t="s">
        <v>1891</v>
      </c>
      <c r="B4" s="913" t="s">
        <v>1892</v>
      </c>
      <c r="C4" s="913" t="s">
        <v>1893</v>
      </c>
      <c r="D4" s="913" t="s">
        <v>1894</v>
      </c>
      <c r="E4" s="914" t="s">
        <v>1895</v>
      </c>
      <c r="F4" s="915"/>
      <c r="G4" s="718"/>
      <c r="H4" s="912" t="s">
        <v>1891</v>
      </c>
      <c r="I4" s="913" t="s">
        <v>1892</v>
      </c>
      <c r="J4" s="913" t="s">
        <v>1893</v>
      </c>
      <c r="K4" s="913" t="s">
        <v>1894</v>
      </c>
      <c r="L4" s="914" t="s">
        <v>1895</v>
      </c>
      <c r="M4" s="915"/>
    </row>
    <row r="5" spans="1:37" ht="18" customHeight="1">
      <c r="A5" s="916">
        <v>1</v>
      </c>
      <c r="B5" s="917" t="s">
        <v>1896</v>
      </c>
      <c r="C5" s="918">
        <f ca="1">C6+C10+C12</f>
        <v>0</v>
      </c>
      <c r="D5" s="919" t="s">
        <v>1897</v>
      </c>
      <c r="E5" s="920"/>
      <c r="F5" s="921"/>
      <c r="G5" s="718"/>
      <c r="H5" s="916">
        <v>1</v>
      </c>
      <c r="I5" s="917" t="s">
        <v>1896</v>
      </c>
      <c r="J5" s="918">
        <f ca="1">J6+J10+J12</f>
        <v>0</v>
      </c>
      <c r="K5" s="919" t="s">
        <v>1897</v>
      </c>
      <c r="L5" s="920"/>
      <c r="M5" s="921"/>
    </row>
    <row r="6" spans="1:37" ht="18" customHeight="1">
      <c r="A6" s="922" t="s">
        <v>942</v>
      </c>
      <c r="B6" s="3483" t="s">
        <v>1898</v>
      </c>
      <c r="C6" s="923">
        <f ca="1">ROUND(F6*F8*F7*(1-F9)/10000,0)</f>
        <v>0</v>
      </c>
      <c r="D6" s="924" t="s">
        <v>2334</v>
      </c>
      <c r="E6" s="925" t="s">
        <v>1900</v>
      </c>
      <c r="F6" s="926">
        <f ca="1">INDIRECT("'数据-取费表'!u"&amp;$G$1)</f>
        <v>0</v>
      </c>
      <c r="G6" s="718"/>
      <c r="H6" s="922" t="s">
        <v>942</v>
      </c>
      <c r="I6" s="3483" t="s">
        <v>1898</v>
      </c>
      <c r="J6" s="1001">
        <f ca="1">ROUND(M6*M8*M7*(1-M9)/10000,0)</f>
        <v>0</v>
      </c>
      <c r="K6" s="924" t="s">
        <v>2335</v>
      </c>
      <c r="L6" s="925" t="s">
        <v>1900</v>
      </c>
      <c r="M6" s="926">
        <f ca="1">INDIRECT("'数据-取费表'!z"&amp;$G$1)</f>
        <v>0</v>
      </c>
    </row>
    <row r="7" spans="1:37" ht="18" customHeight="1">
      <c r="A7" s="927"/>
      <c r="B7" s="3484"/>
      <c r="C7" s="928"/>
      <c r="D7" s="929"/>
      <c r="E7" s="930" t="s">
        <v>1902</v>
      </c>
      <c r="F7" s="926">
        <f ca="1">IF(INDIRECT("'数据-取费表'!ah"&amp;$G$1)="",INDIRECT("'数据-取费表'!k"&amp;$G$1),INDIRECT("'数据-取费表'!ah"&amp;$G$1))</f>
        <v>0</v>
      </c>
      <c r="G7" s="718"/>
      <c r="H7" s="931"/>
      <c r="I7" s="3484"/>
      <c r="J7" s="932"/>
      <c r="K7" s="929"/>
      <c r="L7" s="925" t="s">
        <v>1902</v>
      </c>
      <c r="M7" s="926">
        <f ca="1">F7</f>
        <v>0</v>
      </c>
    </row>
    <row r="8" spans="1:37" ht="18" customHeight="1">
      <c r="A8" s="931"/>
      <c r="B8" s="3484"/>
      <c r="C8" s="932"/>
      <c r="D8" s="929"/>
      <c r="E8" s="925" t="s">
        <v>1903</v>
      </c>
      <c r="F8" s="926">
        <f ca="1">INDIRECT("'数据-取费表'!ai"&amp;$G$1)</f>
        <v>0</v>
      </c>
      <c r="G8" s="718"/>
      <c r="H8" s="931"/>
      <c r="I8" s="3484"/>
      <c r="J8" s="932"/>
      <c r="K8" s="929"/>
      <c r="L8" s="925" t="s">
        <v>1903</v>
      </c>
      <c r="M8" s="926">
        <f ca="1">INDIRECT("'数据-取费表'!ai"&amp;$G$1)</f>
        <v>0</v>
      </c>
    </row>
    <row r="9" spans="1:37" ht="18" customHeight="1">
      <c r="A9" s="931"/>
      <c r="B9" s="3485"/>
      <c r="C9" s="932"/>
      <c r="D9" s="929"/>
      <c r="E9" s="925" t="s">
        <v>1904</v>
      </c>
      <c r="F9" s="933">
        <f ca="1">INDIRECT("'数据-取费表'!w"&amp;$G$1)</f>
        <v>0</v>
      </c>
      <c r="G9" s="718"/>
      <c r="H9" s="931"/>
      <c r="I9" s="3485"/>
      <c r="J9" s="932"/>
      <c r="K9" s="929"/>
      <c r="L9" s="937" t="s">
        <v>1904</v>
      </c>
      <c r="M9" s="943">
        <f ca="1">INDIRECT("'数据-取费表'!ab"&amp;$G$1)</f>
        <v>0</v>
      </c>
    </row>
    <row r="10" spans="1:37" ht="18" customHeight="1">
      <c r="A10" s="922" t="s">
        <v>946</v>
      </c>
      <c r="B10" s="934" t="s">
        <v>1905</v>
      </c>
      <c r="C10" s="935">
        <f ca="1">ROUND(IF(F10="押一",C6/12*F11,IF(F10="押二",C6/12*2*F11,IF(F10="押三",C6/12*3*F11,C11*F11))),0)</f>
        <v>0</v>
      </c>
      <c r="D10" s="936" t="s">
        <v>1906</v>
      </c>
      <c r="E10" s="937" t="s">
        <v>1907</v>
      </c>
      <c r="F10" s="938" t="s">
        <v>2336</v>
      </c>
      <c r="G10" s="718"/>
      <c r="H10" s="922" t="s">
        <v>946</v>
      </c>
      <c r="I10" s="934" t="s">
        <v>1905</v>
      </c>
      <c r="J10" s="1001">
        <f ca="1">ROUND(IF(M10="押一",J6/12*M11,IF(M10="押二",J6/12*2*M11,IF(M10="押三",J6/12*3*M11,J11*M11))),0)</f>
        <v>0</v>
      </c>
      <c r="K10" s="936" t="s">
        <v>1906</v>
      </c>
      <c r="L10" s="937" t="s">
        <v>1907</v>
      </c>
      <c r="M10" s="938"/>
    </row>
    <row r="11" spans="1:37" ht="18" customHeight="1">
      <c r="A11" s="939"/>
      <c r="B11" s="940" t="s">
        <v>2337</v>
      </c>
      <c r="C11" s="941"/>
      <c r="D11" s="942"/>
      <c r="E11" s="937" t="s">
        <v>1910</v>
      </c>
      <c r="F11" s="943">
        <f ca="1">'数据-取费表'!B39</f>
        <v>1.4999999999999999E-2</v>
      </c>
      <c r="G11" s="718"/>
      <c r="H11" s="944"/>
      <c r="I11" s="940" t="s">
        <v>2337</v>
      </c>
      <c r="J11" s="941"/>
      <c r="K11" s="1075"/>
      <c r="L11" s="937" t="s">
        <v>1910</v>
      </c>
      <c r="M11" s="1076">
        <f ca="1">'数据-取费表'!B39</f>
        <v>1.4999999999999999E-2</v>
      </c>
    </row>
    <row r="12" spans="1:37" ht="18" customHeight="1">
      <c r="A12" s="945" t="s">
        <v>991</v>
      </c>
      <c r="B12" s="946" t="s">
        <v>1912</v>
      </c>
      <c r="C12" s="947"/>
      <c r="D12" s="948"/>
      <c r="E12" s="949"/>
      <c r="F12" s="950"/>
      <c r="G12" s="718"/>
      <c r="H12" s="945" t="s">
        <v>991</v>
      </c>
      <c r="I12" s="946" t="s">
        <v>1912</v>
      </c>
      <c r="J12" s="947"/>
      <c r="K12" s="1077"/>
      <c r="L12" s="949"/>
      <c r="M12" s="1078"/>
    </row>
    <row r="13" spans="1:37" ht="18" customHeight="1">
      <c r="A13" s="951">
        <v>2</v>
      </c>
      <c r="B13" s="952" t="s">
        <v>1913</v>
      </c>
      <c r="C13" s="953">
        <f ca="1">ROUND(C29*F13,0)</f>
        <v>0</v>
      </c>
      <c r="D13" s="954" t="s">
        <v>1914</v>
      </c>
      <c r="E13" s="954" t="s">
        <v>1915</v>
      </c>
      <c r="F13" s="955">
        <f ca="1">INDIRECT("'数据-取费表'!y"&amp;$G$1)</f>
        <v>0</v>
      </c>
      <c r="G13" s="718"/>
      <c r="H13" s="951">
        <v>2</v>
      </c>
      <c r="I13" s="952" t="s">
        <v>1913</v>
      </c>
      <c r="J13" s="1079">
        <f ca="1">ROUND(J14*J15,0)</f>
        <v>0</v>
      </c>
      <c r="K13" s="979" t="s">
        <v>1914</v>
      </c>
      <c r="L13" s="1080"/>
      <c r="M13" s="1081"/>
    </row>
    <row r="14" spans="1:37" ht="18" customHeight="1">
      <c r="A14" s="956" t="s">
        <v>965</v>
      </c>
      <c r="B14" s="925" t="s">
        <v>1916</v>
      </c>
      <c r="C14" s="957">
        <f ca="1">INDIRECT("'数据-取费表'!m"&amp;$G$1)+INDIRECT("'数据-取费表'!t"&amp;$G$1)</f>
        <v>0</v>
      </c>
      <c r="D14" s="958" t="s">
        <v>1917</v>
      </c>
      <c r="E14" s="959"/>
      <c r="F14" s="960"/>
      <c r="G14" s="718"/>
      <c r="H14" s="956" t="s">
        <v>942</v>
      </c>
      <c r="I14" s="925" t="s">
        <v>1918</v>
      </c>
      <c r="J14" s="961">
        <f ca="1">C29</f>
        <v>0</v>
      </c>
      <c r="K14" s="1082"/>
      <c r="L14" s="1083"/>
      <c r="M14" s="1084"/>
    </row>
    <row r="15" spans="1:37" s="891" customFormat="1" ht="18" customHeight="1">
      <c r="A15" s="956" t="s">
        <v>969</v>
      </c>
      <c r="B15" s="925" t="s">
        <v>1844</v>
      </c>
      <c r="C15" s="961">
        <f ca="1">ROUND(C14*F15,0)</f>
        <v>0</v>
      </c>
      <c r="D15" s="962" t="s">
        <v>1919</v>
      </c>
      <c r="E15" s="962" t="s">
        <v>1920</v>
      </c>
      <c r="F15" s="963">
        <f>'数据-取费表'!B33</f>
        <v>0.05</v>
      </c>
      <c r="G15" s="964"/>
      <c r="H15" s="965" t="s">
        <v>946</v>
      </c>
      <c r="I15" s="949" t="s">
        <v>1915</v>
      </c>
      <c r="J15" s="1078">
        <f ca="1">INDIRECT("'数据-取费表'!ad"&amp;$G$1)</f>
        <v>0</v>
      </c>
      <c r="K15" s="1085"/>
      <c r="L15" s="1086"/>
      <c r="M15" s="1087"/>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64"/>
      <c r="AK15" s="964"/>
    </row>
    <row r="16" spans="1:37" ht="18" customHeight="1">
      <c r="A16" s="956" t="s">
        <v>972</v>
      </c>
      <c r="B16" s="925" t="s">
        <v>1847</v>
      </c>
      <c r="C16" s="961">
        <f ca="1">ROUND(INDIRECT("'数据-取费表'!m"&amp;$G$1)*F16,0)</f>
        <v>0</v>
      </c>
      <c r="D16" s="925" t="s">
        <v>1919</v>
      </c>
      <c r="E16" s="925" t="s">
        <v>1920</v>
      </c>
      <c r="F16" s="966">
        <f ca="1">IF(INDIRECT("'数据-取费表'!c"&amp;$G$1)="住宅",'数据-取费表'!B34,0)</f>
        <v>0</v>
      </c>
      <c r="G16" s="718"/>
      <c r="H16" s="951" t="s">
        <v>1921</v>
      </c>
      <c r="I16" s="952" t="s">
        <v>1922</v>
      </c>
      <c r="J16" s="953">
        <f ca="1">ROUND(J17+J22+J23+J24,0)</f>
        <v>0</v>
      </c>
      <c r="K16" s="979" t="s">
        <v>1923</v>
      </c>
      <c r="L16" s="980"/>
      <c r="M16" s="921"/>
    </row>
    <row r="17" spans="1:37" s="891" customFormat="1" ht="18" customHeight="1">
      <c r="A17" s="956" t="s">
        <v>1924</v>
      </c>
      <c r="B17" s="925" t="s">
        <v>1925</v>
      </c>
      <c r="C17" s="961">
        <f ca="1">ROUND(F17*(F43+INDIRECT("'数据-取费表'!S"&amp;$G$1))/10000,0)</f>
        <v>0</v>
      </c>
      <c r="D17" s="925" t="s">
        <v>1926</v>
      </c>
      <c r="E17" s="925" t="s">
        <v>1927</v>
      </c>
      <c r="F17" s="967">
        <f>'数据-取费表'!B35</f>
        <v>200</v>
      </c>
      <c r="G17" s="964"/>
      <c r="H17" s="956" t="s">
        <v>942</v>
      </c>
      <c r="I17" s="925" t="s">
        <v>1928</v>
      </c>
      <c r="J17" s="982">
        <f ca="1">ROUND(IF(AND(项目基本情况!B11="自然人",项目基本情况!B10="北京市"),J6*M17/(1+'数据-取费表'!C42),J18+J19+J20),2)</f>
        <v>0</v>
      </c>
      <c r="K17" s="958" t="s">
        <v>1929</v>
      </c>
      <c r="L17" s="983" t="s">
        <v>1930</v>
      </c>
      <c r="M17" s="984" t="str">
        <f>IF(项目基本情况!B11="企业","",IF('数据-取费表'!B10="住宅",IF(M6*M7*M8/12/(1+'数据-取费表'!F30)&gt;100000,4%,2.5%),IF(M6*M7*M8/12/(1+'数据-取费表'!F30)&gt;100000,12%,7%)))</f>
        <v/>
      </c>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64"/>
      <c r="AK17" s="964"/>
    </row>
    <row r="18" spans="1:37" s="891" customFormat="1" ht="18" customHeight="1">
      <c r="A18" s="956" t="s">
        <v>1931</v>
      </c>
      <c r="B18" s="925" t="s">
        <v>1853</v>
      </c>
      <c r="C18" s="961">
        <f ca="1">ROUND(C14*F18,0)</f>
        <v>0</v>
      </c>
      <c r="D18" s="925" t="s">
        <v>1919</v>
      </c>
      <c r="E18" s="925" t="s">
        <v>1920</v>
      </c>
      <c r="F18" s="966">
        <f>'数据-取费表'!B36</f>
        <v>0.02</v>
      </c>
      <c r="G18" s="964"/>
      <c r="H18" s="956" t="s">
        <v>965</v>
      </c>
      <c r="I18" s="925" t="s">
        <v>1932</v>
      </c>
      <c r="J18" s="961">
        <f ca="1">ROUND(J6*M18/(1+'数据-取费表'!C42),2)</f>
        <v>0</v>
      </c>
      <c r="K18" s="983" t="s">
        <v>1933</v>
      </c>
      <c r="L18" s="925" t="s">
        <v>1920</v>
      </c>
      <c r="M18" s="966">
        <f>'数据-取费表'!B41</f>
        <v>5.6000000000000001E-2</v>
      </c>
      <c r="N18" s="964"/>
      <c r="O18" s="964"/>
      <c r="P18" s="964"/>
      <c r="Q18" s="964"/>
      <c r="R18" s="964"/>
      <c r="S18" s="964"/>
      <c r="T18" s="964"/>
      <c r="U18" s="964"/>
      <c r="V18" s="964"/>
      <c r="W18" s="964"/>
      <c r="X18" s="964"/>
      <c r="Y18" s="964"/>
      <c r="Z18" s="964"/>
      <c r="AA18" s="964"/>
      <c r="AB18" s="964"/>
      <c r="AC18" s="964"/>
      <c r="AD18" s="964"/>
      <c r="AE18" s="964"/>
      <c r="AF18" s="964"/>
      <c r="AG18" s="964"/>
      <c r="AH18" s="964"/>
      <c r="AI18" s="964"/>
      <c r="AJ18" s="964"/>
      <c r="AK18" s="964"/>
    </row>
    <row r="19" spans="1:37" ht="18" customHeight="1">
      <c r="A19" s="956" t="s">
        <v>942</v>
      </c>
      <c r="B19" s="925" t="s">
        <v>1934</v>
      </c>
      <c r="C19" s="961">
        <f ca="1">SUM(C14:C18)</f>
        <v>0</v>
      </c>
      <c r="D19" s="968" t="s">
        <v>1935</v>
      </c>
      <c r="E19" s="969"/>
      <c r="F19" s="967"/>
      <c r="G19" s="718"/>
      <c r="H19" s="956" t="s">
        <v>969</v>
      </c>
      <c r="I19" s="925" t="s">
        <v>1936</v>
      </c>
      <c r="J19" s="961">
        <f ca="1">IF(K19="按租金收入计税",ROUND(J6*M19/(1+'数据-取费表'!C42),2),ROUND(C29*M19*0.7,2))</f>
        <v>0</v>
      </c>
      <c r="K19" s="986" t="s">
        <v>1937</v>
      </c>
      <c r="L19" s="925" t="s">
        <v>1920</v>
      </c>
      <c r="M19" s="966">
        <f>IF(K19="按租金收入计税",'数据-取费表'!B51,'数据-取费表'!B50)</f>
        <v>0.12</v>
      </c>
    </row>
    <row r="20" spans="1:37" s="891" customFormat="1" ht="18" customHeight="1">
      <c r="A20" s="956" t="s">
        <v>946</v>
      </c>
      <c r="B20" s="925" t="s">
        <v>1938</v>
      </c>
      <c r="C20" s="961">
        <f ca="1">ROUND(C19*F20,0)</f>
        <v>0</v>
      </c>
      <c r="D20" s="970" t="s">
        <v>1939</v>
      </c>
      <c r="E20" s="925" t="s">
        <v>1920</v>
      </c>
      <c r="F20" s="966">
        <f>'数据-取费表'!B37</f>
        <v>0.02</v>
      </c>
      <c r="G20" s="964"/>
      <c r="H20" s="956" t="s">
        <v>972</v>
      </c>
      <c r="I20" s="924" t="s">
        <v>1940</v>
      </c>
      <c r="J20" s="988">
        <f ca="1">ROUND(M20*M21/10000,2)</f>
        <v>0</v>
      </c>
      <c r="K20" s="989" t="s">
        <v>1941</v>
      </c>
      <c r="L20" s="925" t="s">
        <v>1942</v>
      </c>
      <c r="M20" s="973">
        <f>'数据-取费表'!B52</f>
        <v>30</v>
      </c>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row>
    <row r="21" spans="1:37" s="891" customFormat="1" ht="18" customHeight="1">
      <c r="A21" s="956" t="s">
        <v>991</v>
      </c>
      <c r="B21" s="925" t="s">
        <v>1943</v>
      </c>
      <c r="C21" s="961" t="s">
        <v>124</v>
      </c>
      <c r="D21" s="970" t="s">
        <v>1944</v>
      </c>
      <c r="E21" s="925" t="s">
        <v>1945</v>
      </c>
      <c r="F21" s="966">
        <f>'数据-取费表'!B38</f>
        <v>0.02</v>
      </c>
      <c r="G21" s="964"/>
      <c r="H21" s="971"/>
      <c r="I21" s="1088"/>
      <c r="J21" s="992"/>
      <c r="K21" s="993"/>
      <c r="L21" s="925" t="s">
        <v>1946</v>
      </c>
      <c r="M21" s="926">
        <f ca="1">INDIRECT("'数据-取费表'!r"&amp;$G$1)</f>
        <v>0</v>
      </c>
      <c r="N21" s="964"/>
      <c r="O21" s="964"/>
      <c r="P21" s="964"/>
      <c r="Q21" s="964"/>
      <c r="R21" s="964"/>
      <c r="S21" s="964"/>
      <c r="T21" s="964"/>
      <c r="U21" s="964"/>
      <c r="V21" s="964"/>
      <c r="W21" s="964"/>
      <c r="X21" s="964"/>
      <c r="Y21" s="964"/>
      <c r="Z21" s="964"/>
      <c r="AA21" s="964"/>
      <c r="AB21" s="964"/>
      <c r="AC21" s="964"/>
      <c r="AD21" s="964"/>
      <c r="AE21" s="964"/>
      <c r="AF21" s="964"/>
      <c r="AG21" s="964"/>
      <c r="AH21" s="964"/>
      <c r="AI21" s="964"/>
      <c r="AJ21" s="964"/>
      <c r="AK21" s="964"/>
    </row>
    <row r="22" spans="1:37" ht="18" customHeight="1">
      <c r="A22" s="956" t="s">
        <v>994</v>
      </c>
      <c r="B22" s="925" t="s">
        <v>1947</v>
      </c>
      <c r="C22" s="961"/>
      <c r="D22" s="968" t="str">
        <f>IF(F23&lt;=1,"单利计息。","复利计息。")&amp;"建造成本、管理费用、销售费用产生的利息。"</f>
        <v>复利计息。建造成本、管理费用、销售费用产生的利息。</v>
      </c>
      <c r="E22" s="969"/>
      <c r="F22" s="967"/>
      <c r="G22" s="718"/>
      <c r="H22" s="956" t="s">
        <v>946</v>
      </c>
      <c r="I22" s="925" t="s">
        <v>1948</v>
      </c>
      <c r="J22" s="961">
        <f ca="1">ROUND(J14*M22,2)</f>
        <v>0</v>
      </c>
      <c r="K22" s="983" t="s">
        <v>1949</v>
      </c>
      <c r="L22" s="925" t="s">
        <v>1920</v>
      </c>
      <c r="M22" s="995">
        <f ca="1">INDIRECT("'数据-取费表'!Ak"&amp;$G$1)</f>
        <v>0</v>
      </c>
    </row>
    <row r="23" spans="1:37" s="891" customFormat="1" ht="18" customHeight="1">
      <c r="A23" s="956" t="s">
        <v>965</v>
      </c>
      <c r="B23" s="925" t="s">
        <v>1950</v>
      </c>
      <c r="C23" s="961">
        <f ca="1">IF('数据-取费表'!B22&lt;=1,ROUND(C19*F24*F23/2,0)+ROUND(C20*F24*F23/2,0),ROUND(C19*(POWER((1+F24),F23/2)-1),0)+ROUND(C20*(POWER((1+F24),F23/2)-1),0))</f>
        <v>0</v>
      </c>
      <c r="D23" s="972" t="str">
        <f>IF(F23&lt;=1,"(建造成本+管理费用)×利率×(建设周期÷2)","(建造成本+管理费用)×((1+利率)^(建设周期÷2)-1)")</f>
        <v>(建造成本+管理费用)×((1+利率)^(建设周期÷2)-1)</v>
      </c>
      <c r="E23" s="925" t="s">
        <v>1951</v>
      </c>
      <c r="F23" s="973">
        <f>'数据-取费表'!B20</f>
        <v>2.5</v>
      </c>
      <c r="G23" s="964"/>
      <c r="H23" s="956" t="s">
        <v>991</v>
      </c>
      <c r="I23" s="925" t="s">
        <v>1952</v>
      </c>
      <c r="J23" s="961">
        <f ca="1">ROUND(J13*M23,2)</f>
        <v>0</v>
      </c>
      <c r="K23" s="983" t="s">
        <v>1953</v>
      </c>
      <c r="L23" s="925" t="s">
        <v>1920</v>
      </c>
      <c r="M23" s="996">
        <f ca="1">INDIRECT("'数据-取费表'!Al"&amp;$G$1)</f>
        <v>0</v>
      </c>
      <c r="N23" s="964"/>
      <c r="O23" s="964"/>
      <c r="P23" s="964"/>
      <c r="Q23" s="964"/>
      <c r="R23" s="964"/>
      <c r="S23" s="964"/>
      <c r="T23" s="964"/>
      <c r="U23" s="964"/>
      <c r="V23" s="964"/>
      <c r="W23" s="964"/>
      <c r="X23" s="964"/>
      <c r="Y23" s="964"/>
      <c r="Z23" s="964"/>
      <c r="AA23" s="964"/>
      <c r="AB23" s="964"/>
      <c r="AC23" s="964"/>
      <c r="AD23" s="964"/>
      <c r="AE23" s="964"/>
      <c r="AF23" s="964"/>
      <c r="AG23" s="964"/>
      <c r="AH23" s="964"/>
      <c r="AI23" s="964"/>
      <c r="AJ23" s="964"/>
      <c r="AK23" s="964"/>
    </row>
    <row r="24" spans="1:37" s="891" customFormat="1" ht="18" customHeight="1">
      <c r="A24" s="956" t="s">
        <v>969</v>
      </c>
      <c r="B24" s="925" t="s">
        <v>1954</v>
      </c>
      <c r="C24" s="961">
        <f ca="1">ROUND(IF('数据-取费表'!B22&lt;=1,F21*F24*F23/2,F21*(POWER((1+F24),F23/2)-1)),4)</f>
        <v>8.0000000000000004E-4</v>
      </c>
      <c r="D24" s="972" t="str">
        <f>IF(F23&lt;=1,"销售费用×利率×(建设周期÷2)","销售费用×((1+利率)^(建设周期÷2)-1)")</f>
        <v>销售费用×((1+利率)^(建设周期÷2)-1)</v>
      </c>
      <c r="E24" s="925" t="s">
        <v>1955</v>
      </c>
      <c r="F24" s="974">
        <f ca="1">'数据-取费表'!B40</f>
        <v>0.03</v>
      </c>
      <c r="G24" s="964"/>
      <c r="H24" s="965" t="s">
        <v>994</v>
      </c>
      <c r="I24" s="949" t="s">
        <v>1938</v>
      </c>
      <c r="J24" s="975">
        <f ca="1">ROUND(J5*M24,2)</f>
        <v>0</v>
      </c>
      <c r="K24" s="976" t="s">
        <v>1956</v>
      </c>
      <c r="L24" s="949" t="s">
        <v>1920</v>
      </c>
      <c r="M24" s="950">
        <f ca="1">INDIRECT("'数据-取费表'!Am"&amp;$G$1)</f>
        <v>0</v>
      </c>
      <c r="N24" s="964"/>
      <c r="O24" s="964"/>
      <c r="P24" s="964"/>
      <c r="Q24" s="964"/>
      <c r="R24" s="964"/>
      <c r="S24" s="964"/>
      <c r="T24" s="964"/>
      <c r="U24" s="964"/>
      <c r="V24" s="964"/>
      <c r="W24" s="964"/>
      <c r="X24" s="964"/>
      <c r="Y24" s="964"/>
      <c r="Z24" s="964"/>
      <c r="AA24" s="964"/>
      <c r="AB24" s="964"/>
      <c r="AC24" s="964"/>
      <c r="AD24" s="964"/>
      <c r="AE24" s="964"/>
      <c r="AF24" s="964"/>
      <c r="AG24" s="964"/>
      <c r="AH24" s="964"/>
      <c r="AI24" s="964"/>
      <c r="AJ24" s="964"/>
      <c r="AK24" s="964"/>
    </row>
    <row r="25" spans="1:37" ht="24" customHeight="1">
      <c r="A25" s="956" t="s">
        <v>998</v>
      </c>
      <c r="B25" s="925" t="s">
        <v>1957</v>
      </c>
      <c r="C25" s="961"/>
      <c r="D25" s="968" t="s">
        <v>1958</v>
      </c>
      <c r="E25" s="969"/>
      <c r="F25" s="967"/>
      <c r="G25" s="718"/>
      <c r="H25" s="951" t="s">
        <v>1959</v>
      </c>
      <c r="I25" s="997" t="s">
        <v>1960</v>
      </c>
      <c r="J25" s="953">
        <f ca="1">J5-J16</f>
        <v>0</v>
      </c>
      <c r="K25" s="998" t="s">
        <v>1961</v>
      </c>
      <c r="L25" s="999"/>
      <c r="M25" s="1000"/>
    </row>
    <row r="26" spans="1:37">
      <c r="A26" s="956" t="s">
        <v>965</v>
      </c>
      <c r="B26" s="925" t="s">
        <v>1962</v>
      </c>
      <c r="C26" s="961">
        <f ca="1">ROUND((C19+C20)*F26,0)</f>
        <v>0</v>
      </c>
      <c r="D26" s="970" t="s">
        <v>1963</v>
      </c>
      <c r="E26" s="937" t="s">
        <v>1964</v>
      </c>
      <c r="F26" s="933">
        <f ca="1">INDIRECT("'数据-取费表'!q"&amp;$G$1)</f>
        <v>0</v>
      </c>
      <c r="G26" s="718"/>
      <c r="H26" s="916" t="s">
        <v>1965</v>
      </c>
      <c r="I26" s="917" t="s">
        <v>1966</v>
      </c>
      <c r="J26" s="1001">
        <f ca="1">IF(J5&lt;&gt;0,ROUND(J25*(1-((1+M28)/(1+M26))^M27)/(M26-M28),0),0)</f>
        <v>0</v>
      </c>
      <c r="K26" s="989" t="s">
        <v>1967</v>
      </c>
      <c r="L26" s="925" t="s">
        <v>1968</v>
      </c>
      <c r="M26" s="933">
        <f ca="1">INDIRECT("'数据-取费表'!I"&amp;$G$1)</f>
        <v>0</v>
      </c>
    </row>
    <row r="27" spans="1:37" ht="18" customHeight="1">
      <c r="A27" s="956" t="s">
        <v>969</v>
      </c>
      <c r="B27" s="925" t="s">
        <v>1969</v>
      </c>
      <c r="C27" s="961">
        <f ca="1">ROUND(F21*F26,4)</f>
        <v>0</v>
      </c>
      <c r="D27" s="970" t="s">
        <v>1970</v>
      </c>
      <c r="E27" s="962"/>
      <c r="F27" s="963"/>
      <c r="G27" s="718"/>
      <c r="H27" s="931"/>
      <c r="I27" s="1003"/>
      <c r="J27" s="932"/>
      <c r="K27" s="1004" t="s">
        <v>1971</v>
      </c>
      <c r="L27" s="925" t="s">
        <v>1972</v>
      </c>
      <c r="M27" s="1005">
        <f ca="1">INDIRECT("'数据-取费表'!ag"&amp;$G$1)</f>
        <v>0</v>
      </c>
    </row>
    <row r="28" spans="1:37" s="891" customFormat="1" ht="18" customHeight="1">
      <c r="A28" s="956" t="s">
        <v>999</v>
      </c>
      <c r="B28" s="925" t="s">
        <v>1973</v>
      </c>
      <c r="C28" s="961">
        <f>ROUND(F28/(1+'数据-取费表'!C42),4)</f>
        <v>5.33E-2</v>
      </c>
      <c r="D28" s="970" t="s">
        <v>1974</v>
      </c>
      <c r="E28" s="925" t="s">
        <v>1920</v>
      </c>
      <c r="F28" s="966">
        <f>'数据-取费表'!B41</f>
        <v>5.6000000000000001E-2</v>
      </c>
      <c r="G28" s="964"/>
      <c r="H28" s="939"/>
      <c r="I28" s="1007"/>
      <c r="J28" s="953"/>
      <c r="K28" s="993"/>
      <c r="L28" s="925" t="s">
        <v>1975</v>
      </c>
      <c r="M28" s="933">
        <f ca="1">INDIRECT("'数据-取费表'!aa"&amp;$G$1)</f>
        <v>0</v>
      </c>
      <c r="N28" s="964"/>
      <c r="O28" s="964"/>
      <c r="P28" s="964"/>
      <c r="Q28" s="964"/>
      <c r="R28" s="964"/>
      <c r="S28" s="964"/>
      <c r="T28" s="964"/>
      <c r="U28" s="964"/>
      <c r="V28" s="964"/>
      <c r="W28" s="964"/>
      <c r="X28" s="964"/>
      <c r="Y28" s="964"/>
      <c r="Z28" s="964"/>
      <c r="AA28" s="964"/>
      <c r="AB28" s="964"/>
      <c r="AC28" s="964"/>
      <c r="AD28" s="964"/>
      <c r="AE28" s="964"/>
      <c r="AF28" s="964"/>
      <c r="AG28" s="964"/>
      <c r="AH28" s="964"/>
      <c r="AI28" s="964"/>
      <c r="AJ28" s="964"/>
      <c r="AK28" s="964"/>
    </row>
    <row r="29" spans="1:37" s="891" customFormat="1" ht="18" customHeight="1">
      <c r="A29" s="965" t="s">
        <v>1878</v>
      </c>
      <c r="B29" s="949" t="s">
        <v>1976</v>
      </c>
      <c r="C29" s="975">
        <f ca="1">ROUND((C19+C20+C23+C26)/(1-F21-C24-C27-C28),0)</f>
        <v>0</v>
      </c>
      <c r="D29" s="976"/>
      <c r="E29" s="949"/>
      <c r="F29" s="977"/>
      <c r="G29" s="964"/>
      <c r="H29" s="978" t="s">
        <v>1977</v>
      </c>
      <c r="I29" s="1008" t="s">
        <v>1978</v>
      </c>
      <c r="J29" s="1009">
        <f ca="1">ROUND(J26/(1+F40)^F41,0)</f>
        <v>0</v>
      </c>
      <c r="K29" s="1010" t="s">
        <v>1979</v>
      </c>
      <c r="L29" s="1011"/>
      <c r="M29" s="1012">
        <f ca="1">INDIRECT("'数据-取费表'!k"&amp;$G$1)</f>
        <v>0</v>
      </c>
      <c r="N29" s="964"/>
      <c r="O29" s="964"/>
      <c r="P29" s="964"/>
      <c r="Q29" s="964"/>
      <c r="R29" s="964"/>
      <c r="S29" s="964"/>
      <c r="T29" s="964"/>
      <c r="U29" s="964"/>
      <c r="V29" s="964"/>
      <c r="W29" s="964"/>
      <c r="X29" s="964"/>
      <c r="Y29" s="964"/>
      <c r="Z29" s="964"/>
      <c r="AA29" s="964"/>
      <c r="AB29" s="964"/>
      <c r="AC29" s="964"/>
      <c r="AD29" s="964"/>
      <c r="AE29" s="964"/>
      <c r="AF29" s="964"/>
      <c r="AG29" s="964"/>
      <c r="AH29" s="964"/>
      <c r="AI29" s="964"/>
      <c r="AJ29" s="964"/>
      <c r="AK29" s="964"/>
    </row>
    <row r="30" spans="1:37" ht="18" customHeight="1">
      <c r="A30" s="951" t="s">
        <v>1921</v>
      </c>
      <c r="B30" s="952" t="s">
        <v>1922</v>
      </c>
      <c r="C30" s="953">
        <f ca="1">ROUND(C31+C36+C37+C38,0)</f>
        <v>0</v>
      </c>
      <c r="D30" s="979" t="s">
        <v>1923</v>
      </c>
      <c r="E30" s="980"/>
      <c r="F30" s="921"/>
      <c r="G30" s="718"/>
      <c r="H30" s="981"/>
      <c r="I30" s="1089"/>
      <c r="J30" s="1090"/>
      <c r="K30" s="1006"/>
      <c r="L30" s="1091"/>
      <c r="M30" s="1092"/>
    </row>
    <row r="31" spans="1:37" ht="18" customHeight="1">
      <c r="A31" s="956" t="s">
        <v>942</v>
      </c>
      <c r="B31" s="925" t="s">
        <v>1928</v>
      </c>
      <c r="C31" s="982">
        <f ca="1">ROUND(IF(AND(项目基本情况!B11="自然人",项目基本情况!B10="北京市"),C6*F31/(1+'数据-取费表'!C42),C32+C33+C34),2)</f>
        <v>0</v>
      </c>
      <c r="D31" s="958" t="s">
        <v>1929</v>
      </c>
      <c r="E31" s="983" t="s">
        <v>1930</v>
      </c>
      <c r="F31" s="984" t="str">
        <f>IF(项目基本情况!B11="企业","——",IF(M47="住宅",IF(F6*F7*F8/12/(1+'数据-取费表'!F30)&gt;100000,4%,2.5%),IF(F6*F7*F8/12/(1+'数据-取费表'!F30)&gt;100000,12%,7%)))</f>
        <v>——</v>
      </c>
      <c r="G31" s="718"/>
      <c r="H31" s="985" t="s">
        <v>1980</v>
      </c>
      <c r="I31" s="1089"/>
      <c r="J31" s="1090"/>
      <c r="K31" s="1006"/>
      <c r="L31" s="1091"/>
      <c r="M31" s="1092"/>
    </row>
    <row r="32" spans="1:37" ht="18" customHeight="1">
      <c r="A32" s="956" t="s">
        <v>965</v>
      </c>
      <c r="B32" s="925" t="s">
        <v>1932</v>
      </c>
      <c r="C32" s="961">
        <f ca="1">IF(项目基本情况!B11="自然人","——",ROUND(C6*F32/(1+'数据-取费表'!C42),2))</f>
        <v>0</v>
      </c>
      <c r="D32" s="983" t="s">
        <v>1933</v>
      </c>
      <c r="E32" s="925" t="s">
        <v>1920</v>
      </c>
      <c r="F32" s="974">
        <f>'数据-取费表'!B41</f>
        <v>5.6000000000000001E-2</v>
      </c>
      <c r="G32" s="718"/>
      <c r="H32" s="981"/>
      <c r="I32" s="1089"/>
      <c r="J32" s="1090"/>
      <c r="K32" s="1006"/>
      <c r="L32" s="1091"/>
      <c r="M32" s="1092"/>
    </row>
    <row r="33" spans="1:18" ht="18" customHeight="1">
      <c r="A33" s="956" t="s">
        <v>969</v>
      </c>
      <c r="B33" s="925" t="s">
        <v>1936</v>
      </c>
      <c r="C33" s="961">
        <f ca="1">IF(项目基本情况!B11="自然人","——",IF(D33="按租金收入计税",ROUND(C6*F33/(1+'数据-取费表'!C42),2),IF(D33="按房产原值计税",ROUND(C29*F33*0.7,2),INDIRECT("'数据-取费表'!Aj"&amp;$G$1))))</f>
        <v>0</v>
      </c>
      <c r="D33" s="986" t="s">
        <v>1937</v>
      </c>
      <c r="E33" s="925" t="s">
        <v>1920</v>
      </c>
      <c r="F33" s="966">
        <f>IF(D33="按票据","——",IF(D33="按租金收入计税",'数据-取费表'!B51,'数据-取费表'!B50))</f>
        <v>0.12</v>
      </c>
      <c r="G33" s="718"/>
      <c r="H33" s="987"/>
      <c r="I33" s="1089"/>
      <c r="J33" s="1090"/>
      <c r="K33" s="1093"/>
      <c r="L33" s="987"/>
      <c r="M33" s="987"/>
    </row>
    <row r="34" spans="1:18" ht="18" customHeight="1">
      <c r="A34" s="922" t="s">
        <v>972</v>
      </c>
      <c r="B34" s="924" t="s">
        <v>1940</v>
      </c>
      <c r="C34" s="988">
        <f ca="1">IF(项目基本情况!B11="自然人","——",ROUND(F34*F35/10000,2))</f>
        <v>0</v>
      </c>
      <c r="D34" s="989" t="s">
        <v>1941</v>
      </c>
      <c r="E34" s="925" t="s">
        <v>1942</v>
      </c>
      <c r="F34" s="973">
        <f>'数据-取费表'!B52</f>
        <v>30</v>
      </c>
      <c r="G34" s="718"/>
      <c r="H34" s="981"/>
      <c r="I34" s="1089"/>
      <c r="J34" s="1090"/>
      <c r="K34" s="1094"/>
      <c r="L34" s="1095"/>
      <c r="M34" s="1095"/>
    </row>
    <row r="35" spans="1:18" ht="18" customHeight="1">
      <c r="A35" s="990"/>
      <c r="B35" s="991"/>
      <c r="C35" s="992"/>
      <c r="D35" s="993"/>
      <c r="E35" s="925" t="s">
        <v>1946</v>
      </c>
      <c r="F35" s="926">
        <f ca="1">INDIRECT("'数据-取费表'!r"&amp;$G$1)</f>
        <v>0</v>
      </c>
      <c r="G35" s="718"/>
      <c r="H35" s="981"/>
      <c r="I35" s="1089"/>
      <c r="J35" s="1090"/>
      <c r="K35" s="1093"/>
      <c r="L35" s="987"/>
      <c r="M35" s="987"/>
    </row>
    <row r="36" spans="1:18" ht="18" customHeight="1">
      <c r="A36" s="994" t="s">
        <v>946</v>
      </c>
      <c r="B36" s="925" t="s">
        <v>1948</v>
      </c>
      <c r="C36" s="961">
        <f ca="1">ROUND(C29*F36,2)</f>
        <v>0</v>
      </c>
      <c r="D36" s="983" t="s">
        <v>1981</v>
      </c>
      <c r="E36" s="925" t="s">
        <v>1920</v>
      </c>
      <c r="F36" s="995">
        <f ca="1">INDIRECT("'数据-取费表'!Ak"&amp;$G$1)</f>
        <v>0</v>
      </c>
      <c r="G36" s="718"/>
      <c r="H36" s="987"/>
      <c r="I36" s="1089"/>
      <c r="J36" s="1090"/>
      <c r="K36" s="1096"/>
      <c r="L36" s="987"/>
      <c r="M36" s="987"/>
    </row>
    <row r="37" spans="1:18" ht="18" customHeight="1">
      <c r="A37" s="956" t="s">
        <v>991</v>
      </c>
      <c r="B37" s="925" t="s">
        <v>1952</v>
      </c>
      <c r="C37" s="961">
        <f ca="1">ROUND(C13*F37,2)</f>
        <v>0</v>
      </c>
      <c r="D37" s="983" t="s">
        <v>1953</v>
      </c>
      <c r="E37" s="925" t="s">
        <v>1920</v>
      </c>
      <c r="F37" s="996">
        <f ca="1">INDIRECT("'数据-取费表'!Al"&amp;$G$1)</f>
        <v>0</v>
      </c>
      <c r="G37" s="718"/>
      <c r="H37" s="987"/>
      <c r="I37" s="1089"/>
      <c r="J37" s="1090"/>
      <c r="K37" s="1096"/>
      <c r="L37" s="987"/>
      <c r="M37" s="987"/>
    </row>
    <row r="38" spans="1:18" ht="18" customHeight="1">
      <c r="A38" s="965" t="s">
        <v>994</v>
      </c>
      <c r="B38" s="949" t="s">
        <v>1938</v>
      </c>
      <c r="C38" s="975">
        <f ca="1">ROUND(C5*F38,2)</f>
        <v>0</v>
      </c>
      <c r="D38" s="976" t="s">
        <v>1956</v>
      </c>
      <c r="E38" s="949" t="s">
        <v>1920</v>
      </c>
      <c r="F38" s="950">
        <f ca="1">INDIRECT("'数据-取费表'!Am"&amp;$G$1)</f>
        <v>0</v>
      </c>
      <c r="G38" s="718"/>
      <c r="H38" s="987"/>
      <c r="I38" s="1089"/>
      <c r="J38" s="1090"/>
      <c r="K38" s="1091"/>
      <c r="L38" s="987"/>
      <c r="M38" s="987"/>
    </row>
    <row r="39" spans="1:18" ht="24.6" customHeight="1">
      <c r="A39" s="951" t="s">
        <v>1959</v>
      </c>
      <c r="B39" s="997" t="s">
        <v>1960</v>
      </c>
      <c r="C39" s="953">
        <f ca="1">C5-C30</f>
        <v>0</v>
      </c>
      <c r="D39" s="998" t="s">
        <v>1961</v>
      </c>
      <c r="E39" s="999"/>
      <c r="F39" s="1000"/>
      <c r="G39" s="718"/>
      <c r="H39" s="987"/>
      <c r="I39" s="1089"/>
      <c r="J39" s="1090"/>
      <c r="K39" s="1091"/>
      <c r="L39" s="987"/>
      <c r="M39" s="987"/>
    </row>
    <row r="40" spans="1:18" ht="18" customHeight="1">
      <c r="A40" s="916" t="s">
        <v>1965</v>
      </c>
      <c r="B40" s="917" t="s">
        <v>1982</v>
      </c>
      <c r="C40" s="1001" t="e">
        <f ca="1">ROUND(C39*(1-((1+F42)/(1+F40))^F41)/(F40-F42),0)</f>
        <v>#DIV/0!</v>
      </c>
      <c r="D40" s="989" t="s">
        <v>1967</v>
      </c>
      <c r="E40" s="925" t="s">
        <v>1968</v>
      </c>
      <c r="F40" s="933">
        <f ca="1">INDIRECT("'数据-取费表'!I"&amp;$G$1)</f>
        <v>0</v>
      </c>
      <c r="G40" s="718"/>
      <c r="H40" s="1002"/>
      <c r="I40" s="1089"/>
      <c r="J40" s="1090"/>
      <c r="K40" s="1091"/>
      <c r="L40" s="1002"/>
      <c r="M40" s="1002"/>
    </row>
    <row r="41" spans="1:18" ht="18" customHeight="1">
      <c r="A41" s="931"/>
      <c r="B41" s="1003"/>
      <c r="C41" s="932"/>
      <c r="D41" s="1004" t="s">
        <v>1971</v>
      </c>
      <c r="E41" s="925" t="s">
        <v>1972</v>
      </c>
      <c r="F41" s="1005">
        <f ca="1">IF(INDIRECT("'数据-取费表'!af"&amp;$G$1)=0,INDIRECT("'数据-取费表'!ae"&amp;$G$1),INDIRECT("'数据-取费表'!af"&amp;$G$1))</f>
        <v>0</v>
      </c>
      <c r="G41" s="718"/>
      <c r="H41" s="1006"/>
      <c r="I41" s="1089"/>
      <c r="J41" s="1090"/>
      <c r="K41" s="1096"/>
      <c r="L41" s="1006"/>
      <c r="M41" s="1006"/>
    </row>
    <row r="42" spans="1:18" ht="18" customHeight="1">
      <c r="A42" s="939"/>
      <c r="B42" s="1007"/>
      <c r="C42" s="953"/>
      <c r="D42" s="993"/>
      <c r="E42" s="925" t="s">
        <v>1975</v>
      </c>
      <c r="F42" s="933">
        <f ca="1">INDIRECT("'数据-取费表'!v"&amp;$G$1)</f>
        <v>0</v>
      </c>
      <c r="G42" s="718"/>
      <c r="H42" s="1006"/>
      <c r="I42" s="1089"/>
      <c r="J42" s="1090"/>
      <c r="K42" s="1096"/>
      <c r="L42" s="1006"/>
      <c r="M42" s="1006"/>
    </row>
    <row r="43" spans="1:18" ht="18" customHeight="1">
      <c r="A43" s="978" t="s">
        <v>1977</v>
      </c>
      <c r="B43" s="1008" t="s">
        <v>1983</v>
      </c>
      <c r="C43" s="1009" t="e">
        <f ca="1">ROUND(C40*10000/F43,0)</f>
        <v>#DIV/0!</v>
      </c>
      <c r="D43" s="1010" t="s">
        <v>1984</v>
      </c>
      <c r="E43" s="1011" t="s">
        <v>1985</v>
      </c>
      <c r="F43" s="1012">
        <f ca="1">INDIRECT("'数据-取费表'!k"&amp;$G$1)</f>
        <v>0</v>
      </c>
      <c r="G43" s="718"/>
      <c r="H43" s="1006"/>
      <c r="I43" s="1006"/>
      <c r="J43" s="1006"/>
      <c r="K43" s="1096"/>
      <c r="L43" s="1006"/>
      <c r="M43" s="1006"/>
    </row>
    <row r="44" spans="1:18" s="718" customFormat="1" ht="18" customHeight="1">
      <c r="A44" s="1013"/>
      <c r="B44" s="1013"/>
      <c r="C44" s="1014"/>
      <c r="D44" s="1013"/>
      <c r="E44" s="1013"/>
      <c r="F44" s="1013"/>
      <c r="K44" s="1097"/>
    </row>
    <row r="45" spans="1:18" s="718" customFormat="1" ht="18" customHeight="1">
      <c r="A45" s="1013"/>
      <c r="B45" s="1013"/>
      <c r="C45" s="1014"/>
      <c r="D45" s="1013"/>
      <c r="E45" s="1013"/>
      <c r="F45" s="1013"/>
      <c r="J45" s="1098"/>
      <c r="O45" s="1099" t="s">
        <v>1988</v>
      </c>
      <c r="P45" s="1002"/>
      <c r="Q45" s="1002"/>
      <c r="R45" s="1002"/>
    </row>
    <row r="46" spans="1:18" s="718" customFormat="1">
      <c r="A46" s="1015" t="s">
        <v>1989</v>
      </c>
      <c r="C46" s="1016" t="e">
        <f ca="1">C68-C40</f>
        <v>#DIV/0!</v>
      </c>
      <c r="D46" s="1017" t="str">
        <f>C2</f>
        <v>万元</v>
      </c>
      <c r="E46" s="1013"/>
      <c r="F46" s="1013"/>
      <c r="I46" s="1100" t="s">
        <v>1990</v>
      </c>
      <c r="J46" s="1101"/>
      <c r="K46" s="1102"/>
      <c r="L46" s="1103">
        <f ca="1">IF(M47="住宅",0,IF(L48&gt;J51,L60,J60))</f>
        <v>0</v>
      </c>
      <c r="O46" s="1104" t="s">
        <v>1991</v>
      </c>
      <c r="P46" s="1105" t="s">
        <v>1992</v>
      </c>
      <c r="Q46" s="1149" t="s">
        <v>1993</v>
      </c>
      <c r="R46" s="1149" t="s">
        <v>1994</v>
      </c>
    </row>
    <row r="47" spans="1:18" s="718" customFormat="1">
      <c r="A47" s="1018" t="s">
        <v>1891</v>
      </c>
      <c r="B47" s="1019" t="s">
        <v>1892</v>
      </c>
      <c r="C47" s="1020" t="s">
        <v>1893</v>
      </c>
      <c r="D47" s="1019" t="s">
        <v>1894</v>
      </c>
      <c r="E47" s="1021" t="s">
        <v>1895</v>
      </c>
      <c r="F47" s="1022"/>
      <c r="G47" s="1023"/>
      <c r="I47" s="1106" t="s">
        <v>1995</v>
      </c>
      <c r="J47" s="1107" t="s">
        <v>1697</v>
      </c>
      <c r="K47" s="1108" t="s">
        <v>1996</v>
      </c>
      <c r="L47" s="1109">
        <f ca="1">INDIRECT("'数据-取费表'!d"&amp;$G$1)</f>
        <v>0</v>
      </c>
      <c r="M47" s="1110" t="str">
        <f>IF(ISNUMBER(FIND("住宅",C1)),"住宅","非住宅")</f>
        <v>非住宅</v>
      </c>
      <c r="O47" s="1111" t="s">
        <v>1753</v>
      </c>
      <c r="P47" s="1112" t="s">
        <v>1997</v>
      </c>
      <c r="Q47" s="1150" t="e">
        <f ca="1">C40+J29</f>
        <v>#DIV/0!</v>
      </c>
      <c r="R47" s="1150" t="s">
        <v>1998</v>
      </c>
    </row>
    <row r="48" spans="1:18" s="718" customFormat="1" ht="27.75">
      <c r="A48" s="1024" t="s">
        <v>1999</v>
      </c>
      <c r="B48" s="917" t="s">
        <v>1896</v>
      </c>
      <c r="C48" s="1025">
        <f ca="1">C49+C53+C55</f>
        <v>0</v>
      </c>
      <c r="D48" s="1026"/>
      <c r="E48" s="1027"/>
      <c r="F48" s="1028"/>
      <c r="G48" s="1023"/>
      <c r="H48" s="1029"/>
      <c r="I48" s="1113" t="s">
        <v>2000</v>
      </c>
      <c r="J48" s="1114" t="s">
        <v>2338</v>
      </c>
      <c r="K48" s="1115" t="s">
        <v>2001</v>
      </c>
      <c r="L48" s="1116">
        <f ca="1">INDIRECT("'数据-取费表'!f"&amp;$G$1)</f>
        <v>0</v>
      </c>
      <c r="O48" s="1111" t="s">
        <v>1755</v>
      </c>
      <c r="P48" s="1112" t="s">
        <v>2002</v>
      </c>
      <c r="Q48" s="1150">
        <f ca="1">J60</f>
        <v>0</v>
      </c>
      <c r="R48" s="1150" t="s">
        <v>2003</v>
      </c>
    </row>
    <row r="49" spans="1:18" s="718" customFormat="1">
      <c r="A49" s="1030" t="s">
        <v>2004</v>
      </c>
      <c r="B49" s="1031" t="s">
        <v>2005</v>
      </c>
      <c r="C49" s="1032">
        <f ca="1">ROUND(F49*F51*F50*(1-F52)/10000,0)</f>
        <v>0</v>
      </c>
      <c r="D49" s="1033" t="s">
        <v>2335</v>
      </c>
      <c r="E49" s="1034" t="s">
        <v>2007</v>
      </c>
      <c r="F49" s="1035"/>
      <c r="H49" s="1029"/>
      <c r="I49" s="1113" t="s">
        <v>2008</v>
      </c>
      <c r="J49" s="1117">
        <v>2000</v>
      </c>
      <c r="K49" s="1115" t="s">
        <v>2009</v>
      </c>
      <c r="L49" s="1118"/>
      <c r="O49" s="1119" t="s">
        <v>2010</v>
      </c>
      <c r="P49" s="1112" t="s">
        <v>2011</v>
      </c>
      <c r="Q49" s="1150">
        <f ca="1">C29</f>
        <v>0</v>
      </c>
      <c r="R49" s="1150" t="s">
        <v>1998</v>
      </c>
    </row>
    <row r="50" spans="1:18" s="718" customFormat="1">
      <c r="A50" s="1036"/>
      <c r="B50" s="1037"/>
      <c r="C50" s="1038"/>
      <c r="D50" s="1039"/>
      <c r="E50" s="1040" t="s">
        <v>1902</v>
      </c>
      <c r="F50" s="1041">
        <f ca="1">F7</f>
        <v>0</v>
      </c>
      <c r="H50" s="1029"/>
      <c r="I50" s="1113" t="s">
        <v>2012</v>
      </c>
      <c r="J50" s="1120">
        <f>SUMPRODUCT((I63:I65=J47)*(J62:L62=J48)*(J63:L65))</f>
        <v>60</v>
      </c>
      <c r="K50" s="1115" t="s">
        <v>2013</v>
      </c>
      <c r="L50" s="1118"/>
      <c r="M50" s="1121"/>
      <c r="O50" s="1119" t="s">
        <v>2014</v>
      </c>
      <c r="P50" s="1112" t="s">
        <v>2015</v>
      </c>
      <c r="Q50" s="1151">
        <f ca="1">J58</f>
        <v>0.58299999999999996</v>
      </c>
      <c r="R50" s="1150"/>
    </row>
    <row r="51" spans="1:18" s="718" customFormat="1">
      <c r="A51" s="1042"/>
      <c r="B51" s="1037"/>
      <c r="C51" s="1043"/>
      <c r="D51" s="1039"/>
      <c r="E51" s="1044" t="s">
        <v>1903</v>
      </c>
      <c r="F51" s="926">
        <f ca="1">F8</f>
        <v>0</v>
      </c>
      <c r="I51" s="1122" t="s">
        <v>2016</v>
      </c>
      <c r="J51" s="1116">
        <f>IF(J49="",J50,J49+J50-YEAR('数据-取费表'!B2))</f>
        <v>35</v>
      </c>
      <c r="K51" s="1123" t="s">
        <v>2017</v>
      </c>
      <c r="L51" s="1124">
        <f ca="1">ROUND(-PV(INDIRECT("'数据-取费表'!h"&amp;$G$1),J51,(C39-C13*C76),0),0)</f>
        <v>0</v>
      </c>
      <c r="M51" s="1125"/>
      <c r="O51" s="1119" t="s">
        <v>2018</v>
      </c>
      <c r="P51" s="1112" t="s">
        <v>2019</v>
      </c>
      <c r="Q51" s="1151">
        <f>J52</f>
        <v>0.08</v>
      </c>
      <c r="R51" s="1150"/>
    </row>
    <row r="52" spans="1:18" s="718" customFormat="1">
      <c r="A52" s="1042"/>
      <c r="B52" s="1037"/>
      <c r="C52" s="1043"/>
      <c r="D52" s="1039"/>
      <c r="E52" s="1044" t="s">
        <v>1904</v>
      </c>
      <c r="F52" s="1045"/>
      <c r="I52" s="1126" t="s">
        <v>2020</v>
      </c>
      <c r="J52" s="1127">
        <v>0.08</v>
      </c>
      <c r="K52" s="1126" t="s">
        <v>2021</v>
      </c>
      <c r="L52" s="1127"/>
      <c r="O52" s="1119" t="s">
        <v>2022</v>
      </c>
      <c r="P52" s="1112" t="s">
        <v>2023</v>
      </c>
      <c r="Q52" s="1150">
        <f ca="1">J53</f>
        <v>0</v>
      </c>
      <c r="R52" s="1150" t="s">
        <v>2024</v>
      </c>
    </row>
    <row r="53" spans="1:18" s="718" customFormat="1" ht="24">
      <c r="A53" s="1046" t="s">
        <v>2025</v>
      </c>
      <c r="B53" s="1047" t="s">
        <v>1905</v>
      </c>
      <c r="C53" s="935">
        <f ca="1">ROUND(IF(F53="押一",C49/12*F11,IF(F53="押二",C49/12*2*F11,IF(F53="押三",C49/12*3*F11,C54*F11))),0)</f>
        <v>0</v>
      </c>
      <c r="D53" s="936" t="s">
        <v>1906</v>
      </c>
      <c r="E53" s="937" t="s">
        <v>1907</v>
      </c>
      <c r="F53" s="938"/>
      <c r="I53" s="1128" t="s">
        <v>2027</v>
      </c>
      <c r="J53" s="1129">
        <f ca="1">IF(M47="住宅",IF(D1="——",MAX(J51,L48),MAX(J51,L48-'数据-取费表'!B24)),IF(D1="——",MIN(J51,L48),MIN(J51,L48-'数据-取费表'!B24)))</f>
        <v>0</v>
      </c>
      <c r="K53" s="3481" t="s">
        <v>2028</v>
      </c>
      <c r="L53" s="3482"/>
      <c r="O53" s="1111" t="s">
        <v>1846</v>
      </c>
      <c r="P53" s="1112" t="s">
        <v>2029</v>
      </c>
      <c r="Q53" s="1150" t="e">
        <f ca="1">Q47+Q48</f>
        <v>#DIV/0!</v>
      </c>
      <c r="R53" s="1150" t="s">
        <v>2030</v>
      </c>
    </row>
    <row r="54" spans="1:18" s="718" customFormat="1">
      <c r="A54" s="1048"/>
      <c r="B54" s="940" t="s">
        <v>2337</v>
      </c>
      <c r="C54" s="941"/>
      <c r="D54" s="936"/>
      <c r="E54" s="1049"/>
      <c r="F54" s="1050"/>
      <c r="I54" s="11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1"/>
      <c r="K54" s="1131"/>
      <c r="L54" s="1131"/>
      <c r="O54" s="1132" t="s">
        <v>2031</v>
      </c>
      <c r="P54" s="904"/>
      <c r="Q54" s="904"/>
      <c r="R54" s="904"/>
    </row>
    <row r="55" spans="1:18" s="718" customFormat="1">
      <c r="A55" s="945" t="s">
        <v>991</v>
      </c>
      <c r="B55" s="946" t="s">
        <v>1912</v>
      </c>
      <c r="C55" s="947"/>
      <c r="D55" s="936"/>
      <c r="E55" s="1049"/>
      <c r="F55" s="1050"/>
      <c r="I55" s="1133" t="s">
        <v>2032</v>
      </c>
      <c r="J55" s="1134">
        <f ca="1">ROUND(IF(J47="钢混",J57/J50,1-(1-2%)*(J50-J57)/J50),3)</f>
        <v>0.58299999999999996</v>
      </c>
      <c r="K55" s="1135" t="s">
        <v>2033</v>
      </c>
      <c r="L55" s="1136"/>
      <c r="O55" s="1104" t="s">
        <v>1991</v>
      </c>
      <c r="P55" s="1105" t="s">
        <v>1992</v>
      </c>
      <c r="Q55" s="1149" t="s">
        <v>1993</v>
      </c>
      <c r="R55" s="1149" t="s">
        <v>1994</v>
      </c>
    </row>
    <row r="56" spans="1:18" s="718" customFormat="1" ht="24">
      <c r="A56" s="1051">
        <v>2</v>
      </c>
      <c r="B56" s="1052" t="s">
        <v>1913</v>
      </c>
      <c r="C56" s="376">
        <f ca="1">C13</f>
        <v>0</v>
      </c>
      <c r="D56" s="1053"/>
      <c r="E56" s="1054"/>
      <c r="F56" s="1050"/>
      <c r="I56" s="1137" t="s">
        <v>2034</v>
      </c>
      <c r="J56" s="1138" t="s">
        <v>518</v>
      </c>
      <c r="K56" s="1113" t="s">
        <v>2035</v>
      </c>
      <c r="L56" s="1116" t="str">
        <f ca="1">IF(L48&lt;J51,"——",L48-J53)</f>
        <v>——</v>
      </c>
      <c r="O56" s="1111" t="s">
        <v>1753</v>
      </c>
      <c r="P56" s="1112" t="s">
        <v>1997</v>
      </c>
      <c r="Q56" s="1150" t="e">
        <f ca="1">C40+J29</f>
        <v>#DIV/0!</v>
      </c>
      <c r="R56" s="1150" t="s">
        <v>1998</v>
      </c>
    </row>
    <row r="57" spans="1:18" s="718" customFormat="1" ht="24">
      <c r="A57" s="1055"/>
      <c r="B57" s="1056" t="s">
        <v>1976</v>
      </c>
      <c r="C57" s="386">
        <f ca="1">C29</f>
        <v>0</v>
      </c>
      <c r="D57" s="1057"/>
      <c r="E57" s="1058"/>
      <c r="F57" s="1059"/>
      <c r="I57" s="1139" t="s">
        <v>2036</v>
      </c>
      <c r="J57" s="1140">
        <f ca="1">IF(OR(M47="住宅",J51&lt;L48,J56="是"),"——",J51-L48)</f>
        <v>35</v>
      </c>
      <c r="K57" s="1113" t="s">
        <v>2339</v>
      </c>
      <c r="L57" s="1116" t="str">
        <f ca="1">IF(L48&lt;J51,"——",IF(L55="比较法",L49,IF(L55="基准地价",L50,L51)))</f>
        <v>——</v>
      </c>
      <c r="O57" s="1111" t="s">
        <v>1755</v>
      </c>
      <c r="P57" s="1112" t="s">
        <v>2038</v>
      </c>
      <c r="Q57" s="1150">
        <f ca="1">L60</f>
        <v>0</v>
      </c>
      <c r="R57" s="1150" t="s">
        <v>2039</v>
      </c>
    </row>
    <row r="58" spans="1:18" s="718" customFormat="1" ht="24">
      <c r="A58" s="1060" t="s">
        <v>1921</v>
      </c>
      <c r="B58" s="1052" t="s">
        <v>1922</v>
      </c>
      <c r="C58" s="935">
        <f ca="1">ROUND(C59+C64+C65+C66,0)</f>
        <v>0</v>
      </c>
      <c r="D58" s="1061" t="s">
        <v>1923</v>
      </c>
      <c r="E58" s="1062"/>
      <c r="F58" s="1028"/>
      <c r="I58" s="1139" t="s">
        <v>2040</v>
      </c>
      <c r="J58" s="1141">
        <f ca="1">IF(J55&lt;0.4,0.4,J55)</f>
        <v>0.58299999999999996</v>
      </c>
      <c r="K58" s="1123" t="s">
        <v>2340</v>
      </c>
      <c r="L58" s="1116" t="e">
        <f ca="1">ROUND(POWER(1+L52,L47-L48)*(POWER(1+L52,L48)-1)/(POWER(1+L52,L47)-1),4)</f>
        <v>#DIV/0!</v>
      </c>
      <c r="O58" s="1119" t="s">
        <v>2010</v>
      </c>
      <c r="P58" s="1112" t="s">
        <v>2042</v>
      </c>
      <c r="Q58" s="1150">
        <f>IF(L55="比较法",L49,IF(L55="基准地价",L50,0))</f>
        <v>0</v>
      </c>
      <c r="R58" s="1150" t="s">
        <v>1998</v>
      </c>
    </row>
    <row r="59" spans="1:18" s="718" customFormat="1" ht="24">
      <c r="A59" s="956" t="s">
        <v>942</v>
      </c>
      <c r="B59" s="1056" t="s">
        <v>1928</v>
      </c>
      <c r="C59" s="982">
        <f ca="1">ROUND(IF(AND(项目基本情况!B11="自然人",项目基本情况!B10="北京市"),C49*F59/(1+'数据-取费表'!C42),C60+C61+C62),0)</f>
        <v>0</v>
      </c>
      <c r="D59" s="1063" t="s">
        <v>1929</v>
      </c>
      <c r="E59" s="1064" t="s">
        <v>1930</v>
      </c>
      <c r="F59" s="984" t="str">
        <f>IF(项目基本情况!B11="企业","——",IF('数据-取费表'!B10="住宅",IF(F49*F50*F51/12/(1+'数据-取费表'!F30)&gt;100000,4%,2.5%),IF(F49*F50*F51/12/(1+'数据-取费表'!F30)&gt;100000,12%,7%)))</f>
        <v>——</v>
      </c>
      <c r="I59" s="1139" t="s">
        <v>2043</v>
      </c>
      <c r="J59" s="1140">
        <f ca="1">IF(OR(M47="住宅",J51&lt;L48,J56="是"),"——",ROUND(C29*J58,0))</f>
        <v>0</v>
      </c>
      <c r="K59" s="11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6" t="e">
        <f ca="1">ROUND(IF(D1="在建（套用方法）",M59,IF(D1="土地（套用方法）",N59,POWER(1+L52,L47-J51)*(POWER(1+L52,J51)-1)/(POWER(1+L52,L47)-1))),4)</f>
        <v>#DIV/0!</v>
      </c>
      <c r="M59" s="1110" t="e">
        <f ca="1">ROUND(POWER(1+L52,L47-(J51+'数据-取费表'!B24))*(POWER(1+L52,(J51+'数据-取费表'!B24))-1)/(POWER(1+L52,L47)-1),4)</f>
        <v>#DIV/0!</v>
      </c>
      <c r="N59" s="1110" t="e">
        <f ca="1">ROUND(POWER(1+L52,L47-(J51+'数据-取费表'!B20))*(POWER(1+L52,(J51+'数据-取费表'!B20))-1)/(POWER(1+L52,L47)-1),4)</f>
        <v>#DIV/0!</v>
      </c>
      <c r="O59" s="1119" t="s">
        <v>2014</v>
      </c>
      <c r="P59" s="1112" t="s">
        <v>2044</v>
      </c>
      <c r="Q59" s="1151">
        <f>L52</f>
        <v>0</v>
      </c>
      <c r="R59" s="1150"/>
    </row>
    <row r="60" spans="1:18" s="718" customFormat="1" ht="15.75">
      <c r="A60" s="956" t="s">
        <v>965</v>
      </c>
      <c r="B60" s="1056" t="s">
        <v>1932</v>
      </c>
      <c r="C60" s="961">
        <f ca="1">IF(项目基本情况!B11="自然人","——",ROUND(C48*F60/(1+'数据-取费表'!C42),2))</f>
        <v>0</v>
      </c>
      <c r="D60" s="1064" t="s">
        <v>1933</v>
      </c>
      <c r="E60" s="1056" t="s">
        <v>1920</v>
      </c>
      <c r="F60" s="974">
        <f t="shared" ref="F60:F66" si="0">F32</f>
        <v>5.6000000000000001E-2</v>
      </c>
      <c r="I60" s="1142" t="s">
        <v>2045</v>
      </c>
      <c r="J60" s="1143">
        <f ca="1">IF(OR(M47="住宅",J51&lt;L48,J56="是"),"0",ROUND(J59/(1+J52)^J53,0))</f>
        <v>0</v>
      </c>
      <c r="K60" s="1144" t="s">
        <v>2046</v>
      </c>
      <c r="L60" s="1143">
        <f ca="1">IF(OR(M47="住宅",L48&lt;J51),0,ROUND(L57*(L58/L59-1),0))</f>
        <v>0</v>
      </c>
      <c r="O60" s="1119" t="s">
        <v>2018</v>
      </c>
      <c r="P60" s="1112" t="s">
        <v>2047</v>
      </c>
      <c r="Q60" s="1150" t="e">
        <f ca="1">L58</f>
        <v>#DIV/0!</v>
      </c>
      <c r="R60" s="1150" t="s">
        <v>2048</v>
      </c>
    </row>
    <row r="61" spans="1:18" s="718" customFormat="1">
      <c r="A61" s="956" t="s">
        <v>969</v>
      </c>
      <c r="B61" s="1056" t="s">
        <v>1936</v>
      </c>
      <c r="C61" s="961">
        <f ca="1">IF(项目基本情况!B11="自然人","——",IF(D61="按租金收入计税",ROUND(C49*F61/(1+'数据-取费表'!C42),2),IF(D61="按房产原值计税",ROUND(C57*F61*0.7,2),INDIRECT("'数据-取费表'!Aj"&amp;$G$1))))</f>
        <v>0</v>
      </c>
      <c r="D61" s="986" t="s">
        <v>1937</v>
      </c>
      <c r="E61" s="1056" t="s">
        <v>1920</v>
      </c>
      <c r="F61" s="966">
        <f t="shared" si="0"/>
        <v>0.12</v>
      </c>
      <c r="I61" s="1002"/>
      <c r="J61" s="1002"/>
      <c r="K61" s="1002"/>
      <c r="L61" s="1002"/>
      <c r="O61" s="1119" t="s">
        <v>2022</v>
      </c>
      <c r="P61" s="1112" t="str">
        <f>K59</f>
        <v>建筑物剩余耐用年限下的土地年期修正系数Kn</v>
      </c>
      <c r="Q61" s="1150" t="e">
        <f ca="1">L59</f>
        <v>#DIV/0!</v>
      </c>
      <c r="R61" s="1150" t="s">
        <v>2049</v>
      </c>
    </row>
    <row r="62" spans="1:18" s="718" customFormat="1">
      <c r="A62" s="956" t="s">
        <v>972</v>
      </c>
      <c r="B62" s="1065" t="s">
        <v>1940</v>
      </c>
      <c r="C62" s="988">
        <f ca="1">IF(项目基本情况!B11="自然人","——",ROUND(F62*F63/10000,2))</f>
        <v>0</v>
      </c>
      <c r="D62" s="1066" t="s">
        <v>1941</v>
      </c>
      <c r="E62" s="1056" t="s">
        <v>1942</v>
      </c>
      <c r="F62" s="973">
        <f t="shared" si="0"/>
        <v>30</v>
      </c>
      <c r="I62" s="1145" t="s">
        <v>2050</v>
      </c>
      <c r="J62" s="1146" t="s">
        <v>2051</v>
      </c>
      <c r="K62" s="1146" t="s">
        <v>2052</v>
      </c>
      <c r="L62" s="1146" t="s">
        <v>2053</v>
      </c>
      <c r="M62" s="1147" t="s">
        <v>2054</v>
      </c>
      <c r="O62" s="1111" t="s">
        <v>1846</v>
      </c>
      <c r="P62" s="1112" t="s">
        <v>2029</v>
      </c>
      <c r="Q62" s="1150" t="e">
        <f ca="1">Q56+Q57</f>
        <v>#DIV/0!</v>
      </c>
      <c r="R62" s="1150" t="s">
        <v>2030</v>
      </c>
    </row>
    <row r="63" spans="1:18" s="718" customFormat="1">
      <c r="A63" s="971"/>
      <c r="B63" s="1067"/>
      <c r="C63" s="992"/>
      <c r="D63" s="1068"/>
      <c r="E63" s="1056" t="s">
        <v>1946</v>
      </c>
      <c r="F63" s="926">
        <f t="shared" ca="1" si="0"/>
        <v>0</v>
      </c>
      <c r="I63" s="1145" t="s">
        <v>2055</v>
      </c>
      <c r="J63" s="1146">
        <v>70</v>
      </c>
      <c r="K63" s="1146">
        <v>50</v>
      </c>
      <c r="L63" s="1146">
        <v>80</v>
      </c>
      <c r="M63" s="1148">
        <v>0.02</v>
      </c>
      <c r="O63" s="1132" t="s">
        <v>2056</v>
      </c>
      <c r="P63" s="904"/>
      <c r="Q63" s="904"/>
      <c r="R63" s="904"/>
    </row>
    <row r="64" spans="1:18" s="718" customFormat="1">
      <c r="A64" s="956" t="s">
        <v>946</v>
      </c>
      <c r="B64" s="1056" t="s">
        <v>1948</v>
      </c>
      <c r="C64" s="961">
        <f ca="1">ROUND(C57*F64,2)</f>
        <v>0</v>
      </c>
      <c r="D64" s="1064" t="s">
        <v>1981</v>
      </c>
      <c r="E64" s="1056" t="s">
        <v>1920</v>
      </c>
      <c r="F64" s="995">
        <f t="shared" ca="1" si="0"/>
        <v>0</v>
      </c>
      <c r="I64" s="1145" t="s">
        <v>2057</v>
      </c>
      <c r="J64" s="1146">
        <v>50</v>
      </c>
      <c r="K64" s="1146">
        <v>35</v>
      </c>
      <c r="L64" s="1146">
        <v>60</v>
      </c>
      <c r="M64" s="1147">
        <v>0</v>
      </c>
      <c r="O64" s="1104" t="s">
        <v>1991</v>
      </c>
      <c r="P64" s="1105" t="s">
        <v>1992</v>
      </c>
      <c r="Q64" s="1149" t="s">
        <v>1993</v>
      </c>
      <c r="R64" s="1149" t="s">
        <v>1994</v>
      </c>
    </row>
    <row r="65" spans="1:18" s="718" customFormat="1">
      <c r="A65" s="956" t="s">
        <v>991</v>
      </c>
      <c r="B65" s="1056" t="s">
        <v>1952</v>
      </c>
      <c r="C65" s="961">
        <f ca="1">ROUND(C56*F65,2)</f>
        <v>0</v>
      </c>
      <c r="D65" s="1064" t="s">
        <v>1953</v>
      </c>
      <c r="E65" s="1056" t="s">
        <v>1920</v>
      </c>
      <c r="F65" s="996">
        <f t="shared" ca="1" si="0"/>
        <v>0</v>
      </c>
      <c r="I65" s="1145" t="s">
        <v>2058</v>
      </c>
      <c r="J65" s="1146">
        <v>40</v>
      </c>
      <c r="K65" s="1146">
        <v>30</v>
      </c>
      <c r="L65" s="1146">
        <v>50</v>
      </c>
      <c r="M65" s="1148">
        <v>0.02</v>
      </c>
      <c r="O65" s="1111" t="s">
        <v>1753</v>
      </c>
      <c r="P65" s="1112" t="s">
        <v>1997</v>
      </c>
      <c r="Q65" s="1150" t="e">
        <f ca="1">C40+J29</f>
        <v>#DIV/0!</v>
      </c>
      <c r="R65" s="1150" t="s">
        <v>1998</v>
      </c>
    </row>
    <row r="66" spans="1:18" s="718" customFormat="1" ht="15.75">
      <c r="A66" s="956" t="s">
        <v>994</v>
      </c>
      <c r="B66" s="1056" t="s">
        <v>1938</v>
      </c>
      <c r="C66" s="961">
        <f ca="1">ROUND(C48*F66,2)</f>
        <v>0</v>
      </c>
      <c r="D66" s="1064" t="s">
        <v>1956</v>
      </c>
      <c r="E66" s="1056" t="s">
        <v>1920</v>
      </c>
      <c r="F66" s="933">
        <f t="shared" ca="1" si="0"/>
        <v>0</v>
      </c>
      <c r="O66" s="1111" t="s">
        <v>1755</v>
      </c>
      <c r="P66" s="1112" t="s">
        <v>2038</v>
      </c>
      <c r="Q66" s="1150">
        <f ca="1">L60</f>
        <v>0</v>
      </c>
      <c r="R66" s="1150" t="s">
        <v>2039</v>
      </c>
    </row>
    <row r="67" spans="1:18" s="718" customFormat="1" ht="15.75">
      <c r="A67" s="1051" t="s">
        <v>1959</v>
      </c>
      <c r="B67" s="1152" t="s">
        <v>1960</v>
      </c>
      <c r="C67" s="935">
        <f ca="1">C48-C58</f>
        <v>0</v>
      </c>
      <c r="D67" s="1063" t="s">
        <v>1961</v>
      </c>
      <c r="E67" s="1153"/>
      <c r="F67" s="1154"/>
      <c r="O67" s="1119" t="s">
        <v>2010</v>
      </c>
      <c r="P67" s="1112" t="s">
        <v>2042</v>
      </c>
      <c r="Q67" s="1174">
        <f ca="1">L51</f>
        <v>0</v>
      </c>
      <c r="R67" s="1150" t="s">
        <v>2059</v>
      </c>
    </row>
    <row r="68" spans="1:18" s="718" customFormat="1" ht="15.75">
      <c r="A68" s="1155" t="s">
        <v>1965</v>
      </c>
      <c r="B68" s="1156" t="s">
        <v>1982</v>
      </c>
      <c r="C68" s="1001" t="e">
        <f ca="1">ROUND(C67*(1-((1+F70)/(1+F68))^F69)/(F68-F70),0)</f>
        <v>#DIV/0!</v>
      </c>
      <c r="D68" s="1066" t="s">
        <v>1967</v>
      </c>
      <c r="E68" s="1056" t="s">
        <v>1968</v>
      </c>
      <c r="F68" s="933">
        <f ca="1">F40</f>
        <v>0</v>
      </c>
      <c r="O68" s="1119" t="s">
        <v>2014</v>
      </c>
      <c r="P68" s="1173" t="s">
        <v>2060</v>
      </c>
      <c r="Q68" s="1150">
        <f ca="1">ROUND(Q69-Q70*Q71,0)</f>
        <v>0</v>
      </c>
      <c r="R68" s="1150" t="s">
        <v>2061</v>
      </c>
    </row>
    <row r="69" spans="1:18" s="718" customFormat="1">
      <c r="A69" s="1157"/>
      <c r="B69" s="1158"/>
      <c r="C69" s="932"/>
      <c r="D69" s="1159" t="s">
        <v>1971</v>
      </c>
      <c r="E69" s="1056" t="s">
        <v>1972</v>
      </c>
      <c r="F69" s="1005">
        <f ca="1">F41</f>
        <v>0</v>
      </c>
      <c r="O69" s="1119" t="s">
        <v>2062</v>
      </c>
      <c r="P69" s="1173" t="s">
        <v>2063</v>
      </c>
      <c r="Q69" s="1150">
        <f ca="1">C39</f>
        <v>0</v>
      </c>
      <c r="R69" s="1150" t="s">
        <v>1998</v>
      </c>
    </row>
    <row r="70" spans="1:18" s="718" customFormat="1">
      <c r="A70" s="1160"/>
      <c r="B70" s="1161"/>
      <c r="C70" s="953"/>
      <c r="D70" s="1068"/>
      <c r="E70" s="1056" t="s">
        <v>1975</v>
      </c>
      <c r="F70" s="1045"/>
      <c r="O70" s="1119" t="s">
        <v>2064</v>
      </c>
      <c r="P70" s="1173" t="s">
        <v>2065</v>
      </c>
      <c r="Q70" s="1150">
        <f ca="1">C13</f>
        <v>0</v>
      </c>
      <c r="R70" s="1150" t="s">
        <v>1998</v>
      </c>
    </row>
    <row r="71" spans="1:18" s="718" customFormat="1">
      <c r="A71" s="1162" t="s">
        <v>1977</v>
      </c>
      <c r="B71" s="1163" t="s">
        <v>1983</v>
      </c>
      <c r="C71" s="1009" t="e">
        <f ca="1">ROUND(C68*10000/F71,0)</f>
        <v>#DIV/0!</v>
      </c>
      <c r="D71" s="1164" t="s">
        <v>1984</v>
      </c>
      <c r="E71" s="1165" t="s">
        <v>1985</v>
      </c>
      <c r="F71" s="1012">
        <f ca="1">F43</f>
        <v>0</v>
      </c>
      <c r="O71" s="1119" t="s">
        <v>2066</v>
      </c>
      <c r="P71" s="1173" t="s">
        <v>2067</v>
      </c>
      <c r="Q71" s="1151">
        <f ca="1">C76</f>
        <v>0</v>
      </c>
      <c r="R71" s="1150"/>
    </row>
    <row r="72" spans="1:18" s="718" customFormat="1">
      <c r="B72" s="1098"/>
      <c r="C72" s="1098"/>
      <c r="O72" s="1119" t="s">
        <v>2018</v>
      </c>
      <c r="P72" s="1112" t="s">
        <v>2044</v>
      </c>
      <c r="Q72" s="1151">
        <f>L52</f>
        <v>0</v>
      </c>
      <c r="R72" s="1150"/>
    </row>
    <row r="73" spans="1:18" ht="15.75">
      <c r="A73" s="718"/>
      <c r="B73" s="1098"/>
      <c r="C73" s="1098"/>
      <c r="D73" s="718"/>
      <c r="E73" s="718"/>
      <c r="F73" s="718"/>
      <c r="O73" s="1119" t="s">
        <v>2022</v>
      </c>
      <c r="P73" s="1112" t="s">
        <v>2047</v>
      </c>
      <c r="Q73" s="1150" t="e">
        <f ca="1">L58</f>
        <v>#DIV/0!</v>
      </c>
      <c r="R73" s="1150" t="s">
        <v>2048</v>
      </c>
    </row>
    <row r="74" spans="1:18">
      <c r="A74" s="718"/>
      <c r="B74" s="418" t="s">
        <v>2068</v>
      </c>
      <c r="C74" s="1166"/>
      <c r="D74" s="718"/>
      <c r="E74" s="718"/>
      <c r="F74" s="718"/>
      <c r="O74" s="1119" t="s">
        <v>2069</v>
      </c>
      <c r="P74" s="1112" t="str">
        <f>K59</f>
        <v>建筑物剩余耐用年限下的土地年期修正系数Kn</v>
      </c>
      <c r="Q74" s="1150" t="e">
        <f ca="1">L59</f>
        <v>#DIV/0!</v>
      </c>
      <c r="R74" s="1150" t="s">
        <v>2049</v>
      </c>
    </row>
    <row r="75" spans="1:18">
      <c r="A75" s="718"/>
      <c r="B75" s="1167" t="s">
        <v>2070</v>
      </c>
      <c r="C75" s="1168">
        <f ca="1">ROUND(C13*C76,0)</f>
        <v>0</v>
      </c>
      <c r="D75" s="718"/>
      <c r="E75" s="718"/>
      <c r="F75" s="718"/>
      <c r="K75" s="1097"/>
      <c r="L75" s="718"/>
      <c r="O75" s="1111" t="s">
        <v>1846</v>
      </c>
      <c r="P75" s="1112" t="s">
        <v>2029</v>
      </c>
      <c r="Q75" s="1150" t="e">
        <f ca="1">Q65+Q66</f>
        <v>#DIV/0!</v>
      </c>
      <c r="R75" s="1150" t="s">
        <v>2030</v>
      </c>
    </row>
    <row r="76" spans="1:18">
      <c r="B76" s="510" t="s">
        <v>2071</v>
      </c>
      <c r="C76" s="1169">
        <f ca="1">INDIRECT("'数据-取费表'!j"&amp;$G$1)</f>
        <v>0</v>
      </c>
      <c r="I76" s="718"/>
      <c r="J76" s="718"/>
      <c r="K76" s="1097"/>
      <c r="L76" s="718"/>
    </row>
    <row r="77" spans="1:18">
      <c r="B77" s="1170" t="s">
        <v>2072</v>
      </c>
      <c r="C77" s="1171"/>
      <c r="I77" s="718"/>
      <c r="J77" s="718"/>
      <c r="K77" s="1097"/>
      <c r="L77" s="718"/>
    </row>
    <row r="78" spans="1:18">
      <c r="B78" s="416" t="s">
        <v>2073</v>
      </c>
      <c r="C78" s="1172"/>
    </row>
    <row r="79" spans="1:18">
      <c r="B79" s="1167" t="s">
        <v>2074</v>
      </c>
      <c r="C79" s="419" t="e">
        <f ca="1">1-C80</f>
        <v>#DIV/0!</v>
      </c>
    </row>
    <row r="80" spans="1:18">
      <c r="B80" s="1167" t="s">
        <v>2075</v>
      </c>
      <c r="C80" s="419" t="e">
        <f ca="1">ROUND(C75/C39,3)</f>
        <v>#DIV/0!</v>
      </c>
    </row>
    <row r="81" spans="2:3">
      <c r="B81" s="416" t="s">
        <v>2076</v>
      </c>
      <c r="C81" s="386"/>
    </row>
    <row r="82" spans="2:3">
      <c r="B82" s="418" t="s">
        <v>1828</v>
      </c>
      <c r="C82" s="420" t="e">
        <f ca="1">1-C83</f>
        <v>#DIV/0!</v>
      </c>
    </row>
    <row r="83" spans="2:3">
      <c r="B83" s="418" t="s">
        <v>1829</v>
      </c>
      <c r="C83" s="419"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pageSetUpPr fitToPage="1"/>
  </sheetPr>
  <dimension ref="A1:K57"/>
  <sheetViews>
    <sheetView view="pageBreakPreview" zoomScale="70" zoomScaleNormal="70" workbookViewId="0">
      <selection activeCell="K59" sqref="K59"/>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11" s="331" customFormat="1" ht="20.25">
      <c r="A1" s="339" t="s">
        <v>1739</v>
      </c>
      <c r="B1" s="880"/>
      <c r="C1" s="341"/>
      <c r="D1" s="341"/>
      <c r="E1" s="341"/>
      <c r="F1" s="341"/>
      <c r="G1" s="881">
        <f>MATCH(B1,'数据-取费表'!A6:A16,0)+5</f>
        <v>8</v>
      </c>
    </row>
    <row r="2" spans="1:11" s="331" customFormat="1" ht="18" customHeight="1">
      <c r="A2" s="343" t="s">
        <v>1648</v>
      </c>
      <c r="B2" s="344">
        <f ca="1">IF(D2="——",C52,C52-E2)</f>
        <v>251429</v>
      </c>
      <c r="C2" s="342" t="s">
        <v>1649</v>
      </c>
      <c r="D2" s="882" t="s">
        <v>124</v>
      </c>
      <c r="E2" s="883" t="e">
        <f ca="1">SUMIF(INDIRECT("'"&amp;G2&amp;"'"&amp;"!A:A"),"承租人权益价值",INDIRECT("'"&amp;G2&amp;"'"&amp;"!c:c"))</f>
        <v>#REF!</v>
      </c>
      <c r="F2" s="884" t="s">
        <v>1649</v>
      </c>
      <c r="G2" s="885"/>
    </row>
    <row r="3" spans="1:11" s="331" customFormat="1" ht="18" customHeight="1">
      <c r="A3" s="346" t="s">
        <v>1650</v>
      </c>
      <c r="B3" s="347">
        <f ca="1">ROUND(B2*10000/(IF(B1="",'数据-汇总表'!E3,INDIRECT("'数据-取费表'!k"&amp;$G$1))),0)</f>
        <v>38550</v>
      </c>
      <c r="C3" s="342" t="s">
        <v>1741</v>
      </c>
      <c r="D3" s="342"/>
      <c r="E3" s="342"/>
      <c r="F3" s="342"/>
      <c r="G3" s="342"/>
    </row>
    <row r="4" spans="1:11" s="332" customFormat="1" ht="15.75">
      <c r="A4" s="348" t="s">
        <v>1742</v>
      </c>
      <c r="B4" s="349"/>
      <c r="C4" s="349"/>
      <c r="D4" s="349"/>
      <c r="E4" s="349"/>
      <c r="F4" s="349"/>
      <c r="G4" s="350"/>
    </row>
    <row r="5" spans="1:11" s="333" customFormat="1" ht="13.5" customHeight="1">
      <c r="A5" s="351" t="s">
        <v>1743</v>
      </c>
      <c r="B5" s="352" t="s">
        <v>1744</v>
      </c>
      <c r="C5" s="353">
        <f ca="1">C6+C7+C8</f>
        <v>152928</v>
      </c>
      <c r="D5" s="353" t="s">
        <v>1745</v>
      </c>
      <c r="E5" s="354" t="s">
        <v>1746</v>
      </c>
      <c r="F5" s="354" t="s">
        <v>937</v>
      </c>
      <c r="G5" s="355"/>
    </row>
    <row r="6" spans="1:11" s="333" customFormat="1" ht="13.5" customHeight="1">
      <c r="A6" s="356" t="s">
        <v>1747</v>
      </c>
      <c r="B6" s="357" t="s">
        <v>1748</v>
      </c>
      <c r="C6" s="358">
        <f>K6</f>
        <v>147136</v>
      </c>
      <c r="D6" s="359"/>
      <c r="E6" s="360"/>
      <c r="F6" s="360"/>
      <c r="G6" s="361"/>
      <c r="K6" s="333">
        <f>基准地价修正!E33+基准地价修正!I42</f>
        <v>147136</v>
      </c>
    </row>
    <row r="7" spans="1:11" s="333" customFormat="1" ht="13.5" customHeight="1">
      <c r="A7" s="356" t="s">
        <v>1749</v>
      </c>
      <c r="B7" s="357" t="s">
        <v>1750</v>
      </c>
      <c r="C7" s="362">
        <f>ROUND(C6*F7,0)</f>
        <v>4488</v>
      </c>
      <c r="D7" s="362"/>
      <c r="E7" s="360"/>
      <c r="F7" s="363">
        <f>IF(项目基本情况!B8="出让",0,'数据-取费表'!B48+'数据-取费表'!B49)</f>
        <v>3.0499999999999999E-2</v>
      </c>
      <c r="G7" s="361"/>
    </row>
    <row r="8" spans="1:11" s="334" customFormat="1">
      <c r="A8" s="356" t="s">
        <v>1751</v>
      </c>
      <c r="B8" s="357" t="s">
        <v>1752</v>
      </c>
      <c r="C8" s="362">
        <f ca="1">IF(G8="已包含在土地购买价格中","0",IF(B1="",'数据-取费表'!B29,IF(G9="全部缴纳",C9+C10,H9)))</f>
        <v>1304</v>
      </c>
      <c r="D8" s="364"/>
      <c r="E8" s="362"/>
      <c r="F8" s="363"/>
      <c r="G8" s="886" t="s">
        <v>2341</v>
      </c>
    </row>
    <row r="9" spans="1:11" s="333" customFormat="1" ht="13.5" customHeight="1">
      <c r="A9" s="366" t="s">
        <v>1753</v>
      </c>
      <c r="B9" s="367" t="s">
        <v>1754</v>
      </c>
      <c r="C9" s="368">
        <f ca="1">ROUND(D9*E9/10000,0)</f>
        <v>0</v>
      </c>
      <c r="D9" s="369">
        <f ca="1">IF(B1="",'数据-汇总表'!E5,IF(INDIRECT("'数据-取费表'!c"&amp;$G$1)="住宅",INDIRECT("'数据-取费表'!k"&amp;$G$1),0))</f>
        <v>0</v>
      </c>
      <c r="E9" s="368">
        <f>'数据-取费表'!B27</f>
        <v>160</v>
      </c>
      <c r="F9" s="363"/>
      <c r="G9" s="887" t="s">
        <v>2342</v>
      </c>
      <c r="H9" s="888"/>
      <c r="I9" s="889" t="s">
        <v>2343</v>
      </c>
    </row>
    <row r="10" spans="1:11" s="333" customFormat="1" ht="13.5" customHeight="1">
      <c r="A10" s="366" t="s">
        <v>1755</v>
      </c>
      <c r="B10" s="367" t="s">
        <v>1756</v>
      </c>
      <c r="C10" s="368">
        <f ca="1">ROUND(D10*E10/10000,0)</f>
        <v>1304</v>
      </c>
      <c r="D10" s="369">
        <f ca="1">IF(B1="",'数据-汇总表'!E6,IF(INDIRECT("'数据-取费表'!c"&amp;$G$1)="住宅",INDIRECT("'数据-取费表'!s"&amp;$G$1),INDIRECT("'数据-取费表'!k"&amp;$G$1)+INDIRECT("'数据-取费表'!s"&amp;$G$1)))</f>
        <v>65221.919999999998</v>
      </c>
      <c r="E10" s="368">
        <f>'数据-取费表'!B28</f>
        <v>200</v>
      </c>
      <c r="F10" s="363"/>
      <c r="G10" s="370"/>
    </row>
    <row r="11" spans="1:11" s="333" customFormat="1" ht="13.5" hidden="1" customHeight="1">
      <c r="A11" s="371" t="s">
        <v>1757</v>
      </c>
      <c r="B11" s="357" t="s">
        <v>1758</v>
      </c>
      <c r="C11" s="353"/>
      <c r="D11" s="360"/>
      <c r="E11" s="360"/>
      <c r="F11" s="360"/>
      <c r="G11" s="361"/>
    </row>
    <row r="12" spans="1:11" s="333" customFormat="1" ht="13.5" hidden="1" customHeight="1">
      <c r="A12" s="371" t="s">
        <v>1759</v>
      </c>
      <c r="B12" s="357" t="s">
        <v>973</v>
      </c>
      <c r="C12" s="353">
        <v>0</v>
      </c>
      <c r="D12" s="360"/>
      <c r="E12" s="372"/>
      <c r="F12" s="363">
        <v>3.0499999999999999E-2</v>
      </c>
      <c r="G12" s="361"/>
    </row>
    <row r="13" spans="1:11" s="333" customFormat="1" ht="13.5" hidden="1" customHeight="1">
      <c r="A13" s="371" t="s">
        <v>1760</v>
      </c>
      <c r="B13" s="357" t="s">
        <v>1761</v>
      </c>
      <c r="C13" s="353"/>
      <c r="D13" s="360"/>
      <c r="E13" s="360"/>
      <c r="F13" s="360"/>
      <c r="G13" s="361"/>
    </row>
    <row r="14" spans="1:11" s="333" customFormat="1" ht="13.5" hidden="1" customHeight="1">
      <c r="A14" s="371" t="s">
        <v>1762</v>
      </c>
      <c r="B14" s="357" t="s">
        <v>1752</v>
      </c>
      <c r="C14" s="353"/>
      <c r="D14" s="360"/>
      <c r="E14" s="360"/>
      <c r="F14" s="360"/>
      <c r="G14" s="361" t="s">
        <v>1763</v>
      </c>
    </row>
    <row r="15" spans="1:11" s="333" customFormat="1" ht="13.5" hidden="1" customHeight="1">
      <c r="A15" s="371" t="s">
        <v>1764</v>
      </c>
      <c r="B15" s="357" t="s">
        <v>1765</v>
      </c>
      <c r="C15" s="362"/>
      <c r="D15" s="360"/>
      <c r="E15" s="360"/>
      <c r="F15" s="360"/>
      <c r="G15" s="361" t="s">
        <v>1766</v>
      </c>
    </row>
    <row r="16" spans="1:11" s="333" customFormat="1" ht="13.5" hidden="1" customHeight="1">
      <c r="A16" s="371" t="s">
        <v>1767</v>
      </c>
      <c r="B16" s="357" t="s">
        <v>1752</v>
      </c>
      <c r="C16" s="362"/>
      <c r="D16" s="360"/>
      <c r="E16" s="360"/>
      <c r="F16" s="360"/>
      <c r="G16" s="361"/>
    </row>
    <row r="17" spans="1:7" s="333" customFormat="1" ht="13.5" hidden="1" customHeight="1">
      <c r="A17" s="371" t="s">
        <v>1768</v>
      </c>
      <c r="B17" s="357" t="s">
        <v>1769</v>
      </c>
      <c r="C17" s="373"/>
      <c r="D17" s="373"/>
      <c r="E17" s="373"/>
      <c r="F17" s="373"/>
      <c r="G17" s="361" t="s">
        <v>1766</v>
      </c>
    </row>
    <row r="18" spans="1:7" s="333" customFormat="1" ht="13.5" hidden="1" customHeight="1">
      <c r="A18" s="371" t="s">
        <v>1770</v>
      </c>
      <c r="B18" s="357" t="s">
        <v>1771</v>
      </c>
      <c r="C18" s="362">
        <v>0</v>
      </c>
      <c r="D18" s="360"/>
      <c r="E18" s="360"/>
      <c r="F18" s="363">
        <v>3.0499999999999999E-2</v>
      </c>
      <c r="G18" s="361" t="s">
        <v>1772</v>
      </c>
    </row>
    <row r="19" spans="1:7" s="334" customFormat="1" ht="13.5" customHeight="1">
      <c r="A19" s="351" t="s">
        <v>1773</v>
      </c>
      <c r="B19" s="352" t="s">
        <v>1774</v>
      </c>
      <c r="C19" s="353" t="str">
        <f>IF(G19="已包含在土地取得成本中","0",ROUND(D19*E19/10000,0))</f>
        <v>0</v>
      </c>
      <c r="D19" s="354">
        <f ca="1">D9+D10</f>
        <v>65221.919999999998</v>
      </c>
      <c r="E19" s="353">
        <f>'数据-取费表'!B31</f>
        <v>200</v>
      </c>
      <c r="F19" s="375"/>
      <c r="G19" s="886" t="s">
        <v>2344</v>
      </c>
    </row>
    <row r="20" spans="1:7" s="333" customFormat="1" ht="13.5" customHeight="1">
      <c r="A20" s="351" t="s">
        <v>1775</v>
      </c>
      <c r="B20" s="352" t="s">
        <v>1776</v>
      </c>
      <c r="C20" s="376">
        <f ca="1">ROUND((C5+C19)*F20,0)</f>
        <v>3059</v>
      </c>
      <c r="D20" s="376"/>
      <c r="E20" s="376"/>
      <c r="F20" s="377">
        <f>'数据-取费表'!B37</f>
        <v>0.02</v>
      </c>
      <c r="G20" s="381" t="s">
        <v>1777</v>
      </c>
    </row>
    <row r="21" spans="1:7" s="333" customFormat="1" ht="13.5" customHeight="1">
      <c r="A21" s="351" t="s">
        <v>1778</v>
      </c>
      <c r="B21" s="352" t="s">
        <v>1779</v>
      </c>
      <c r="C21" s="379">
        <f>F21</f>
        <v>0.02</v>
      </c>
      <c r="D21" s="380" t="s">
        <v>1780</v>
      </c>
      <c r="E21" s="376"/>
      <c r="F21" s="377">
        <f>'数据-取费表'!B38</f>
        <v>0.02</v>
      </c>
      <c r="G21" s="381" t="s">
        <v>1781</v>
      </c>
    </row>
    <row r="22" spans="1:7" s="333" customFormat="1" ht="13.5" customHeight="1">
      <c r="A22" s="351" t="s">
        <v>1782</v>
      </c>
      <c r="B22" s="352" t="s">
        <v>1783</v>
      </c>
      <c r="C22" s="382">
        <f ca="1">ROUND(SUM(C23:C25),0)</f>
        <v>11844</v>
      </c>
      <c r="D22" s="379">
        <f ca="1">C26</f>
        <v>8.0000000000000004E-4</v>
      </c>
      <c r="E22" s="380" t="s">
        <v>1780</v>
      </c>
      <c r="F22" s="383">
        <f ca="1">'数据-取费表'!B40</f>
        <v>0.03</v>
      </c>
      <c r="G22" s="381" t="str">
        <f>IF('数据-取费表'!B22&lt;=1,"单利计息","复利计息")</f>
        <v>复利计息</v>
      </c>
    </row>
    <row r="23" spans="1:7" s="333" customFormat="1" ht="13.5" customHeight="1">
      <c r="A23" s="384" t="s">
        <v>1747</v>
      </c>
      <c r="B23" s="357" t="s">
        <v>1784</v>
      </c>
      <c r="C23" s="385">
        <f ca="1">ROUND(IF('数据-取费表'!B22&lt;=1,C5*F22*'数据-取费表'!B23,C5*(POWER((1+F22),'数据-取费表'!B23)-1)),0)</f>
        <v>11729</v>
      </c>
      <c r="D23" s="386"/>
      <c r="E23" s="386"/>
      <c r="F23" s="387"/>
      <c r="G23" s="388" t="s">
        <v>1785</v>
      </c>
    </row>
    <row r="24" spans="1:7" s="333" customFormat="1" ht="13.5" customHeight="1">
      <c r="A24" s="384" t="s">
        <v>1749</v>
      </c>
      <c r="B24" s="357" t="s">
        <v>1786</v>
      </c>
      <c r="C24" s="385">
        <f ca="1">ROUND(IF('数据-取费表'!B22&lt;=1,C19*F22*('数据-取费表'!B19/2+'数据-取费表'!B21),C19*(POWER((1+F22),('数据-取费表'!B19/2+'数据-取费表'!B21))-1)),0)</f>
        <v>0</v>
      </c>
      <c r="D24" s="386"/>
      <c r="E24" s="386"/>
      <c r="F24" s="387"/>
      <c r="G24" s="388" t="s">
        <v>1787</v>
      </c>
    </row>
    <row r="25" spans="1:7" s="333" customFormat="1" ht="24">
      <c r="A25" s="384" t="s">
        <v>1751</v>
      </c>
      <c r="B25" s="357" t="s">
        <v>1788</v>
      </c>
      <c r="C25" s="385">
        <f ca="1">ROUND(IF('数据-取费表'!B22&lt;=1,C20*F22*'数据-取费表'!B23/2,C20*(POWER((1+F22),'数据-取费表'!B23/2)-1)),0)</f>
        <v>115</v>
      </c>
      <c r="D25" s="386"/>
      <c r="E25" s="389"/>
      <c r="F25" s="387"/>
      <c r="G25" s="390" t="s">
        <v>1789</v>
      </c>
    </row>
    <row r="26" spans="1:7" s="333" customFormat="1">
      <c r="A26" s="384" t="s">
        <v>1790</v>
      </c>
      <c r="B26" s="357" t="s">
        <v>1791</v>
      </c>
      <c r="C26" s="386">
        <f ca="1">ROUND(IF('数据-取费表'!B22&lt;=1,F21*F22*'数据-取费表'!B23/2,F21*(POWER((1+F22),'数据-取费表'!B23/2)-1)),4)</f>
        <v>8.0000000000000004E-4</v>
      </c>
      <c r="D26" s="386"/>
      <c r="E26" s="389"/>
      <c r="F26" s="387"/>
      <c r="G26" s="391"/>
    </row>
    <row r="27" spans="1:7" s="333" customFormat="1" ht="24.75">
      <c r="A27" s="351" t="s">
        <v>1792</v>
      </c>
      <c r="B27" s="392" t="s">
        <v>1793</v>
      </c>
      <c r="C27" s="393">
        <f ca="1">C28</f>
        <v>28078</v>
      </c>
      <c r="D27" s="379">
        <f ca="1">C29</f>
        <v>3.5999999999999999E-3</v>
      </c>
      <c r="E27" s="380" t="s">
        <v>1780</v>
      </c>
      <c r="F27" s="394">
        <f ca="1">IF(B1="",'数据-取费表'!Q16,INDIRECT("'数据-取费表'!q"&amp;$G$1))</f>
        <v>0.18</v>
      </c>
      <c r="G27" s="395" t="s">
        <v>1794</v>
      </c>
    </row>
    <row r="28" spans="1:7" s="333" customFormat="1" ht="13.5" customHeight="1">
      <c r="A28" s="384" t="s">
        <v>1747</v>
      </c>
      <c r="B28" s="396" t="s">
        <v>1795</v>
      </c>
      <c r="C28" s="397">
        <f ca="1">ROUND((C5+C19+C20)*F27*'数据-取费表'!B21/'数据-取费表'!B20,0)</f>
        <v>28078</v>
      </c>
      <c r="D28" s="379"/>
      <c r="E28" s="380"/>
      <c r="F28" s="394"/>
      <c r="G28" s="395"/>
    </row>
    <row r="29" spans="1:7" s="333" customFormat="1" ht="13.5" customHeight="1">
      <c r="A29" s="384" t="s">
        <v>1749</v>
      </c>
      <c r="B29" s="396" t="s">
        <v>1796</v>
      </c>
      <c r="C29" s="386">
        <f ca="1">ROUND(C21*F27*'数据-取费表'!B21/'数据-取费表'!B20,4)</f>
        <v>3.5999999999999999E-3</v>
      </c>
      <c r="D29" s="379"/>
      <c r="E29" s="380"/>
      <c r="F29" s="394"/>
      <c r="G29" s="395"/>
    </row>
    <row r="30" spans="1:7" s="333" customFormat="1" ht="13.5" customHeight="1">
      <c r="A30" s="351" t="s">
        <v>1797</v>
      </c>
      <c r="B30" s="352" t="s">
        <v>1798</v>
      </c>
      <c r="C30" s="379">
        <f>ROUND(F30/(1+'数据-取费表'!C42),4)</f>
        <v>5.33E-2</v>
      </c>
      <c r="D30" s="380" t="s">
        <v>1780</v>
      </c>
      <c r="E30" s="389"/>
      <c r="F30" s="383">
        <f>'数据-取费表'!B41</f>
        <v>5.6000000000000001E-2</v>
      </c>
      <c r="G30" s="381" t="s">
        <v>1799</v>
      </c>
    </row>
    <row r="31" spans="1:7" ht="16.5" customHeight="1">
      <c r="A31" s="398">
        <v>1</v>
      </c>
      <c r="B31" s="352" t="s">
        <v>1800</v>
      </c>
      <c r="C31" s="353">
        <f ca="1">ROUND((C5+C19+C20+C22+C27)/(1-C21-D22-D27-C30),0)</f>
        <v>212414</v>
      </c>
      <c r="D31" s="399"/>
      <c r="E31" s="353"/>
      <c r="F31" s="400"/>
      <c r="G31" s="381" t="s">
        <v>1801</v>
      </c>
    </row>
    <row r="32" spans="1:7" s="332" customFormat="1" ht="15.75">
      <c r="A32" s="401" t="s">
        <v>2345</v>
      </c>
      <c r="B32" s="402"/>
      <c r="C32" s="402"/>
      <c r="D32" s="402"/>
      <c r="E32" s="402"/>
      <c r="F32" s="402"/>
      <c r="G32" s="403"/>
    </row>
    <row r="33" spans="1:7" s="333" customFormat="1" ht="13.5" customHeight="1">
      <c r="A33" s="351" t="s">
        <v>1743</v>
      </c>
      <c r="B33" s="352" t="s">
        <v>2346</v>
      </c>
      <c r="C33" s="404">
        <f ca="1">SUM(C34:C38)</f>
        <v>39687</v>
      </c>
      <c r="D33" s="376"/>
      <c r="E33" s="354"/>
      <c r="F33" s="389"/>
      <c r="G33" s="381"/>
    </row>
    <row r="34" spans="1:7" s="335" customFormat="1" ht="13.5" customHeight="1">
      <c r="A34" s="384" t="s">
        <v>1747</v>
      </c>
      <c r="B34" s="357" t="s">
        <v>1804</v>
      </c>
      <c r="C34" s="362">
        <f ca="1">IF(B1="",IF(F34=100%,'数据-取费表'!M16,'数据-取费表'!O16),IF(F34=100%,INDIRECT("'数据-取费表'!m"&amp;$G$1)+INDIRECT("'数据-取费表'!t"&amp;$G$1),INDIRECT("'数据-取费表'!o"&amp;$G$1)+INDIRECT("'数据-取费表'!aq"&amp;$G$1)))</f>
        <v>35872</v>
      </c>
      <c r="D34" s="359"/>
      <c r="E34" s="362"/>
      <c r="F34" s="405">
        <f ca="1">IF('数据-取费表'!B24=0,1,IF(B1="",'数据-取费表'!N16,INDIRECT("'数据-取费表'!n"&amp;$G$1)))</f>
        <v>1</v>
      </c>
      <c r="G34" s="361" t="s">
        <v>2347</v>
      </c>
    </row>
    <row r="35" spans="1:7" ht="13.5" customHeight="1">
      <c r="A35" s="384" t="s">
        <v>1749</v>
      </c>
      <c r="B35" s="357" t="s">
        <v>1805</v>
      </c>
      <c r="C35" s="362">
        <f ca="1">ROUND(C34*F35,0)</f>
        <v>1794</v>
      </c>
      <c r="D35" s="362"/>
      <c r="E35" s="362"/>
      <c r="F35" s="406">
        <f>'数据-取费表'!B33</f>
        <v>0.05</v>
      </c>
      <c r="G35" s="361" t="s">
        <v>1806</v>
      </c>
    </row>
    <row r="36" spans="1:7" ht="24">
      <c r="A36" s="384" t="s">
        <v>1751</v>
      </c>
      <c r="B36" s="357" t="s">
        <v>1807</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1808</v>
      </c>
    </row>
    <row r="37" spans="1:7" s="335" customFormat="1" ht="13.5" customHeight="1">
      <c r="A37" s="384" t="s">
        <v>1790</v>
      </c>
      <c r="B37" s="357" t="s">
        <v>1809</v>
      </c>
      <c r="C37" s="397">
        <f ca="1">ROUND(E37*D37*F34/10000,0)</f>
        <v>1304</v>
      </c>
      <c r="D37" s="359">
        <f ca="1">D19</f>
        <v>65221.919999999998</v>
      </c>
      <c r="E37" s="397">
        <f>'数据-取费表'!B35</f>
        <v>200</v>
      </c>
      <c r="F37" s="406"/>
      <c r="G37" s="408" t="s">
        <v>2348</v>
      </c>
    </row>
    <row r="38" spans="1:7" ht="13.5" customHeight="1">
      <c r="A38" s="384" t="s">
        <v>1810</v>
      </c>
      <c r="B38" s="357" t="s">
        <v>973</v>
      </c>
      <c r="C38" s="362">
        <f ca="1">ROUND(C34*F38,0)</f>
        <v>717</v>
      </c>
      <c r="D38" s="362"/>
      <c r="E38" s="362"/>
      <c r="F38" s="406">
        <f>'数据-取费表'!B36</f>
        <v>0.02</v>
      </c>
      <c r="G38" s="361" t="s">
        <v>1806</v>
      </c>
    </row>
    <row r="39" spans="1:7" s="333" customFormat="1" ht="13.5" customHeight="1">
      <c r="A39" s="351" t="s">
        <v>1773</v>
      </c>
      <c r="B39" s="352" t="s">
        <v>1776</v>
      </c>
      <c r="C39" s="376">
        <f ca="1">ROUND(C33*F20,0)</f>
        <v>794</v>
      </c>
      <c r="D39" s="376"/>
      <c r="E39" s="376"/>
      <c r="F39" s="377">
        <f>F20</f>
        <v>0.02</v>
      </c>
      <c r="G39" s="381" t="s">
        <v>1811</v>
      </c>
    </row>
    <row r="40" spans="1:7" s="333" customFormat="1" ht="13.5" customHeight="1">
      <c r="A40" s="351" t="s">
        <v>1775</v>
      </c>
      <c r="B40" s="352" t="s">
        <v>1779</v>
      </c>
      <c r="C40" s="379">
        <f>F21</f>
        <v>0.02</v>
      </c>
      <c r="D40" s="380" t="s">
        <v>1812</v>
      </c>
      <c r="E40" s="376"/>
      <c r="F40" s="377">
        <f>F21</f>
        <v>0.02</v>
      </c>
      <c r="G40" s="381" t="s">
        <v>1813</v>
      </c>
    </row>
    <row r="41" spans="1:7" s="333" customFormat="1" ht="13.5" customHeight="1">
      <c r="A41" s="351" t="s">
        <v>1778</v>
      </c>
      <c r="B41" s="352" t="s">
        <v>1783</v>
      </c>
      <c r="C41" s="376">
        <f ca="1">ROUND(SUM(C42:C43),0)</f>
        <v>1524</v>
      </c>
      <c r="D41" s="379">
        <f ca="1">C44</f>
        <v>8.0000000000000004E-4</v>
      </c>
      <c r="E41" s="380" t="s">
        <v>1812</v>
      </c>
      <c r="F41" s="383">
        <f ca="1">F22</f>
        <v>0.03</v>
      </c>
      <c r="G41" s="381" t="str">
        <f>IF('数据-取费表'!B22&lt;=1,"单利计息","复利计息")</f>
        <v>复利计息</v>
      </c>
    </row>
    <row r="42" spans="1:7" ht="13.5" customHeight="1">
      <c r="A42" s="384" t="s">
        <v>1747</v>
      </c>
      <c r="B42" s="357" t="s">
        <v>1784</v>
      </c>
      <c r="C42" s="386">
        <f ca="1">ROUND(IF('数据-取费表'!B22&lt;=1,C33*F22*'数据-取费表'!B21/2,C33*(POWER((1+F22),'数据-取费表'!B21/2)-1)),0)</f>
        <v>1494</v>
      </c>
      <c r="D42" s="386"/>
      <c r="E42" s="386"/>
      <c r="F42" s="387"/>
      <c r="G42" s="3478" t="s">
        <v>2349</v>
      </c>
    </row>
    <row r="43" spans="1:7" ht="13.5" customHeight="1">
      <c r="A43" s="384" t="s">
        <v>1749</v>
      </c>
      <c r="B43" s="357" t="s">
        <v>1786</v>
      </c>
      <c r="C43" s="386">
        <f ca="1">ROUND(IF('数据-取费表'!B22&lt;=1,C39*F22*'数据-取费表'!B21/2,C39*(POWER((1+F22),'数据-取费表'!B21/2)-1)),0)</f>
        <v>30</v>
      </c>
      <c r="D43" s="386"/>
      <c r="E43" s="386"/>
      <c r="F43" s="387"/>
      <c r="G43" s="3479"/>
    </row>
    <row r="44" spans="1:7" ht="13.5" customHeight="1">
      <c r="A44" s="384" t="s">
        <v>1751</v>
      </c>
      <c r="B44" s="357" t="s">
        <v>1788</v>
      </c>
      <c r="C44" s="386">
        <f ca="1">ROUND(IF('数据-取费表'!B22&lt;=1,C40*F22*'数据-取费表'!B21/2,C40*(POWER((1+F22),'数据-取费表'!B21/2)-1)),4)</f>
        <v>8.0000000000000004E-4</v>
      </c>
      <c r="D44" s="386"/>
      <c r="E44" s="386"/>
      <c r="F44" s="387"/>
      <c r="G44" s="3480"/>
    </row>
    <row r="45" spans="1:7" s="333" customFormat="1" ht="13.5" customHeight="1">
      <c r="A45" s="351" t="s">
        <v>1782</v>
      </c>
      <c r="B45" s="392" t="s">
        <v>1793</v>
      </c>
      <c r="C45" s="393">
        <f ca="1">C46</f>
        <v>7287</v>
      </c>
      <c r="D45" s="379">
        <f ca="1">C47</f>
        <v>3.5999999999999999E-3</v>
      </c>
      <c r="E45" s="380" t="s">
        <v>1812</v>
      </c>
      <c r="F45" s="394">
        <f ca="1">F27</f>
        <v>0.18</v>
      </c>
      <c r="G45" s="395" t="s">
        <v>1815</v>
      </c>
    </row>
    <row r="46" spans="1:7" s="333" customFormat="1" ht="13.5" customHeight="1">
      <c r="A46" s="384" t="s">
        <v>1747</v>
      </c>
      <c r="B46" s="396" t="s">
        <v>1816</v>
      </c>
      <c r="C46" s="397">
        <f ca="1">ROUND((C33+C39)*F27,0)</f>
        <v>7287</v>
      </c>
      <c r="D46" s="410"/>
      <c r="E46" s="380"/>
      <c r="F46" s="394"/>
      <c r="G46" s="395"/>
    </row>
    <row r="47" spans="1:7" s="333" customFormat="1" ht="13.5" customHeight="1">
      <c r="A47" s="384" t="s">
        <v>1749</v>
      </c>
      <c r="B47" s="396" t="s">
        <v>1817</v>
      </c>
      <c r="C47" s="386">
        <f ca="1">ROUND(C40*F27,4)</f>
        <v>3.5999999999999999E-3</v>
      </c>
      <c r="D47" s="410"/>
      <c r="E47" s="380"/>
      <c r="F47" s="394"/>
      <c r="G47" s="395"/>
    </row>
    <row r="48" spans="1:7" s="333" customFormat="1" ht="13.5" customHeight="1">
      <c r="A48" s="351" t="s">
        <v>1792</v>
      </c>
      <c r="B48" s="352" t="s">
        <v>1798</v>
      </c>
      <c r="C48" s="379">
        <f>ROUND(F30/(1+'数据-取费表'!C42),4)</f>
        <v>5.33E-2</v>
      </c>
      <c r="D48" s="380" t="s">
        <v>1812</v>
      </c>
      <c r="E48" s="376"/>
      <c r="F48" s="383">
        <f>F30</f>
        <v>5.6000000000000001E-2</v>
      </c>
      <c r="G48" s="381" t="s">
        <v>1818</v>
      </c>
    </row>
    <row r="49" spans="1:7" ht="16.5" customHeight="1">
      <c r="A49" s="351" t="s">
        <v>1797</v>
      </c>
      <c r="B49" s="352" t="s">
        <v>2350</v>
      </c>
      <c r="C49" s="376">
        <f ca="1">ROUND((C33+C39+C41+C45)/(1-C40-D41-D45-C48),0)</f>
        <v>53445</v>
      </c>
      <c r="D49" s="376"/>
      <c r="E49" s="376"/>
      <c r="F49" s="411"/>
      <c r="G49" s="381" t="s">
        <v>1820</v>
      </c>
    </row>
    <row r="50" spans="1:7" s="335" customFormat="1" ht="24">
      <c r="A50" s="351" t="s">
        <v>1821</v>
      </c>
      <c r="B50" s="352" t="s">
        <v>1822</v>
      </c>
      <c r="C50" s="376"/>
      <c r="D50" s="376"/>
      <c r="E50" s="376"/>
      <c r="F50" s="411">
        <f>IF('数据-取费表'!B24=0,'数据-取费表'!N16,1)</f>
        <v>0.73</v>
      </c>
      <c r="G50" s="395" t="s">
        <v>2351</v>
      </c>
    </row>
    <row r="51" spans="1:7" ht="16.5" customHeight="1">
      <c r="A51" s="351" t="s">
        <v>1823</v>
      </c>
      <c r="B51" s="352" t="s">
        <v>2352</v>
      </c>
      <c r="C51" s="376">
        <f ca="1">ROUND(C49*F50,0)</f>
        <v>39015</v>
      </c>
      <c r="D51" s="376"/>
      <c r="E51" s="376"/>
      <c r="F51" s="411"/>
      <c r="G51" s="381" t="s">
        <v>1825</v>
      </c>
    </row>
    <row r="52" spans="1:7" s="332" customFormat="1" ht="15.75">
      <c r="A52" s="412" t="s">
        <v>1826</v>
      </c>
      <c r="B52" s="413"/>
      <c r="C52" s="414">
        <f ca="1">C31+C51</f>
        <v>251429</v>
      </c>
      <c r="D52" s="413"/>
      <c r="E52" s="413"/>
      <c r="F52" s="413"/>
      <c r="G52" s="415"/>
    </row>
    <row r="55" spans="1:7" ht="15">
      <c r="B55" s="416" t="s">
        <v>1827</v>
      </c>
      <c r="C55" s="417"/>
    </row>
    <row r="56" spans="1:7">
      <c r="B56" s="418" t="s">
        <v>1828</v>
      </c>
      <c r="C56" s="420">
        <f ca="1">1-C57</f>
        <v>0.84499999999999997</v>
      </c>
    </row>
    <row r="57" spans="1:7">
      <c r="B57" s="418" t="s">
        <v>1829</v>
      </c>
      <c r="C57" s="419">
        <f ca="1">ROUND(C51/C52,3)</f>
        <v>0.155</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K122"/>
  <sheetViews>
    <sheetView view="pageBreakPreview" topLeftCell="A13" zoomScaleNormal="80" workbookViewId="0">
      <selection activeCell="F65" sqref="F6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2353</v>
      </c>
      <c r="B1" s="340"/>
      <c r="C1" s="343" t="s">
        <v>1651</v>
      </c>
      <c r="D1" s="510">
        <f>SUM(D33:D34,D37:D42)</f>
        <v>64848.28</v>
      </c>
      <c r="E1" s="511"/>
      <c r="F1" s="511"/>
      <c r="G1" s="511"/>
      <c r="H1" s="511"/>
      <c r="I1" s="511"/>
      <c r="J1" s="511"/>
      <c r="K1" s="503"/>
      <c r="L1" s="709" t="s">
        <v>2354</v>
      </c>
      <c r="M1" s="710">
        <f>SUMPRODUCT((区片价!B5:B9=I2)*(区片价!C3:G3=E2)*(区片价!C5:G9))</f>
        <v>34690</v>
      </c>
      <c r="N1" s="711">
        <f>SUMPRODUCT((因素修正幅度!B5:B9=I2)*(因素修正幅度!C3:G3=E2)*(因素修正幅度!C5:G9))</f>
        <v>9.7000000000000003E-2</v>
      </c>
      <c r="O1" s="504"/>
      <c r="P1" s="504"/>
      <c r="Q1" s="503"/>
      <c r="R1" s="798" t="s">
        <v>2355</v>
      </c>
      <c r="S1" s="798" t="s">
        <v>2356</v>
      </c>
      <c r="T1" s="798" t="s">
        <v>2357</v>
      </c>
      <c r="U1" s="798" t="s">
        <v>2358</v>
      </c>
      <c r="V1" s="798" t="s">
        <v>2359</v>
      </c>
      <c r="W1" s="799"/>
      <c r="X1" s="799"/>
      <c r="Y1" s="799"/>
      <c r="Z1" s="799"/>
      <c r="AA1" s="799"/>
      <c r="AB1" s="799"/>
      <c r="AC1" s="810"/>
      <c r="AD1" s="811"/>
      <c r="AE1" s="811"/>
      <c r="AF1" s="811"/>
      <c r="AG1" s="811"/>
      <c r="AH1" s="811"/>
      <c r="AI1" s="811"/>
      <c r="AJ1" s="820"/>
    </row>
    <row r="2" spans="1:36" ht="15.75">
      <c r="A2" s="343" t="s">
        <v>1648</v>
      </c>
      <c r="B2" s="347">
        <f>C30</f>
        <v>151391</v>
      </c>
      <c r="C2" s="512" t="s">
        <v>1649</v>
      </c>
      <c r="D2" s="513" t="s">
        <v>2360</v>
      </c>
      <c r="E2" s="514" t="s">
        <v>230</v>
      </c>
      <c r="F2" s="513" t="s">
        <v>2361</v>
      </c>
      <c r="G2" s="515" t="str">
        <f>IF(E2="商业",项目基本情况!B37,IF(E2="办公",项目基本情况!C37,IF(E2="住宅",项目基本情况!D37,IF(E2="工业",项目基本情况!E37,项目基本情况!F37))))</f>
        <v>一级</v>
      </c>
      <c r="H2" s="513" t="s">
        <v>2362</v>
      </c>
      <c r="I2" s="515" t="str">
        <f>IF(E2="商业",项目基本情况!B38,IF(E2="办公",项目基本情况!C38,IF(E2="住宅",项目基本情况!D38,IF(E2="工业",项目基本情况!E38,项目基本情况!F38))))</f>
        <v>Ⅰ—03</v>
      </c>
      <c r="J2" s="511"/>
      <c r="K2" s="503"/>
      <c r="L2" s="712" t="s">
        <v>2363</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1.5206</v>
      </c>
      <c r="T2" s="800">
        <f t="shared" ref="T2:T16" si="0">ROUND($C$5*$C$22*$C$23*$C$24*S2*$C$28,0)</f>
        <v>42021</v>
      </c>
      <c r="U2" s="801"/>
      <c r="V2" s="800">
        <f>ROUND(T2*U2/10000,0)</f>
        <v>0</v>
      </c>
      <c r="W2" s="799"/>
      <c r="X2" s="799"/>
      <c r="Y2" s="799"/>
      <c r="Z2" s="799"/>
      <c r="AA2" s="799"/>
      <c r="AB2" s="799"/>
      <c r="AC2" s="810"/>
      <c r="AD2" s="811"/>
      <c r="AE2" s="811"/>
      <c r="AF2" s="811"/>
      <c r="AG2" s="811"/>
      <c r="AH2" s="811"/>
      <c r="AI2" s="811"/>
      <c r="AJ2" s="820"/>
    </row>
    <row r="3" spans="1:36" ht="15.75">
      <c r="A3" s="346" t="s">
        <v>1650</v>
      </c>
      <c r="B3" s="347">
        <f>ROUND(B2*10000/D1,0)</f>
        <v>23345</v>
      </c>
      <c r="C3" s="512" t="s">
        <v>1741</v>
      </c>
      <c r="D3" s="513" t="s">
        <v>2364</v>
      </c>
      <c r="E3" s="516" t="s">
        <v>245</v>
      </c>
      <c r="F3" s="517" t="s">
        <v>2365</v>
      </c>
      <c r="G3" s="518">
        <f>IF(F3="宗地容积率",'数据-汇总表'!I4,IF(F3="估价对象容积率",'数据-汇总表'!I6,'数据-汇总表'!I7))</f>
        <v>4.32</v>
      </c>
      <c r="H3" s="513" t="s">
        <v>2366</v>
      </c>
      <c r="I3" s="714"/>
      <c r="J3" s="511" t="s">
        <v>2367</v>
      </c>
      <c r="K3" s="503"/>
      <c r="L3" s="712" t="s">
        <v>2368</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1.2072000000000001</v>
      </c>
      <c r="T3" s="800">
        <f t="shared" si="0"/>
        <v>33360</v>
      </c>
      <c r="U3" s="801"/>
      <c r="V3" s="800">
        <f t="shared" ref="V3:V16" si="1">ROUND(T3*U3/10000,0)</f>
        <v>0</v>
      </c>
      <c r="W3" s="799"/>
      <c r="X3" s="799"/>
      <c r="Y3" s="799"/>
      <c r="Z3" s="799"/>
      <c r="AA3" s="799"/>
      <c r="AB3" s="799"/>
      <c r="AC3" s="810"/>
      <c r="AD3" s="811"/>
      <c r="AE3" s="811"/>
      <c r="AF3" s="811"/>
      <c r="AG3" s="811"/>
      <c r="AH3" s="811"/>
      <c r="AI3" s="811"/>
      <c r="AJ3" s="820"/>
    </row>
    <row r="4" spans="1:36" ht="15.75">
      <c r="A4" s="3532"/>
      <c r="B4" s="3533"/>
      <c r="C4" s="3533"/>
      <c r="D4" s="3534"/>
      <c r="E4" s="3534"/>
      <c r="F4" s="3534"/>
      <c r="G4" s="3534"/>
      <c r="H4" s="3534"/>
      <c r="I4" s="3534"/>
      <c r="J4" s="3535"/>
      <c r="K4" s="503"/>
      <c r="L4" s="712" t="s">
        <v>2369</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1.0430999999999999</v>
      </c>
      <c r="T4" s="800">
        <f t="shared" si="0"/>
        <v>28825</v>
      </c>
      <c r="U4" s="801"/>
      <c r="V4" s="800">
        <f t="shared" si="1"/>
        <v>0</v>
      </c>
      <c r="W4" s="799"/>
      <c r="X4" s="799"/>
      <c r="Y4" s="799"/>
      <c r="Z4" s="799"/>
      <c r="AA4" s="799"/>
      <c r="AB4" s="799"/>
      <c r="AC4" s="810"/>
      <c r="AD4" s="811"/>
      <c r="AE4" s="811"/>
      <c r="AF4" s="811"/>
      <c r="AG4" s="811"/>
      <c r="AH4" s="811"/>
      <c r="AI4" s="811"/>
      <c r="AJ4" s="820"/>
    </row>
    <row r="5" spans="1:36" s="502" customFormat="1" ht="15">
      <c r="A5" s="519" t="s">
        <v>938</v>
      </c>
      <c r="B5" s="520" t="s">
        <v>2370</v>
      </c>
      <c r="C5" s="521">
        <f>ROUND(IF(E2="商业",C6*C7*C17+C20,(IF(E2="住宅",C6*C13*C17+C20,IF(E2="办公",C6*C12*C17+C20,C6+C20)))),0)</f>
        <v>36425</v>
      </c>
      <c r="D5" s="522">
        <f>ROUND(C6*C17+C20,0)</f>
        <v>34690</v>
      </c>
      <c r="E5" s="522"/>
      <c r="F5" s="523"/>
      <c r="G5" s="524"/>
      <c r="H5" s="524"/>
      <c r="I5" s="524"/>
      <c r="J5" s="715"/>
      <c r="K5" s="716"/>
      <c r="L5" s="712" t="s">
        <v>2371</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0.94389999999999996</v>
      </c>
      <c r="T5" s="800">
        <f t="shared" si="0"/>
        <v>26084</v>
      </c>
      <c r="U5" s="801"/>
      <c r="V5" s="800">
        <f t="shared" si="1"/>
        <v>0</v>
      </c>
      <c r="W5" s="799"/>
      <c r="X5" s="799"/>
      <c r="Y5" s="799"/>
      <c r="Z5" s="799"/>
      <c r="AA5" s="799"/>
      <c r="AB5" s="799"/>
      <c r="AC5" s="812"/>
      <c r="AD5" s="813"/>
      <c r="AE5" s="813"/>
      <c r="AF5" s="813"/>
      <c r="AG5" s="813"/>
      <c r="AH5" s="813"/>
      <c r="AI5" s="813"/>
      <c r="AJ5" s="821"/>
    </row>
    <row r="6" spans="1:36" ht="15">
      <c r="A6" s="525" t="s">
        <v>1743</v>
      </c>
      <c r="B6" s="526" t="s">
        <v>2372</v>
      </c>
      <c r="C6" s="527">
        <f>SUMIF(L1:L12,G2,M1:M12)</f>
        <v>34690</v>
      </c>
      <c r="D6" s="528"/>
      <c r="E6" s="529"/>
      <c r="F6" s="529"/>
      <c r="G6" s="530"/>
      <c r="H6" s="530"/>
      <c r="I6" s="530"/>
      <c r="J6" s="717"/>
      <c r="K6" s="718"/>
      <c r="L6" s="712" t="s">
        <v>2373</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0.89959999999999996</v>
      </c>
      <c r="T6" s="800">
        <f t="shared" si="0"/>
        <v>24860</v>
      </c>
      <c r="U6" s="801"/>
      <c r="V6" s="800">
        <f t="shared" si="1"/>
        <v>0</v>
      </c>
      <c r="W6" s="799"/>
      <c r="X6" s="799"/>
      <c r="Y6" s="799"/>
      <c r="Z6" s="799"/>
      <c r="AA6" s="799"/>
      <c r="AB6" s="799"/>
      <c r="AC6" s="812"/>
      <c r="AD6" s="813"/>
      <c r="AE6" s="813"/>
      <c r="AF6" s="813"/>
      <c r="AG6" s="813"/>
      <c r="AH6" s="813"/>
      <c r="AI6" s="813"/>
      <c r="AJ6" s="821"/>
    </row>
    <row r="7" spans="1:36" ht="24">
      <c r="A7" s="531" t="s">
        <v>2374</v>
      </c>
      <c r="B7" s="532" t="s">
        <v>2375</v>
      </c>
      <c r="C7" s="533" t="e">
        <f>IF(C8="不临65条商业街",1,ROUND(1+(1.6*E8+1.2*E9+0.8*E10+0.4*E11)*C9,4))</f>
        <v>#DIV/0!</v>
      </c>
      <c r="D7" s="534" t="s">
        <v>2376</v>
      </c>
      <c r="E7" s="535"/>
      <c r="F7" s="536"/>
      <c r="G7" s="537"/>
      <c r="H7" s="537"/>
      <c r="I7" s="537"/>
      <c r="J7" s="719"/>
      <c r="K7" s="718"/>
      <c r="L7" s="712" t="s">
        <v>2377</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2378</v>
      </c>
      <c r="X7" s="804" t="str">
        <f>G2</f>
        <v>一级</v>
      </c>
      <c r="Y7" s="804" t="s">
        <v>2379</v>
      </c>
      <c r="Z7" s="814">
        <f>G3</f>
        <v>4.32</v>
      </c>
      <c r="AA7" s="799"/>
      <c r="AB7" s="799"/>
      <c r="AC7" s="810"/>
      <c r="AD7" s="811"/>
      <c r="AE7" s="811"/>
      <c r="AF7" s="811"/>
      <c r="AG7" s="811"/>
      <c r="AH7" s="811"/>
      <c r="AI7" s="811"/>
      <c r="AJ7" s="820"/>
    </row>
    <row r="8" spans="1:36" ht="15">
      <c r="A8" s="538"/>
      <c r="B8" s="513" t="s">
        <v>2380</v>
      </c>
      <c r="C8" s="539"/>
      <c r="D8" s="540" t="s">
        <v>2381</v>
      </c>
      <c r="E8" s="541" t="e">
        <f>ROUND(C11/E7,4)</f>
        <v>#DIV/0!</v>
      </c>
      <c r="F8" s="542" t="s">
        <v>2382</v>
      </c>
      <c r="G8" s="543"/>
      <c r="H8" s="543"/>
      <c r="I8" s="543"/>
      <c r="J8" s="720"/>
      <c r="K8" s="503"/>
      <c r="L8" s="712" t="s">
        <v>2383</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536" t="s">
        <v>2384</v>
      </c>
      <c r="X8" s="3537"/>
      <c r="Y8" s="815" t="s">
        <v>2385</v>
      </c>
      <c r="Z8" s="815" t="s">
        <v>2386</v>
      </c>
      <c r="AA8" s="815" t="s">
        <v>2387</v>
      </c>
      <c r="AB8" s="815" t="s">
        <v>2388</v>
      </c>
      <c r="AC8" s="815" t="s">
        <v>2389</v>
      </c>
      <c r="AD8" s="815" t="s">
        <v>2390</v>
      </c>
      <c r="AE8" s="815" t="s">
        <v>2391</v>
      </c>
      <c r="AF8" s="815" t="s">
        <v>2392</v>
      </c>
      <c r="AG8" s="815" t="s">
        <v>2393</v>
      </c>
      <c r="AH8" s="815" t="s">
        <v>2394</v>
      </c>
      <c r="AI8" s="815" t="s">
        <v>2395</v>
      </c>
      <c r="AJ8" s="815" t="s">
        <v>2396</v>
      </c>
    </row>
    <row r="9" spans="1:36" ht="15">
      <c r="A9" s="538"/>
      <c r="B9" s="513" t="s">
        <v>2397</v>
      </c>
      <c r="C9" s="544">
        <f>SUMIF(修正!C73:C140,C8,修正!E73:E140)</f>
        <v>0</v>
      </c>
      <c r="D9" s="515" t="s">
        <v>2398</v>
      </c>
      <c r="E9" s="515" t="e">
        <f>ROUND(C11/E7,4)</f>
        <v>#DIV/0!</v>
      </c>
      <c r="F9" s="542" t="s">
        <v>2399</v>
      </c>
      <c r="G9" s="543"/>
      <c r="H9" s="543"/>
      <c r="I9" s="543"/>
      <c r="J9" s="720"/>
      <c r="K9" s="503"/>
      <c r="L9" s="712" t="s">
        <v>2400</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550"/>
      <c r="X9" s="805" t="s">
        <v>2401</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2402</v>
      </c>
      <c r="C10" s="515">
        <f>SUMIF(修正!C73:C140,C8,修正!F73:F140)</f>
        <v>0</v>
      </c>
      <c r="D10" s="515" t="s">
        <v>2403</v>
      </c>
      <c r="E10" s="515" t="e">
        <f>ROUND(C11/E7,4)</f>
        <v>#DIV/0!</v>
      </c>
      <c r="F10" s="542" t="s">
        <v>2404</v>
      </c>
      <c r="G10" s="543"/>
      <c r="H10" s="543"/>
      <c r="I10" s="543"/>
      <c r="J10" s="720"/>
      <c r="K10" s="503"/>
      <c r="L10" s="712" t="s">
        <v>2405</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550"/>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2406</v>
      </c>
      <c r="C11" s="547">
        <f>C10/4</f>
        <v>0</v>
      </c>
      <c r="D11" s="547" t="s">
        <v>2407</v>
      </c>
      <c r="E11" s="547" t="e">
        <f>ROUND(C11/E7,4)</f>
        <v>#DIV/0!</v>
      </c>
      <c r="F11" s="548" t="s">
        <v>2408</v>
      </c>
      <c r="G11" s="549"/>
      <c r="H11" s="549"/>
      <c r="I11" s="549"/>
      <c r="J11" s="721"/>
      <c r="K11" s="503"/>
      <c r="L11" s="712" t="s">
        <v>2409</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2410</v>
      </c>
      <c r="B12" s="550" t="s">
        <v>2411</v>
      </c>
      <c r="C12" s="551">
        <v>1.05</v>
      </c>
      <c r="D12" s="552" t="s">
        <v>2412</v>
      </c>
      <c r="E12" s="553" t="s">
        <v>2413</v>
      </c>
      <c r="F12" s="554"/>
      <c r="G12" s="555"/>
      <c r="H12" s="555"/>
      <c r="I12" s="555"/>
      <c r="J12" s="722"/>
      <c r="K12" s="503"/>
      <c r="L12" s="723" t="s">
        <v>2414</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2415</v>
      </c>
      <c r="B13" s="556" t="s">
        <v>2416</v>
      </c>
      <c r="C13" s="533">
        <f>ROUND(C16*D16*E16*F16*G16*H16*I16*J16,4)</f>
        <v>0</v>
      </c>
      <c r="D13" s="557" t="s">
        <v>2417</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2418</v>
      </c>
      <c r="C14" s="562" t="s">
        <v>2419</v>
      </c>
      <c r="D14" s="563" t="s">
        <v>2420</v>
      </c>
      <c r="E14" s="564" t="s">
        <v>2421</v>
      </c>
      <c r="F14" s="565" t="s">
        <v>2422</v>
      </c>
      <c r="G14" s="565" t="s">
        <v>2422</v>
      </c>
      <c r="H14" s="565" t="s">
        <v>2422</v>
      </c>
      <c r="I14" s="565" t="s">
        <v>2422</v>
      </c>
      <c r="J14" s="565" t="s">
        <v>2422</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2423</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2308</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2424</v>
      </c>
      <c r="B17" s="576" t="s">
        <v>2425</v>
      </c>
      <c r="C17" s="577">
        <f>ROUND(IF(OR(E2="工业",E2="公共服务"),1,IF(AND(E18=0,E19=0),1,IF(AND(E18=J24,E19=G19),0.8,IF(E19=0,1+E17*(-0.2),1+E17*G17*(-0.2))))),4)</f>
        <v>1</v>
      </c>
      <c r="D17" s="578" t="s">
        <v>2426</v>
      </c>
      <c r="E17" s="577">
        <f>ROUND(G18/I18,2)</f>
        <v>0</v>
      </c>
      <c r="F17" s="578" t="s">
        <v>2427</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2428</v>
      </c>
      <c r="E18" s="583"/>
      <c r="F18" s="584" t="s">
        <v>2429</v>
      </c>
      <c r="G18" s="581">
        <f>ROUND(1-(1/(POWER(1+G24,E18))),4)</f>
        <v>0</v>
      </c>
      <c r="H18" s="584" t="s">
        <v>2430</v>
      </c>
      <c r="I18" s="581">
        <f>ROUND(1-(1/(POWER(1+G24,J24))),4)</f>
        <v>0.93120000000000003</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2431</v>
      </c>
      <c r="E19" s="588"/>
      <c r="F19" s="589" t="s">
        <v>2432</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542" t="s">
        <v>2433</v>
      </c>
      <c r="B20" s="590" t="s">
        <v>2434</v>
      </c>
      <c r="C20" s="591">
        <f>ROUND(IF(F21="与级别开发程度一致",0,(G21-E21)/C21),0)</f>
        <v>0</v>
      </c>
      <c r="D20" s="592" t="s">
        <v>2435</v>
      </c>
      <c r="E20" s="593"/>
      <c r="F20" s="3538" t="s">
        <v>2436</v>
      </c>
      <c r="G20" s="3539"/>
      <c r="H20" s="594" t="s">
        <v>383</v>
      </c>
      <c r="I20" s="594" t="s">
        <v>384</v>
      </c>
      <c r="J20" s="733" t="s">
        <v>385</v>
      </c>
      <c r="K20" s="734" t="s">
        <v>386</v>
      </c>
      <c r="L20" s="734" t="s">
        <v>387</v>
      </c>
      <c r="M20" s="734" t="s">
        <v>2437</v>
      </c>
      <c r="N20" s="734" t="s">
        <v>390</v>
      </c>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543"/>
      <c r="B21" s="595" t="s">
        <v>2438</v>
      </c>
      <c r="C21" s="596">
        <f>IF(E3="M4科研用地",SUMPRODUCT((修正!A2:A7=E3)*(修正!B1:M1=G2)*(修正!B2:M7)),SUMPRODUCT((修正!A2:A7=E2)*(修正!B1:M1=G2)*(修正!B2:M7)))</f>
        <v>3.5</v>
      </c>
      <c r="D21" s="597" t="str">
        <f>IF(OR(G2="八级",G2="九级",G2="十级",G2="十一级",G2="十二级"),"五通一平","七通一平")</f>
        <v>七通一平</v>
      </c>
      <c r="E21" s="598">
        <f>SUMPRODUCT((修正!B1:M1=G2)*(修正!B17:M17))</f>
        <v>375</v>
      </c>
      <c r="F21" s="599" t="s">
        <v>2439</v>
      </c>
      <c r="G21" s="600">
        <f>SUM(H21:O21)</f>
        <v>315</v>
      </c>
      <c r="H21" s="596">
        <f>SUMPRODUCT((七通一平=H20)*(修正!B1:M1=G2)*(修正!B8:M16))</f>
        <v>80</v>
      </c>
      <c r="I21" s="596">
        <f>SUMPRODUCT((七通一平=I20)*(修正!B1:M1=G2)*(修正!B8:M16))</f>
        <v>70</v>
      </c>
      <c r="J21" s="736">
        <f>SUMPRODUCT((七通一平=J20)*(修正!B1:M1=G2)*(修正!B8:M16))</f>
        <v>20</v>
      </c>
      <c r="K21" s="596">
        <f>SUMPRODUCT((七通一平=K20)*(修正!B1:M1=G2)*(修正!B8:M16))</f>
        <v>30</v>
      </c>
      <c r="L21" s="596">
        <f>SUMPRODUCT((七通一平=L20)*(修正!B1:M1=G2)*(修正!B8:M16))</f>
        <v>45</v>
      </c>
      <c r="M21" s="596">
        <f>SUMPRODUCT((七通一平=M20)*(修正!B1:M1=G2)*(修正!B8:M16))</f>
        <v>50</v>
      </c>
      <c r="N21" s="596">
        <f>SUMPRODUCT((七通一平=N20)*(修正!B1:M1=G2)*(修正!B8:M16))</f>
        <v>20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949</v>
      </c>
      <c r="B22" s="602" t="s">
        <v>2440</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954</v>
      </c>
      <c r="B23" s="607" t="s">
        <v>2441</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09" t="s">
        <v>2442</v>
      </c>
      <c r="E23" s="610">
        <v>44197</v>
      </c>
      <c r="F23" s="609" t="s">
        <v>2443</v>
      </c>
      <c r="G23" s="611">
        <f>'数据-取费表'!B2</f>
        <v>45882</v>
      </c>
      <c r="H23" s="612" t="s">
        <v>2444</v>
      </c>
      <c r="I23" s="742" t="str">
        <f>IF(H23="季度增幅（自定义）",SUMIF(N25:N28,E2,O25:O28),"")</f>
        <v/>
      </c>
      <c r="J23" s="743" t="s">
        <v>2445</v>
      </c>
      <c r="K23" s="739"/>
      <c r="L23" s="744" t="s">
        <v>2446</v>
      </c>
      <c r="M23" s="745">
        <f>ROUND(SUMIF(地价!B2:G2,E2,地价!B16:G16),0)</f>
        <v>350</v>
      </c>
      <c r="N23" s="746" t="s">
        <v>2447</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957</v>
      </c>
      <c r="B24" s="614" t="s">
        <v>2448</v>
      </c>
      <c r="C24" s="615">
        <f>ROUND(POWER(1+G24,J24-I24)*(POWER(1+G24,I24)-1)/(POWER(1+G24,J24)-1),4)</f>
        <v>0.72650000000000003</v>
      </c>
      <c r="D24" s="616" t="s">
        <v>2449</v>
      </c>
      <c r="E24" s="617">
        <f>存贷款利率!E28/100</f>
        <v>4.3499999999999997E-2</v>
      </c>
      <c r="F24" s="616" t="s">
        <v>2450</v>
      </c>
      <c r="G24" s="618">
        <f>SUMIF(M30:Q30,E2,M33:Q33)</f>
        <v>5.5E-2</v>
      </c>
      <c r="H24" s="616" t="s">
        <v>2451</v>
      </c>
      <c r="I24" s="748">
        <f>SUMIF('数据-取费表'!C6:C15,E2,'数据-取费表'!F6:F15)/COUNTIF('数据-取费表'!C6:C15,E2)</f>
        <v>21.08</v>
      </c>
      <c r="J24" s="749">
        <f>IF(E2="住宅",70,IF(E2="商业",40,50))</f>
        <v>50</v>
      </c>
      <c r="K24" s="739"/>
      <c r="L24" s="750" t="s">
        <v>2452</v>
      </c>
      <c r="M24" s="751">
        <f>ROUND(SUMPRODUCT((地价!A4:A16=YEAR(G23)&amp;"-"&amp;ROUNDUP(MONTH(G23)/3,0))*(地价!B2:G2=E2)*(地价!B4:G16)),0)</f>
        <v>0</v>
      </c>
      <c r="N24" s="752" t="s">
        <v>2453</v>
      </c>
      <c r="O24" s="753" t="s">
        <v>2454</v>
      </c>
      <c r="P24" s="754" t="s">
        <v>2455</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979</v>
      </c>
      <c r="B25" s="620" t="s">
        <v>2456</v>
      </c>
      <c r="C25" s="621">
        <f>IF(B25="容积率修正",IF(G3&lt;10,D26,J26),C27)</f>
        <v>0.97519999999999996</v>
      </c>
      <c r="D25" s="622"/>
      <c r="E25" s="622"/>
      <c r="F25" s="622"/>
      <c r="G25" s="622"/>
      <c r="H25" s="622"/>
      <c r="I25" s="622"/>
      <c r="J25" s="755"/>
      <c r="K25" s="739"/>
      <c r="L25" s="740"/>
      <c r="M25" s="740"/>
      <c r="N25" s="756" t="s">
        <v>2457</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2458</v>
      </c>
      <c r="B26" s="624" t="s">
        <v>2459</v>
      </c>
      <c r="C26" s="624" t="s">
        <v>2460</v>
      </c>
      <c r="D26" s="625">
        <f>IF(E26=G26,F26,IF(G3&lt;10,ROUND(F26+(H26-F26)*(G3-E26)/(G26-E26),4),"——"))</f>
        <v>0.97519999999999996</v>
      </c>
      <c r="E26" s="518">
        <f>ROUNDDOWN(G3,1)</f>
        <v>4.3</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518">
        <f>ROUNDUP(G3,1)</f>
        <v>4.3999999999999995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624" t="s">
        <v>2461</v>
      </c>
      <c r="J26" s="759" t="str">
        <f>IF(G3&gt;=10,D115,"——")</f>
        <v>——</v>
      </c>
      <c r="K26" s="739"/>
      <c r="L26" s="740"/>
      <c r="M26" s="740"/>
      <c r="N26" s="756" t="s">
        <v>2462</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2463</v>
      </c>
      <c r="B27" s="626" t="s">
        <v>2464</v>
      </c>
      <c r="C27" s="627">
        <f>ROUND(IF(I3&lt;6,SUMPRODUCT((B106:B110=I3)*(C105:N105=G2)*(C106:N110)),SUMIF(C105:N105,G2,C112:N112)),4)</f>
        <v>0</v>
      </c>
      <c r="D27" s="511"/>
      <c r="E27" s="511"/>
      <c r="F27" s="628"/>
      <c r="G27" s="629"/>
      <c r="H27" s="630"/>
      <c r="I27" s="760"/>
      <c r="J27" s="761"/>
      <c r="K27" s="503"/>
      <c r="L27" s="504"/>
      <c r="M27" s="504"/>
      <c r="N27" s="756" t="s">
        <v>2465</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2466</v>
      </c>
      <c r="B28" s="607" t="s">
        <v>2467</v>
      </c>
      <c r="C28" s="608">
        <f>SUMIF(A47:A101,E2,B47:B101)</f>
        <v>1.0646</v>
      </c>
      <c r="D28" s="631"/>
      <c r="E28" s="632"/>
      <c r="F28" s="632"/>
      <c r="G28" s="632"/>
      <c r="H28" s="632"/>
      <c r="I28" s="632"/>
      <c r="J28" s="762"/>
      <c r="K28" s="739"/>
      <c r="L28" s="740"/>
      <c r="M28" s="740"/>
      <c r="N28" s="763" t="s">
        <v>2468</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2469</v>
      </c>
      <c r="B29" s="633" t="s">
        <v>2470</v>
      </c>
      <c r="C29" s="634"/>
      <c r="D29" s="537"/>
      <c r="E29" s="537"/>
      <c r="F29" s="635"/>
      <c r="G29" s="537"/>
      <c r="H29" s="537"/>
      <c r="I29" s="537"/>
      <c r="J29" s="719"/>
      <c r="K29" s="503"/>
      <c r="L29" s="504"/>
      <c r="M29" s="504"/>
      <c r="N29" s="766" t="s">
        <v>2471</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2472</v>
      </c>
      <c r="C30" s="637">
        <f>IF(B25="容积率修正",E33+SUM(E37:E42),SUM(V2:V16)+SUM(E37:E42))</f>
        <v>151391</v>
      </c>
      <c r="D30" s="638"/>
      <c r="E30" s="511"/>
      <c r="F30" s="639"/>
      <c r="G30" s="511"/>
      <c r="H30" s="511"/>
      <c r="I30" s="511"/>
      <c r="J30" s="769"/>
      <c r="K30" s="503"/>
      <c r="L30" s="770" t="s">
        <v>2360</v>
      </c>
      <c r="M30" s="771" t="s">
        <v>2473</v>
      </c>
      <c r="N30" s="771" t="s">
        <v>2474</v>
      </c>
      <c r="O30" s="771" t="s">
        <v>2475</v>
      </c>
      <c r="P30" s="771" t="s">
        <v>2476</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2477</v>
      </c>
      <c r="C31" s="640">
        <f>E34+SUM(I37:I42)</f>
        <v>1418</v>
      </c>
      <c r="D31" s="641"/>
      <c r="E31" s="642"/>
      <c r="F31" s="643"/>
      <c r="G31" s="642"/>
      <c r="H31" s="642"/>
      <c r="I31" s="642"/>
      <c r="J31" s="772"/>
      <c r="K31" s="503"/>
      <c r="L31" s="773" t="s">
        <v>2478</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2479</v>
      </c>
      <c r="C32" s="646" t="s">
        <v>2480</v>
      </c>
      <c r="D32" s="646" t="s">
        <v>613</v>
      </c>
      <c r="E32" s="647" t="s">
        <v>2481</v>
      </c>
      <c r="F32" s="648"/>
      <c r="G32" s="559"/>
      <c r="H32" s="559"/>
      <c r="I32" s="559"/>
      <c r="J32" s="725"/>
      <c r="K32" s="503"/>
      <c r="L32" s="774" t="s">
        <v>2450</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2482</v>
      </c>
      <c r="C33" s="651">
        <f>ROUND(C5*C22*C23*C24*C25*C28,0)</f>
        <v>26949</v>
      </c>
      <c r="D33" s="652">
        <f>'数据-基础表'!I13</f>
        <v>54071.78</v>
      </c>
      <c r="E33" s="653">
        <f>ROUND(C33*D33/10000,0)</f>
        <v>145718</v>
      </c>
      <c r="F33" s="654" t="s">
        <v>2483</v>
      </c>
      <c r="G33" s="655"/>
      <c r="H33" s="655"/>
      <c r="I33" s="655"/>
      <c r="J33" s="776"/>
      <c r="K33" s="503"/>
      <c r="L33" s="777" t="s">
        <v>2484</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2485</v>
      </c>
      <c r="C34" s="597">
        <f>ROUND(IF(E2="工业",C33*M42,IF(B25="楼层修正",SUM(V2:V16)*M41*10000/D34,C33*M41)),0)</f>
        <v>6737</v>
      </c>
      <c r="D34" s="658"/>
      <c r="E34" s="653">
        <f>ROUND(IF(B25="楼层修正",SUM(V2:V16)*M40,C34*D34/10000),0)</f>
        <v>0</v>
      </c>
      <c r="F34" s="659" t="s">
        <v>2486</v>
      </c>
      <c r="G34" s="660"/>
      <c r="H34" s="660"/>
      <c r="I34" s="660"/>
      <c r="J34" s="779"/>
      <c r="K34" s="503"/>
      <c r="L34" s="777" t="s">
        <v>2487</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2488</v>
      </c>
      <c r="C35" s="663" t="s">
        <v>2489</v>
      </c>
      <c r="D35" s="559"/>
      <c r="E35" s="664"/>
      <c r="F35" s="664"/>
      <c r="G35" s="557" t="s">
        <v>2486</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2480</v>
      </c>
      <c r="D36" s="667" t="s">
        <v>613</v>
      </c>
      <c r="E36" s="667" t="s">
        <v>2481</v>
      </c>
      <c r="F36" s="510" t="s">
        <v>2490</v>
      </c>
      <c r="G36" s="668" t="s">
        <v>2480</v>
      </c>
      <c r="H36" s="668" t="s">
        <v>613</v>
      </c>
      <c r="I36" s="668" t="s">
        <v>2481</v>
      </c>
      <c r="J36" s="391"/>
      <c r="K36" s="678" t="s">
        <v>2491</v>
      </c>
      <c r="L36" s="781">
        <f ca="1">'数据-取费表'!B40</f>
        <v>0.03</v>
      </c>
      <c r="M36" s="782">
        <f ca="1">ROUND($L$36*(1+M31),3)</f>
        <v>3.7999999999999999E-2</v>
      </c>
      <c r="N36" s="782">
        <f ca="1">ROUND($L$36*(1+N31),3)</f>
        <v>3.5999999999999997E-2</v>
      </c>
      <c r="O36" s="782">
        <f ca="1">ROUND($L$36*(1+O31),3)</f>
        <v>3.5000000000000003E-2</v>
      </c>
      <c r="P36" s="782">
        <f ca="1">ROUND($L$36*(1+P31),3)</f>
        <v>3.3000000000000002E-2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544"/>
      <c r="B37" s="669" t="s">
        <v>2492</v>
      </c>
      <c r="C37" s="651">
        <f>ROUND(D5*C22*C23*C24*C28*F37,0)</f>
        <v>18423</v>
      </c>
      <c r="D37" s="652"/>
      <c r="E37" s="515">
        <f>ROUND(C37*D37/10000,0)</f>
        <v>0</v>
      </c>
      <c r="F37" s="515">
        <f>SUMIF(修正!A59:A70,G2,修正!B59:B70)</f>
        <v>0.7</v>
      </c>
      <c r="G37" s="515">
        <f>ROUND(IF(E2="工业",C37*$M$42,C37*$M$41),0)</f>
        <v>4606</v>
      </c>
      <c r="H37" s="515">
        <f>D37</f>
        <v>0</v>
      </c>
      <c r="I37" s="515">
        <f>ROUND(G37*H37/10000,0)</f>
        <v>0</v>
      </c>
      <c r="J37" s="783"/>
      <c r="K37" s="784" t="s">
        <v>2493</v>
      </c>
      <c r="L37" s="678">
        <f ca="1">L36+K38</f>
        <v>3.4999999999999996E-2</v>
      </c>
      <c r="M37" s="782">
        <f ca="1">ROUND($L$37*(1+M31),3)</f>
        <v>4.3999999999999997E-2</v>
      </c>
      <c r="N37" s="782">
        <f t="shared" ref="N37:Q37" ca="1" si="3">ROUND($L$37*(1+N31),3)</f>
        <v>4.2000000000000003E-2</v>
      </c>
      <c r="O37" s="782">
        <f t="shared" ca="1" si="3"/>
        <v>0.04</v>
      </c>
      <c r="P37" s="782">
        <f t="shared" ca="1" si="3"/>
        <v>3.9E-2</v>
      </c>
      <c r="Q37" s="782">
        <f t="shared" ca="1" si="3"/>
        <v>0.04</v>
      </c>
      <c r="R37" s="503"/>
      <c r="S37" s="503"/>
      <c r="T37" s="503"/>
      <c r="U37" s="503"/>
      <c r="V37" s="503"/>
      <c r="W37" s="503"/>
      <c r="X37" s="503"/>
      <c r="Y37" s="503"/>
      <c r="Z37" s="674"/>
      <c r="AA37" s="674"/>
      <c r="AB37" s="674"/>
      <c r="AC37" s="674"/>
      <c r="AD37" s="674"/>
      <c r="AE37" s="674"/>
      <c r="AF37" s="674"/>
      <c r="AG37" s="823"/>
      <c r="AH37" s="823"/>
      <c r="AI37" s="823"/>
      <c r="AJ37" s="823"/>
    </row>
    <row r="38" spans="1:37">
      <c r="A38" s="3545"/>
      <c r="B38" s="562" t="s">
        <v>2494</v>
      </c>
      <c r="C38" s="651">
        <f>ROUND(D5*C22*C23*C24*C28*F38,0)</f>
        <v>10527</v>
      </c>
      <c r="D38" s="652"/>
      <c r="E38" s="515">
        <f t="shared" ref="E38:E42" si="4">ROUND(C38*D38/10000,0)</f>
        <v>0</v>
      </c>
      <c r="F38" s="515">
        <f>SUMIF(修正!A59:A70,G2,修正!C59:C70)</f>
        <v>0.4</v>
      </c>
      <c r="G38" s="515">
        <f>ROUND(IF(E2="工业",C38*$M$42,C38*$M$41),0)</f>
        <v>2632</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545"/>
      <c r="B39" s="562" t="s">
        <v>2495</v>
      </c>
      <c r="C39" s="651">
        <f>ROUND(D5*C22*C23*C24*C28*F39,0)</f>
        <v>7895</v>
      </c>
      <c r="D39" s="652"/>
      <c r="E39" s="515">
        <f t="shared" si="4"/>
        <v>0</v>
      </c>
      <c r="F39" s="515">
        <f>SUMIF(修正!A59:A70,G2,修正!D59:D70)</f>
        <v>0.3</v>
      </c>
      <c r="G39" s="515">
        <f>ROUND(IF(E2="工业",C39*$M$42,C39*$M$41),0)</f>
        <v>1974</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2496</v>
      </c>
      <c r="C40" s="515">
        <f>ROUND(D5*C22*C23*C24*C28*F40,0)</f>
        <v>7895</v>
      </c>
      <c r="D40" s="652"/>
      <c r="E40" s="515">
        <f t="shared" si="4"/>
        <v>0</v>
      </c>
      <c r="F40" s="651">
        <f>SUMIF(修正!A59:A70,G2,修正!E59:E70)</f>
        <v>0.3</v>
      </c>
      <c r="G40" s="515">
        <f>ROUND(IF(E2="工业",C40*$M$42,C40*$M$41),0)</f>
        <v>1974</v>
      </c>
      <c r="H40" s="515">
        <f t="shared" si="5"/>
        <v>0</v>
      </c>
      <c r="I40" s="515">
        <f t="shared" si="6"/>
        <v>0</v>
      </c>
      <c r="J40" s="785"/>
      <c r="L40" s="786" t="s">
        <v>2497</v>
      </c>
      <c r="M40" s="787"/>
      <c r="Z40" s="674"/>
      <c r="AA40" s="674"/>
      <c r="AB40" s="674"/>
      <c r="AC40" s="674"/>
      <c r="AD40" s="674"/>
      <c r="AE40" s="674"/>
      <c r="AF40" s="674"/>
      <c r="AG40" s="674"/>
      <c r="AH40" s="674"/>
      <c r="AI40" s="674"/>
      <c r="AJ40" s="674"/>
    </row>
    <row r="41" spans="1:37" s="503" customFormat="1">
      <c r="A41" s="671"/>
      <c r="B41" s="562" t="s">
        <v>2498</v>
      </c>
      <c r="C41" s="515">
        <f>ROUND(D5*C22*C23*C44*C28*F41,0)</f>
        <v>7895</v>
      </c>
      <c r="D41" s="652"/>
      <c r="E41" s="515">
        <f t="shared" si="4"/>
        <v>0</v>
      </c>
      <c r="F41" s="651">
        <f>SUMIF(修正!A59:A70,G2,修正!F59:F70)</f>
        <v>0.3</v>
      </c>
      <c r="G41" s="515">
        <f>ROUND(IF(E2="工业",C41*$M$42,C41*$M$41),0)</f>
        <v>1974</v>
      </c>
      <c r="H41" s="515">
        <f t="shared" si="5"/>
        <v>0</v>
      </c>
      <c r="I41" s="515">
        <f t="shared" si="6"/>
        <v>0</v>
      </c>
      <c r="J41" s="785"/>
      <c r="L41" s="788" t="s">
        <v>2499</v>
      </c>
      <c r="M41" s="789">
        <v>0.25</v>
      </c>
      <c r="Z41" s="674"/>
      <c r="AA41" s="674"/>
      <c r="AB41" s="674"/>
      <c r="AC41" s="674"/>
      <c r="AD41" s="674"/>
      <c r="AE41" s="674"/>
      <c r="AF41" s="674"/>
      <c r="AG41" s="674"/>
      <c r="AH41" s="674"/>
      <c r="AI41" s="674"/>
      <c r="AJ41" s="674"/>
    </row>
    <row r="42" spans="1:37" s="503" customFormat="1">
      <c r="A42" s="656"/>
      <c r="B42" s="672" t="s">
        <v>2500</v>
      </c>
      <c r="C42" s="597">
        <f>ROUND(D5*C22*C23*C44*C28*F42,0)</f>
        <v>5264</v>
      </c>
      <c r="D42" s="658">
        <f>'数据-基础表'!K14</f>
        <v>10776.5</v>
      </c>
      <c r="E42" s="597">
        <f t="shared" si="4"/>
        <v>5673</v>
      </c>
      <c r="F42" s="673">
        <f>SUMIF(修正!A59:A70,G2,修正!G59:G70)</f>
        <v>0.2</v>
      </c>
      <c r="G42" s="597">
        <f>ROUND(IF(E2="工业",C42*$M$42,C42*$M$41),0)</f>
        <v>1316</v>
      </c>
      <c r="H42" s="597">
        <f t="shared" si="5"/>
        <v>10776.5</v>
      </c>
      <c r="I42" s="597">
        <f t="shared" si="6"/>
        <v>1418</v>
      </c>
      <c r="J42" s="790"/>
      <c r="L42" s="791" t="s">
        <v>2476</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2501</v>
      </c>
      <c r="C44" s="510">
        <f>ROUND(POWER(1+E44,H44-G44)*(POWER(1+E44,G44)-1)/(POWER(1+E44,H44)-1),4)</f>
        <v>0.72650000000000003</v>
      </c>
      <c r="D44" s="515" t="s">
        <v>2450</v>
      </c>
      <c r="E44" s="676">
        <f>G24</f>
        <v>5.5E-2</v>
      </c>
      <c r="F44" s="515" t="s">
        <v>2451</v>
      </c>
      <c r="G44" s="677">
        <f>项目基本情况!E15</f>
        <v>21.08</v>
      </c>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2502</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2503</v>
      </c>
      <c r="B48" s="684">
        <f>1+E50</f>
        <v>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2504</v>
      </c>
      <c r="B49" s="690" t="s">
        <v>2505</v>
      </c>
      <c r="C49" s="690" t="s">
        <v>2506</v>
      </c>
      <c r="D49" s="690" t="s">
        <v>2507</v>
      </c>
      <c r="E49" s="691" t="s">
        <v>2508</v>
      </c>
      <c r="F49" s="692" t="s">
        <v>2509</v>
      </c>
      <c r="G49" s="690" t="s">
        <v>2308</v>
      </c>
      <c r="H49" s="693" t="s">
        <v>2510</v>
      </c>
      <c r="I49" s="690" t="s">
        <v>2511</v>
      </c>
      <c r="J49" s="794" t="s">
        <v>1722</v>
      </c>
      <c r="K49" s="794" t="s">
        <v>1723</v>
      </c>
      <c r="L49" s="794" t="s">
        <v>1724</v>
      </c>
      <c r="M49" s="794" t="s">
        <v>1725</v>
      </c>
      <c r="N49" s="794" t="s">
        <v>1726</v>
      </c>
      <c r="AA49" s="674"/>
      <c r="AB49" s="674"/>
      <c r="AC49" s="674"/>
      <c r="AD49" s="674"/>
      <c r="AE49" s="674"/>
      <c r="AF49" s="674"/>
      <c r="AG49" s="674"/>
      <c r="AH49" s="674"/>
      <c r="AI49" s="674"/>
      <c r="AJ49" s="674"/>
      <c r="AK49" s="674"/>
    </row>
    <row r="50" spans="1:37" s="503" customFormat="1" ht="24.75">
      <c r="A50" s="689" t="s">
        <v>2512</v>
      </c>
      <c r="B50" s="694">
        <f>估价对象房地状况!C4</f>
        <v>0</v>
      </c>
      <c r="C50" s="568"/>
      <c r="D50" s="695">
        <f t="shared" ref="D50:D58" si="7">SUMIF($J$49:$N$49,C50,J50:N50)</f>
        <v>0</v>
      </c>
      <c r="E50" s="696">
        <f>ROUND(SUM(D50:D58),4)</f>
        <v>0</v>
      </c>
      <c r="F50" s="697" t="str">
        <f>IF(E2="商业",SUMIF(L1:L12,G2,N1:N12),"——")</f>
        <v>——</v>
      </c>
      <c r="G50" s="698"/>
      <c r="H50" s="699" t="str">
        <f t="shared" ref="H50:H58" si="8">IFERROR(ROUNDDOWN($F$50*I50/2,4),"——")</f>
        <v>——</v>
      </c>
      <c r="I50" s="795">
        <v>0.3</v>
      </c>
      <c r="J50" s="796">
        <f t="shared" ref="J50:J58" si="9">K50+$G50</f>
        <v>0</v>
      </c>
      <c r="K50" s="796">
        <f t="shared" ref="K50:K58" si="10">$L50+$G50</f>
        <v>0</v>
      </c>
      <c r="L50" s="796">
        <v>0</v>
      </c>
      <c r="M50" s="796">
        <f t="shared" ref="M50:N58" si="11">L50-$G50</f>
        <v>0</v>
      </c>
      <c r="N50" s="796">
        <f t="shared" si="11"/>
        <v>0</v>
      </c>
      <c r="AA50" s="674"/>
      <c r="AB50" s="674"/>
      <c r="AC50" s="674"/>
      <c r="AD50" s="674"/>
      <c r="AE50" s="674"/>
      <c r="AF50" s="674"/>
      <c r="AG50" s="674"/>
      <c r="AH50" s="674"/>
      <c r="AI50" s="674"/>
      <c r="AJ50" s="674"/>
      <c r="AK50" s="674"/>
    </row>
    <row r="51" spans="1:37" s="503" customFormat="1" ht="14.25">
      <c r="A51" s="689" t="s">
        <v>2513</v>
      </c>
      <c r="B51" s="690">
        <f>估价对象房地状况!C18</f>
        <v>0</v>
      </c>
      <c r="C51" s="568"/>
      <c r="D51" s="695">
        <f t="shared" si="7"/>
        <v>0</v>
      </c>
      <c r="E51" s="700"/>
      <c r="F51" s="697"/>
      <c r="G51" s="698"/>
      <c r="H51" s="699" t="str">
        <f t="shared" si="8"/>
        <v>——</v>
      </c>
      <c r="I51" s="795">
        <v>0.22</v>
      </c>
      <c r="J51" s="796">
        <f t="shared" si="9"/>
        <v>0</v>
      </c>
      <c r="K51" s="796">
        <f t="shared" si="10"/>
        <v>0</v>
      </c>
      <c r="L51" s="796">
        <v>0</v>
      </c>
      <c r="M51" s="796">
        <f t="shared" si="11"/>
        <v>0</v>
      </c>
      <c r="N51" s="796">
        <f t="shared" si="11"/>
        <v>0</v>
      </c>
      <c r="AA51" s="674"/>
      <c r="AB51" s="674"/>
      <c r="AC51" s="674"/>
      <c r="AD51" s="674"/>
      <c r="AE51" s="674"/>
      <c r="AF51" s="674"/>
      <c r="AG51" s="674"/>
      <c r="AH51" s="674"/>
      <c r="AI51" s="674"/>
      <c r="AJ51" s="674"/>
      <c r="AK51" s="674"/>
    </row>
    <row r="52" spans="1:37" s="503" customFormat="1" ht="36">
      <c r="A52" s="701" t="s">
        <v>2514</v>
      </c>
      <c r="B52" s="690">
        <f>估价对象房地状况!C19</f>
        <v>0</v>
      </c>
      <c r="C52" s="568"/>
      <c r="D52" s="695">
        <f t="shared" si="7"/>
        <v>0</v>
      </c>
      <c r="E52" s="700"/>
      <c r="F52" s="697"/>
      <c r="G52" s="698"/>
      <c r="H52" s="699" t="str">
        <f t="shared" si="8"/>
        <v>——</v>
      </c>
      <c r="I52" s="795">
        <v>0.12</v>
      </c>
      <c r="J52" s="796">
        <f t="shared" si="9"/>
        <v>0</v>
      </c>
      <c r="K52" s="796">
        <f t="shared" si="10"/>
        <v>0</v>
      </c>
      <c r="L52" s="796">
        <v>0</v>
      </c>
      <c r="M52" s="796">
        <f t="shared" si="11"/>
        <v>0</v>
      </c>
      <c r="N52" s="796">
        <f t="shared" si="11"/>
        <v>0</v>
      </c>
      <c r="AA52" s="674"/>
      <c r="AB52" s="674"/>
      <c r="AC52" s="674"/>
      <c r="AD52" s="674"/>
      <c r="AE52" s="674"/>
      <c r="AF52" s="674"/>
      <c r="AG52" s="674"/>
      <c r="AH52" s="674"/>
      <c r="AI52" s="674"/>
      <c r="AJ52" s="674"/>
      <c r="AK52" s="674"/>
    </row>
    <row r="53" spans="1:37" s="503" customFormat="1" ht="36.75">
      <c r="A53" s="689" t="s">
        <v>2515</v>
      </c>
      <c r="B53" s="702" t="s">
        <v>2516</v>
      </c>
      <c r="C53" s="568"/>
      <c r="D53" s="695">
        <f t="shared" si="7"/>
        <v>0</v>
      </c>
      <c r="E53" s="700"/>
      <c r="F53" s="697"/>
      <c r="G53" s="698"/>
      <c r="H53" s="699" t="str">
        <f t="shared" si="8"/>
        <v>——</v>
      </c>
      <c r="I53" s="795">
        <v>0.05</v>
      </c>
      <c r="J53" s="796">
        <f t="shared" si="9"/>
        <v>0</v>
      </c>
      <c r="K53" s="796">
        <f t="shared" si="10"/>
        <v>0</v>
      </c>
      <c r="L53" s="796">
        <v>0</v>
      </c>
      <c r="M53" s="796">
        <f t="shared" si="11"/>
        <v>0</v>
      </c>
      <c r="N53" s="796">
        <f t="shared" si="11"/>
        <v>0</v>
      </c>
      <c r="AA53" s="674"/>
      <c r="AB53" s="674"/>
      <c r="AC53" s="674"/>
      <c r="AD53" s="674"/>
      <c r="AE53" s="674"/>
      <c r="AF53" s="674"/>
      <c r="AG53" s="674"/>
      <c r="AH53" s="674"/>
      <c r="AI53" s="674"/>
      <c r="AJ53" s="674"/>
      <c r="AK53" s="674"/>
    </row>
    <row r="54" spans="1:37" s="503" customFormat="1" ht="24">
      <c r="A54" s="689" t="s">
        <v>2517</v>
      </c>
      <c r="B54" s="690">
        <f>估价对象房地状况!C24</f>
        <v>0</v>
      </c>
      <c r="C54" s="568"/>
      <c r="D54" s="695">
        <f t="shared" si="7"/>
        <v>0</v>
      </c>
      <c r="E54" s="700"/>
      <c r="F54" s="697"/>
      <c r="G54" s="698"/>
      <c r="H54" s="699" t="str">
        <f t="shared" si="8"/>
        <v>——</v>
      </c>
      <c r="I54" s="795">
        <v>0.08</v>
      </c>
      <c r="J54" s="796">
        <f t="shared" si="9"/>
        <v>0</v>
      </c>
      <c r="K54" s="796">
        <f t="shared" si="10"/>
        <v>0</v>
      </c>
      <c r="L54" s="796">
        <v>0</v>
      </c>
      <c r="M54" s="796">
        <f t="shared" si="11"/>
        <v>0</v>
      </c>
      <c r="N54" s="796">
        <f t="shared" si="11"/>
        <v>0</v>
      </c>
      <c r="AA54" s="674"/>
      <c r="AB54" s="674"/>
      <c r="AC54" s="674"/>
      <c r="AD54" s="674"/>
      <c r="AE54" s="674"/>
      <c r="AF54" s="674"/>
      <c r="AG54" s="674"/>
      <c r="AH54" s="674"/>
      <c r="AI54" s="674"/>
      <c r="AJ54" s="674"/>
      <c r="AK54" s="674"/>
    </row>
    <row r="55" spans="1:37" s="503" customFormat="1" ht="24">
      <c r="A55" s="689" t="s">
        <v>2518</v>
      </c>
      <c r="B55" s="703" t="s">
        <v>2519</v>
      </c>
      <c r="C55" s="568"/>
      <c r="D55" s="695">
        <f t="shared" si="7"/>
        <v>0</v>
      </c>
      <c r="E55" s="700"/>
      <c r="F55" s="697"/>
      <c r="G55" s="698"/>
      <c r="H55" s="699" t="str">
        <f t="shared" si="8"/>
        <v>——</v>
      </c>
      <c r="I55" s="795">
        <v>0.05</v>
      </c>
      <c r="J55" s="796">
        <f t="shared" si="9"/>
        <v>0</v>
      </c>
      <c r="K55" s="796">
        <f t="shared" si="10"/>
        <v>0</v>
      </c>
      <c r="L55" s="796">
        <v>0</v>
      </c>
      <c r="M55" s="796">
        <f t="shared" si="11"/>
        <v>0</v>
      </c>
      <c r="N55" s="796">
        <f t="shared" si="11"/>
        <v>0</v>
      </c>
      <c r="AA55" s="674"/>
      <c r="AB55" s="674"/>
      <c r="AC55" s="674"/>
      <c r="AD55" s="674"/>
      <c r="AE55" s="674"/>
      <c r="AF55" s="674"/>
      <c r="AG55" s="674"/>
      <c r="AH55" s="674"/>
      <c r="AI55" s="674"/>
      <c r="AJ55" s="674"/>
      <c r="AK55" s="674"/>
    </row>
    <row r="56" spans="1:37" s="503" customFormat="1" ht="24">
      <c r="A56" s="704" t="s">
        <v>2520</v>
      </c>
      <c r="B56" s="705">
        <f>估价对象房地状况!C21</f>
        <v>0</v>
      </c>
      <c r="C56" s="568"/>
      <c r="D56" s="695">
        <f t="shared" si="7"/>
        <v>0</v>
      </c>
      <c r="E56" s="700"/>
      <c r="F56" s="697"/>
      <c r="G56" s="698"/>
      <c r="H56" s="699" t="str">
        <f t="shared" si="8"/>
        <v>——</v>
      </c>
      <c r="I56" s="795">
        <v>0.05</v>
      </c>
      <c r="J56" s="796">
        <f t="shared" si="9"/>
        <v>0</v>
      </c>
      <c r="K56" s="796">
        <f t="shared" si="10"/>
        <v>0</v>
      </c>
      <c r="L56" s="796">
        <v>0</v>
      </c>
      <c r="M56" s="796">
        <f t="shared" si="11"/>
        <v>0</v>
      </c>
      <c r="N56" s="796">
        <f t="shared" si="11"/>
        <v>0</v>
      </c>
      <c r="AA56" s="674"/>
      <c r="AB56" s="674"/>
      <c r="AC56" s="674"/>
      <c r="AD56" s="674"/>
      <c r="AE56" s="674"/>
      <c r="AF56" s="674"/>
      <c r="AG56" s="674"/>
      <c r="AH56" s="674"/>
      <c r="AI56" s="674"/>
      <c r="AJ56" s="674"/>
      <c r="AK56" s="674"/>
    </row>
    <row r="57" spans="1:37" s="503" customFormat="1" ht="24">
      <c r="A57" s="704" t="s">
        <v>2521</v>
      </c>
      <c r="B57" s="690">
        <f>估价对象房地状况!C22</f>
        <v>0</v>
      </c>
      <c r="C57" s="568"/>
      <c r="D57" s="695">
        <f t="shared" si="7"/>
        <v>0</v>
      </c>
      <c r="E57" s="700"/>
      <c r="F57" s="697"/>
      <c r="G57" s="698"/>
      <c r="H57" s="699" t="str">
        <f t="shared" si="8"/>
        <v>——</v>
      </c>
      <c r="I57" s="795">
        <v>0.08</v>
      </c>
      <c r="J57" s="796">
        <f t="shared" si="9"/>
        <v>0</v>
      </c>
      <c r="K57" s="796">
        <f t="shared" si="10"/>
        <v>0</v>
      </c>
      <c r="L57" s="796">
        <v>0</v>
      </c>
      <c r="M57" s="796">
        <f t="shared" si="11"/>
        <v>0</v>
      </c>
      <c r="N57" s="796">
        <f t="shared" si="11"/>
        <v>0</v>
      </c>
      <c r="AA57" s="674"/>
      <c r="AB57" s="674"/>
      <c r="AC57" s="674"/>
      <c r="AD57" s="674"/>
      <c r="AE57" s="674"/>
      <c r="AF57" s="674"/>
      <c r="AG57" s="674"/>
      <c r="AH57" s="674"/>
      <c r="AI57" s="674"/>
      <c r="AJ57" s="674"/>
      <c r="AK57" s="674"/>
    </row>
    <row r="58" spans="1:37" s="503" customFormat="1" ht="24">
      <c r="A58" s="706" t="s">
        <v>2522</v>
      </c>
      <c r="B58" s="707">
        <f>估价对象房地状况!C20</f>
        <v>0</v>
      </c>
      <c r="C58" s="568"/>
      <c r="D58" s="695">
        <f t="shared" si="7"/>
        <v>0</v>
      </c>
      <c r="E58" s="708"/>
      <c r="F58" s="697"/>
      <c r="G58" s="698"/>
      <c r="H58" s="699" t="str">
        <f t="shared" si="8"/>
        <v>——</v>
      </c>
      <c r="I58" s="797">
        <v>0.05</v>
      </c>
      <c r="J58" s="796">
        <f t="shared" si="9"/>
        <v>0</v>
      </c>
      <c r="K58" s="796">
        <f t="shared" si="10"/>
        <v>0</v>
      </c>
      <c r="L58" s="796">
        <v>0</v>
      </c>
      <c r="M58" s="796">
        <f t="shared" si="11"/>
        <v>0</v>
      </c>
      <c r="N58" s="796">
        <f t="shared" si="11"/>
        <v>0</v>
      </c>
      <c r="AA58" s="674"/>
      <c r="AB58" s="674"/>
      <c r="AC58" s="674"/>
      <c r="AD58" s="674"/>
      <c r="AE58" s="674"/>
      <c r="AF58" s="674"/>
      <c r="AG58" s="674"/>
      <c r="AH58" s="674"/>
      <c r="AI58" s="674"/>
      <c r="AJ58" s="674"/>
      <c r="AK58" s="674"/>
    </row>
    <row r="59" spans="1:37" s="503" customFormat="1" ht="15">
      <c r="A59" s="683" t="s">
        <v>2523</v>
      </c>
      <c r="B59" s="684">
        <f>1+E61</f>
        <v>1.0646</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2504</v>
      </c>
      <c r="B60" s="690"/>
      <c r="C60" s="690" t="s">
        <v>2506</v>
      </c>
      <c r="D60" s="690" t="s">
        <v>2507</v>
      </c>
      <c r="E60" s="691" t="s">
        <v>2508</v>
      </c>
      <c r="F60" s="692" t="s">
        <v>2524</v>
      </c>
      <c r="G60" s="690" t="s">
        <v>2308</v>
      </c>
      <c r="H60" s="693" t="s">
        <v>2510</v>
      </c>
      <c r="I60" s="690" t="s">
        <v>2511</v>
      </c>
      <c r="J60" s="794" t="s">
        <v>1722</v>
      </c>
      <c r="K60" s="794" t="s">
        <v>1723</v>
      </c>
      <c r="L60" s="794" t="s">
        <v>1724</v>
      </c>
      <c r="M60" s="794" t="s">
        <v>1725</v>
      </c>
      <c r="N60" s="794" t="s">
        <v>1726</v>
      </c>
      <c r="AA60" s="674"/>
      <c r="AB60" s="674"/>
      <c r="AC60" s="674"/>
      <c r="AD60" s="674"/>
      <c r="AE60" s="674"/>
      <c r="AF60" s="674"/>
      <c r="AG60" s="674"/>
      <c r="AH60" s="674"/>
      <c r="AI60" s="674"/>
      <c r="AJ60" s="674"/>
      <c r="AK60" s="674"/>
    </row>
    <row r="61" spans="1:37" s="503" customFormat="1" ht="24">
      <c r="A61" s="689" t="s">
        <v>2525</v>
      </c>
      <c r="B61" s="694">
        <f>估价对象房地状况!C17</f>
        <v>0</v>
      </c>
      <c r="C61" s="568" t="s">
        <v>1679</v>
      </c>
      <c r="D61" s="695">
        <f t="shared" ref="D61:D69" si="12">SUMIF($J$60:$N$60,C61,J61:N61)</f>
        <v>2.4199999999999999E-2</v>
      </c>
      <c r="E61" s="696">
        <f>ROUND(SUM(D61:D69),4)</f>
        <v>6.4600000000000005E-2</v>
      </c>
      <c r="F61" s="697">
        <f>IF(E2="办公",SUMIF(L1:L12,G2,N1:N12),"——")</f>
        <v>9.7000000000000003E-2</v>
      </c>
      <c r="G61" s="698">
        <f>H61</f>
        <v>1.21E-2</v>
      </c>
      <c r="H61" s="699">
        <f t="shared" ref="H61:H69" si="13">IFERROR(ROUNDDOWN($F$61*I61/2,4),"——")</f>
        <v>1.21E-2</v>
      </c>
      <c r="I61" s="795">
        <v>0.25</v>
      </c>
      <c r="J61" s="796">
        <f t="shared" ref="J61:J69" si="14">K61+$G61</f>
        <v>2.4199999999999999E-2</v>
      </c>
      <c r="K61" s="796">
        <f t="shared" ref="K61:K69" si="15">$L61+$G61</f>
        <v>1.21E-2</v>
      </c>
      <c r="L61" s="796">
        <v>0</v>
      </c>
      <c r="M61" s="796">
        <f t="shared" ref="M61:N69" si="16">L61-$G61</f>
        <v>-1.21E-2</v>
      </c>
      <c r="N61" s="796">
        <f t="shared" si="16"/>
        <v>-2.4199999999999999E-2</v>
      </c>
      <c r="AA61" s="674"/>
      <c r="AB61" s="674"/>
      <c r="AC61" s="674"/>
      <c r="AD61" s="674"/>
      <c r="AE61" s="674"/>
      <c r="AF61" s="674"/>
      <c r="AG61" s="674"/>
      <c r="AH61" s="674"/>
      <c r="AI61" s="674"/>
      <c r="AJ61" s="674"/>
      <c r="AK61" s="674"/>
    </row>
    <row r="62" spans="1:37" s="503" customFormat="1" ht="14.25">
      <c r="A62" s="689" t="s">
        <v>2513</v>
      </c>
      <c r="B62" s="690">
        <f>估价对象房地状况!C18</f>
        <v>0</v>
      </c>
      <c r="C62" s="568" t="s">
        <v>1680</v>
      </c>
      <c r="D62" s="695">
        <f t="shared" si="12"/>
        <v>1.26E-2</v>
      </c>
      <c r="E62" s="700"/>
      <c r="F62" s="697"/>
      <c r="G62" s="698">
        <f t="shared" ref="G62:G69" si="17">H62</f>
        <v>1.26E-2</v>
      </c>
      <c r="H62" s="699">
        <f t="shared" si="13"/>
        <v>1.26E-2</v>
      </c>
      <c r="I62" s="795">
        <v>0.26</v>
      </c>
      <c r="J62" s="796">
        <f t="shared" si="14"/>
        <v>2.52E-2</v>
      </c>
      <c r="K62" s="796">
        <f t="shared" si="15"/>
        <v>1.26E-2</v>
      </c>
      <c r="L62" s="796">
        <v>0</v>
      </c>
      <c r="M62" s="796">
        <f t="shared" si="16"/>
        <v>-1.26E-2</v>
      </c>
      <c r="N62" s="796">
        <f t="shared" si="16"/>
        <v>-2.52E-2</v>
      </c>
      <c r="AA62" s="674"/>
      <c r="AB62" s="674"/>
      <c r="AC62" s="674"/>
      <c r="AD62" s="674"/>
      <c r="AE62" s="674"/>
      <c r="AF62" s="674"/>
      <c r="AG62" s="674"/>
      <c r="AH62" s="674"/>
      <c r="AI62" s="674"/>
      <c r="AJ62" s="674"/>
      <c r="AK62" s="674"/>
    </row>
    <row r="63" spans="1:37" s="503" customFormat="1" ht="36">
      <c r="A63" s="701" t="s">
        <v>2514</v>
      </c>
      <c r="B63" s="690">
        <f>估价对象房地状况!C19</f>
        <v>0</v>
      </c>
      <c r="C63" s="568" t="s">
        <v>1680</v>
      </c>
      <c r="D63" s="695">
        <f t="shared" si="12"/>
        <v>5.3E-3</v>
      </c>
      <c r="E63" s="700"/>
      <c r="F63" s="697"/>
      <c r="G63" s="698">
        <f t="shared" si="17"/>
        <v>5.3E-3</v>
      </c>
      <c r="H63" s="699">
        <f t="shared" si="13"/>
        <v>5.3E-3</v>
      </c>
      <c r="I63" s="795">
        <v>0.11</v>
      </c>
      <c r="J63" s="796">
        <f t="shared" si="14"/>
        <v>1.06E-2</v>
      </c>
      <c r="K63" s="796">
        <f t="shared" si="15"/>
        <v>5.3E-3</v>
      </c>
      <c r="L63" s="796">
        <v>0</v>
      </c>
      <c r="M63" s="796">
        <f t="shared" si="16"/>
        <v>-5.3E-3</v>
      </c>
      <c r="N63" s="796">
        <f t="shared" si="16"/>
        <v>-1.06E-2</v>
      </c>
      <c r="AA63" s="674"/>
      <c r="AB63" s="674"/>
      <c r="AC63" s="674"/>
      <c r="AD63" s="674"/>
      <c r="AE63" s="674"/>
      <c r="AF63" s="674"/>
      <c r="AG63" s="674"/>
      <c r="AH63" s="674"/>
      <c r="AI63" s="674"/>
      <c r="AJ63" s="674"/>
      <c r="AK63" s="674"/>
    </row>
    <row r="64" spans="1:37" s="503" customFormat="1" ht="36.75">
      <c r="A64" s="689" t="s">
        <v>2515</v>
      </c>
      <c r="B64" s="702" t="s">
        <v>2516</v>
      </c>
      <c r="C64" s="568" t="s">
        <v>1680</v>
      </c>
      <c r="D64" s="695">
        <f t="shared" si="12"/>
        <v>2.3999999999999998E-3</v>
      </c>
      <c r="E64" s="700"/>
      <c r="F64" s="697"/>
      <c r="G64" s="698">
        <f t="shared" si="17"/>
        <v>2.3999999999999998E-3</v>
      </c>
      <c r="H64" s="699">
        <f t="shared" si="13"/>
        <v>2.3999999999999998E-3</v>
      </c>
      <c r="I64" s="795">
        <v>0.05</v>
      </c>
      <c r="J64" s="796">
        <f t="shared" si="14"/>
        <v>4.7999999999999996E-3</v>
      </c>
      <c r="K64" s="796">
        <f t="shared" si="15"/>
        <v>2.3999999999999998E-3</v>
      </c>
      <c r="L64" s="796">
        <v>0</v>
      </c>
      <c r="M64" s="796">
        <f t="shared" si="16"/>
        <v>-2.3999999999999998E-3</v>
      </c>
      <c r="N64" s="796">
        <f t="shared" si="16"/>
        <v>-4.7999999999999996E-3</v>
      </c>
      <c r="AA64" s="674"/>
      <c r="AB64" s="674"/>
      <c r="AC64" s="674"/>
      <c r="AD64" s="674"/>
      <c r="AE64" s="674"/>
      <c r="AF64" s="674"/>
      <c r="AG64" s="674"/>
      <c r="AH64" s="674"/>
      <c r="AI64" s="674"/>
      <c r="AJ64" s="674"/>
      <c r="AK64" s="674"/>
    </row>
    <row r="65" spans="1:37" s="503" customFormat="1" ht="24">
      <c r="A65" s="689" t="s">
        <v>2517</v>
      </c>
      <c r="B65" s="690">
        <f>估价对象房地状况!C24</f>
        <v>0</v>
      </c>
      <c r="C65" s="568" t="s">
        <v>1680</v>
      </c>
      <c r="D65" s="695">
        <f t="shared" si="12"/>
        <v>2.3999999999999998E-3</v>
      </c>
      <c r="E65" s="700"/>
      <c r="F65" s="697"/>
      <c r="G65" s="698">
        <f t="shared" si="17"/>
        <v>2.3999999999999998E-3</v>
      </c>
      <c r="H65" s="699">
        <f t="shared" si="13"/>
        <v>2.3999999999999998E-3</v>
      </c>
      <c r="I65" s="795">
        <v>0.05</v>
      </c>
      <c r="J65" s="796">
        <f t="shared" si="14"/>
        <v>4.7999999999999996E-3</v>
      </c>
      <c r="K65" s="796">
        <f t="shared" si="15"/>
        <v>2.3999999999999998E-3</v>
      </c>
      <c r="L65" s="796">
        <v>0</v>
      </c>
      <c r="M65" s="796">
        <f t="shared" si="16"/>
        <v>-2.3999999999999998E-3</v>
      </c>
      <c r="N65" s="796">
        <f t="shared" si="16"/>
        <v>-4.7999999999999996E-3</v>
      </c>
      <c r="AA65" s="674"/>
      <c r="AB65" s="674"/>
      <c r="AC65" s="674"/>
      <c r="AD65" s="674"/>
      <c r="AE65" s="674"/>
      <c r="AF65" s="674"/>
      <c r="AG65" s="674"/>
      <c r="AH65" s="674"/>
      <c r="AI65" s="674"/>
      <c r="AJ65" s="674"/>
      <c r="AK65" s="674"/>
    </row>
    <row r="66" spans="1:37" s="503" customFormat="1" ht="24">
      <c r="A66" s="689" t="s">
        <v>2518</v>
      </c>
      <c r="B66" s="703" t="s">
        <v>2519</v>
      </c>
      <c r="C66" s="568" t="s">
        <v>1680</v>
      </c>
      <c r="D66" s="695">
        <f t="shared" si="12"/>
        <v>2.8999999999999998E-3</v>
      </c>
      <c r="E66" s="700"/>
      <c r="F66" s="697"/>
      <c r="G66" s="698">
        <f t="shared" si="17"/>
        <v>2.8999999999999998E-3</v>
      </c>
      <c r="H66" s="699">
        <f t="shared" si="13"/>
        <v>2.8999999999999998E-3</v>
      </c>
      <c r="I66" s="795">
        <v>0.06</v>
      </c>
      <c r="J66" s="796">
        <f t="shared" si="14"/>
        <v>5.7999999999999996E-3</v>
      </c>
      <c r="K66" s="796">
        <f t="shared" si="15"/>
        <v>2.8999999999999998E-3</v>
      </c>
      <c r="L66" s="796">
        <v>0</v>
      </c>
      <c r="M66" s="796">
        <f t="shared" si="16"/>
        <v>-2.8999999999999998E-3</v>
      </c>
      <c r="N66" s="796">
        <f t="shared" si="16"/>
        <v>-5.7999999999999996E-3</v>
      </c>
      <c r="AA66" s="674"/>
      <c r="AB66" s="674"/>
      <c r="AC66" s="674"/>
      <c r="AD66" s="674"/>
      <c r="AE66" s="674"/>
      <c r="AF66" s="674"/>
      <c r="AG66" s="674"/>
      <c r="AH66" s="674"/>
      <c r="AI66" s="674"/>
      <c r="AJ66" s="674"/>
      <c r="AK66" s="674"/>
    </row>
    <row r="67" spans="1:37" s="503" customFormat="1" ht="24">
      <c r="A67" s="689" t="s">
        <v>2520</v>
      </c>
      <c r="B67" s="705">
        <f>估价对象房地状况!C21</f>
        <v>0</v>
      </c>
      <c r="C67" s="568" t="s">
        <v>1680</v>
      </c>
      <c r="D67" s="695">
        <f t="shared" si="12"/>
        <v>2.8999999999999998E-3</v>
      </c>
      <c r="E67" s="700"/>
      <c r="F67" s="697"/>
      <c r="G67" s="698">
        <f t="shared" si="17"/>
        <v>2.8999999999999998E-3</v>
      </c>
      <c r="H67" s="699">
        <f t="shared" si="13"/>
        <v>2.8999999999999998E-3</v>
      </c>
      <c r="I67" s="795">
        <v>0.06</v>
      </c>
      <c r="J67" s="796">
        <f t="shared" si="14"/>
        <v>5.7999999999999996E-3</v>
      </c>
      <c r="K67" s="796">
        <f t="shared" si="15"/>
        <v>2.8999999999999998E-3</v>
      </c>
      <c r="L67" s="796">
        <v>0</v>
      </c>
      <c r="M67" s="796">
        <f t="shared" si="16"/>
        <v>-2.8999999999999998E-3</v>
      </c>
      <c r="N67" s="796">
        <f t="shared" si="16"/>
        <v>-5.7999999999999996E-3</v>
      </c>
      <c r="AA67" s="674"/>
      <c r="AB67" s="674"/>
      <c r="AC67" s="674"/>
      <c r="AD67" s="674"/>
      <c r="AE67" s="674"/>
      <c r="AF67" s="674"/>
      <c r="AG67" s="674"/>
      <c r="AH67" s="674"/>
      <c r="AI67" s="674"/>
      <c r="AJ67" s="674"/>
      <c r="AK67" s="674"/>
    </row>
    <row r="68" spans="1:37" s="503" customFormat="1" ht="24">
      <c r="A68" s="689" t="s">
        <v>2521</v>
      </c>
      <c r="B68" s="705">
        <f>估价对象房地状况!C22</f>
        <v>0</v>
      </c>
      <c r="C68" s="568" t="s">
        <v>1679</v>
      </c>
      <c r="D68" s="695">
        <f t="shared" si="12"/>
        <v>8.6E-3</v>
      </c>
      <c r="E68" s="700"/>
      <c r="F68" s="697"/>
      <c r="G68" s="698">
        <f t="shared" si="17"/>
        <v>4.3E-3</v>
      </c>
      <c r="H68" s="699">
        <f t="shared" si="13"/>
        <v>4.3E-3</v>
      </c>
      <c r="I68" s="795">
        <v>0.09</v>
      </c>
      <c r="J68" s="796">
        <f t="shared" si="14"/>
        <v>8.6E-3</v>
      </c>
      <c r="K68" s="796">
        <f t="shared" si="15"/>
        <v>4.3E-3</v>
      </c>
      <c r="L68" s="796">
        <v>0</v>
      </c>
      <c r="M68" s="796">
        <f t="shared" si="16"/>
        <v>-4.3E-3</v>
      </c>
      <c r="N68" s="796">
        <f t="shared" si="16"/>
        <v>-8.6E-3</v>
      </c>
      <c r="AA68" s="674"/>
      <c r="AB68" s="674"/>
      <c r="AC68" s="674"/>
      <c r="AD68" s="674"/>
      <c r="AE68" s="674"/>
      <c r="AF68" s="674"/>
      <c r="AG68" s="674"/>
      <c r="AH68" s="674"/>
      <c r="AI68" s="674"/>
      <c r="AJ68" s="674"/>
      <c r="AK68" s="674"/>
    </row>
    <row r="69" spans="1:37" s="503" customFormat="1" ht="24">
      <c r="A69" s="706" t="s">
        <v>2522</v>
      </c>
      <c r="B69" s="827">
        <f>估价对象房地状况!C20</f>
        <v>0</v>
      </c>
      <c r="C69" s="568" t="s">
        <v>1680</v>
      </c>
      <c r="D69" s="695">
        <f t="shared" si="12"/>
        <v>3.3E-3</v>
      </c>
      <c r="E69" s="708"/>
      <c r="F69" s="697"/>
      <c r="G69" s="698">
        <f t="shared" si="17"/>
        <v>3.3E-3</v>
      </c>
      <c r="H69" s="699">
        <f t="shared" si="13"/>
        <v>3.3E-3</v>
      </c>
      <c r="I69" s="797">
        <v>7.0000000000000007E-2</v>
      </c>
      <c r="J69" s="796">
        <f t="shared" si="14"/>
        <v>6.6E-3</v>
      </c>
      <c r="K69" s="796">
        <f t="shared" si="15"/>
        <v>3.3E-3</v>
      </c>
      <c r="L69" s="796">
        <v>0</v>
      </c>
      <c r="M69" s="796">
        <f t="shared" si="16"/>
        <v>-3.3E-3</v>
      </c>
      <c r="N69" s="796">
        <f t="shared" si="16"/>
        <v>-6.6E-3</v>
      </c>
      <c r="AA69" s="674"/>
      <c r="AB69" s="674"/>
      <c r="AC69" s="674"/>
      <c r="AD69" s="674"/>
      <c r="AE69" s="674"/>
      <c r="AF69" s="674"/>
      <c r="AG69" s="674"/>
      <c r="AH69" s="674"/>
      <c r="AI69" s="674"/>
      <c r="AJ69" s="674"/>
      <c r="AK69" s="674"/>
    </row>
    <row r="70" spans="1:37" s="503" customFormat="1" ht="15">
      <c r="A70" s="683" t="s">
        <v>2526</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2504</v>
      </c>
      <c r="B71" s="690"/>
      <c r="C71" s="690" t="s">
        <v>2506</v>
      </c>
      <c r="D71" s="690" t="s">
        <v>2507</v>
      </c>
      <c r="E71" s="691" t="s">
        <v>2508</v>
      </c>
      <c r="F71" s="692" t="s">
        <v>2524</v>
      </c>
      <c r="G71" s="690" t="s">
        <v>2308</v>
      </c>
      <c r="H71" s="693" t="s">
        <v>2510</v>
      </c>
      <c r="I71" s="690" t="s">
        <v>2511</v>
      </c>
      <c r="J71" s="794" t="s">
        <v>1722</v>
      </c>
      <c r="K71" s="794" t="s">
        <v>1723</v>
      </c>
      <c r="L71" s="794" t="s">
        <v>1724</v>
      </c>
      <c r="M71" s="794" t="s">
        <v>1725</v>
      </c>
      <c r="N71" s="794" t="s">
        <v>1726</v>
      </c>
      <c r="AA71" s="674"/>
      <c r="AB71" s="674"/>
      <c r="AC71" s="674"/>
      <c r="AD71" s="674"/>
      <c r="AE71" s="674"/>
      <c r="AF71" s="674"/>
      <c r="AG71" s="674"/>
      <c r="AH71" s="674"/>
      <c r="AI71" s="674"/>
      <c r="AJ71" s="674"/>
      <c r="AK71" s="674"/>
    </row>
    <row r="72" spans="1:37" s="503" customFormat="1" ht="24">
      <c r="A72" s="689" t="s">
        <v>2527</v>
      </c>
      <c r="B72" s="694">
        <f>估价对象房地状况!C15</f>
        <v>0</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14.25">
      <c r="A73" s="689" t="s">
        <v>2513</v>
      </c>
      <c r="B73" s="690">
        <f>估价对象房地状况!C18</f>
        <v>0</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36">
      <c r="A74" s="701" t="s">
        <v>2514</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4.25">
      <c r="A75" s="689" t="s">
        <v>2528</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4">
      <c r="A76" s="689" t="s">
        <v>2520</v>
      </c>
      <c r="B76" s="705">
        <f>估价对象房地状况!C21</f>
        <v>0</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4">
      <c r="A77" s="689" t="s">
        <v>2521</v>
      </c>
      <c r="B77" s="705">
        <f>估价对象房地状况!C22</f>
        <v>0</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24">
      <c r="A78" s="689" t="s">
        <v>2518</v>
      </c>
      <c r="B78" s="703" t="s">
        <v>2519</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24">
      <c r="A79" s="689" t="s">
        <v>2522</v>
      </c>
      <c r="B79" s="694">
        <f>估价对象房地状况!C20</f>
        <v>0</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24">
      <c r="A80" s="706" t="s">
        <v>2529</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5">
      <c r="A81" s="683" t="s">
        <v>2530</v>
      </c>
      <c r="B81" s="684">
        <f>1+E83</f>
        <v>1</v>
      </c>
      <c r="C81" s="686"/>
      <c r="D81" s="686"/>
      <c r="E81" s="687"/>
      <c r="F81" s="688"/>
      <c r="G81" s="682"/>
      <c r="H81" s="682"/>
      <c r="I81" s="682"/>
      <c r="J81" s="681"/>
      <c r="K81" s="681"/>
      <c r="L81" s="681"/>
      <c r="M81" s="681"/>
      <c r="N81" s="681"/>
      <c r="Z81" s="507"/>
      <c r="AA81" s="505"/>
      <c r="AG81" s="509"/>
      <c r="AK81" s="505"/>
    </row>
    <row r="82" spans="1:37" ht="24.75">
      <c r="A82" s="689" t="s">
        <v>2504</v>
      </c>
      <c r="B82" s="690"/>
      <c r="C82" s="690" t="s">
        <v>2506</v>
      </c>
      <c r="D82" s="690" t="s">
        <v>2507</v>
      </c>
      <c r="E82" s="691" t="s">
        <v>2508</v>
      </c>
      <c r="F82" s="692" t="s">
        <v>2524</v>
      </c>
      <c r="G82" s="690" t="s">
        <v>2308</v>
      </c>
      <c r="H82" s="693" t="s">
        <v>2510</v>
      </c>
      <c r="I82" s="690" t="s">
        <v>2511</v>
      </c>
      <c r="J82" s="794" t="s">
        <v>1722</v>
      </c>
      <c r="K82" s="794" t="s">
        <v>1723</v>
      </c>
      <c r="L82" s="794" t="s">
        <v>1724</v>
      </c>
      <c r="M82" s="794" t="s">
        <v>1725</v>
      </c>
      <c r="N82" s="794" t="s">
        <v>1726</v>
      </c>
      <c r="Z82" s="507"/>
      <c r="AA82" s="505"/>
      <c r="AG82" s="509"/>
      <c r="AK82" s="505"/>
    </row>
    <row r="83" spans="1:37" ht="24">
      <c r="A83" s="689" t="s">
        <v>2531</v>
      </c>
      <c r="B83" s="690">
        <f>估价对象房地状况!G15</f>
        <v>0</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14.25">
      <c r="A84" s="689" t="s">
        <v>2513</v>
      </c>
      <c r="B84" s="690">
        <f>估价对象房地状况!G16</f>
        <v>0</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36">
      <c r="A85" s="701" t="s">
        <v>2514</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4.25">
      <c r="A86" s="689" t="s">
        <v>2528</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4">
      <c r="A87" s="689" t="s">
        <v>2520</v>
      </c>
      <c r="B87" s="705">
        <f>估价对象房地状况!G19</f>
        <v>0</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4">
      <c r="A88" s="689" t="s">
        <v>2521</v>
      </c>
      <c r="B88" s="705">
        <f>估价对象房地状况!G20</f>
        <v>0</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24">
      <c r="A89" s="689" t="s">
        <v>2518</v>
      </c>
      <c r="B89" s="703" t="s">
        <v>2532</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14.25">
      <c r="A90" s="706" t="s">
        <v>2533</v>
      </c>
      <c r="B90" s="831">
        <f>估价对象房地状况!G18</f>
        <v>0</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5">
      <c r="A91" s="832" t="s">
        <v>231</v>
      </c>
      <c r="B91" s="833">
        <f>1+E93</f>
        <v>1</v>
      </c>
      <c r="C91" s="834"/>
      <c r="D91" s="835"/>
      <c r="E91" s="697"/>
      <c r="F91" s="697"/>
      <c r="G91" s="836"/>
      <c r="H91" s="837"/>
      <c r="I91" s="870"/>
      <c r="J91" s="871"/>
      <c r="K91" s="871"/>
      <c r="L91" s="871"/>
      <c r="M91" s="871"/>
      <c r="N91" s="871"/>
    </row>
    <row r="92" spans="1:37" ht="24.75">
      <c r="A92" s="838" t="s">
        <v>2504</v>
      </c>
      <c r="B92" s="580"/>
      <c r="C92" s="580" t="s">
        <v>2506</v>
      </c>
      <c r="D92" s="580" t="s">
        <v>2507</v>
      </c>
      <c r="E92" s="808" t="s">
        <v>2508</v>
      </c>
      <c r="F92" s="839" t="s">
        <v>2524</v>
      </c>
      <c r="G92" s="580" t="s">
        <v>2308</v>
      </c>
      <c r="H92" s="840" t="s">
        <v>2510</v>
      </c>
      <c r="I92" s="580" t="s">
        <v>2511</v>
      </c>
      <c r="J92" s="872" t="s">
        <v>1722</v>
      </c>
      <c r="K92" s="872" t="s">
        <v>1723</v>
      </c>
      <c r="L92" s="872" t="s">
        <v>1724</v>
      </c>
      <c r="M92" s="872" t="s">
        <v>1725</v>
      </c>
      <c r="N92" s="872" t="s">
        <v>1726</v>
      </c>
    </row>
    <row r="93" spans="1:37" ht="24">
      <c r="A93" s="701" t="s">
        <v>2534</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14.25">
      <c r="A94" s="838" t="s">
        <v>2513</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36">
      <c r="A95" s="701" t="s">
        <v>2514</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6.75">
      <c r="A96" s="838" t="s">
        <v>2515</v>
      </c>
      <c r="B96" s="846" t="s">
        <v>2516</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2517</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24">
      <c r="A98" s="838" t="s">
        <v>2518</v>
      </c>
      <c r="B98" s="847" t="s">
        <v>2519</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2520</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2521</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24">
      <c r="A101" s="848" t="s">
        <v>2522</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540" t="s">
        <v>2535</v>
      </c>
      <c r="B103" s="3540"/>
      <c r="C103" s="3540"/>
      <c r="D103" s="3540"/>
      <c r="E103" s="3540"/>
      <c r="F103" s="3540"/>
      <c r="G103" s="3540"/>
      <c r="H103" s="3540"/>
      <c r="I103" s="3540"/>
      <c r="J103" s="3540"/>
      <c r="K103" s="851"/>
      <c r="L103" s="851"/>
      <c r="M103" s="851"/>
      <c r="N103" s="851"/>
    </row>
    <row r="104" spans="1:14">
      <c r="A104" s="3546" t="s">
        <v>2536</v>
      </c>
      <c r="B104" s="3546" t="s">
        <v>2537</v>
      </c>
      <c r="C104" s="853" t="s">
        <v>2538</v>
      </c>
      <c r="D104" s="854"/>
      <c r="E104" s="854"/>
      <c r="F104" s="854"/>
      <c r="G104" s="854"/>
      <c r="H104" s="854"/>
      <c r="I104" s="854"/>
      <c r="J104" s="873"/>
      <c r="K104" s="874"/>
      <c r="L104" s="874"/>
      <c r="M104" s="874"/>
      <c r="N104" s="874"/>
    </row>
    <row r="105" spans="1:14">
      <c r="A105" s="3546"/>
      <c r="B105" s="3546"/>
      <c r="C105" s="852" t="s">
        <v>2385</v>
      </c>
      <c r="D105" s="852" t="s">
        <v>2386</v>
      </c>
      <c r="E105" s="852" t="s">
        <v>2387</v>
      </c>
      <c r="F105" s="852" t="s">
        <v>2388</v>
      </c>
      <c r="G105" s="852" t="s">
        <v>2389</v>
      </c>
      <c r="H105" s="852" t="s">
        <v>2390</v>
      </c>
      <c r="I105" s="852" t="s">
        <v>2391</v>
      </c>
      <c r="J105" s="852" t="s">
        <v>2392</v>
      </c>
      <c r="K105" s="852" t="s">
        <v>2393</v>
      </c>
      <c r="L105" s="852" t="s">
        <v>2394</v>
      </c>
      <c r="M105" s="852" t="s">
        <v>2395</v>
      </c>
      <c r="N105" s="852" t="s">
        <v>2396</v>
      </c>
    </row>
    <row r="106" spans="1:14">
      <c r="A106" s="3547" t="s">
        <v>2539</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548"/>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548"/>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548"/>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548"/>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548"/>
      <c r="B111" s="852" t="s">
        <v>2401</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549"/>
      <c r="B112" s="852">
        <v>6</v>
      </c>
      <c r="C112" s="840">
        <f>(-0.5556*(C111^2)-0.2719*C111+8944)*(10^(-4))</f>
        <v>0.89440000000000008</v>
      </c>
      <c r="D112" s="840">
        <f>(-0.5556*(D111^2)-0.2719*D111+8944)*(10^(-4))</f>
        <v>0.89440000000000008</v>
      </c>
      <c r="E112" s="840">
        <f>(-0.7912*(E111^2)-11.3794*E111+8482)*(10^(-4))</f>
        <v>0.84820000000000007</v>
      </c>
      <c r="F112" s="840">
        <f t="shared" ref="F112:I112" si="34">(-0.7912*(F111^2)-11.3794*F111+8482)*(10^(-4))</f>
        <v>0.84820000000000007</v>
      </c>
      <c r="G112" s="840">
        <f t="shared" si="34"/>
        <v>0.84820000000000007</v>
      </c>
      <c r="H112" s="840">
        <f t="shared" si="34"/>
        <v>0.84820000000000007</v>
      </c>
      <c r="I112" s="840">
        <f t="shared" si="34"/>
        <v>0.84820000000000007</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541" t="s">
        <v>2540</v>
      </c>
      <c r="B113" s="3541"/>
      <c r="C113" s="3541"/>
      <c r="D113" s="3541"/>
      <c r="E113" s="3541"/>
      <c r="F113" s="3541"/>
      <c r="G113" s="3541"/>
      <c r="H113" s="3541"/>
      <c r="I113" s="3541"/>
      <c r="J113" s="3541"/>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2541</v>
      </c>
      <c r="B116" s="859">
        <f>G3</f>
        <v>4.32</v>
      </c>
      <c r="C116" s="860" t="s">
        <v>2542</v>
      </c>
      <c r="D116" s="861">
        <f>SUMPRODUCT((A118:A122=F116)*(B117:M117=H116)*B118:M122)</f>
        <v>0.9446</v>
      </c>
      <c r="E116" s="513" t="s">
        <v>2360</v>
      </c>
      <c r="F116" s="862" t="str">
        <f>E2</f>
        <v>办公</v>
      </c>
      <c r="G116" s="513" t="s">
        <v>2361</v>
      </c>
      <c r="H116" s="862" t="str">
        <f>G2</f>
        <v>一级</v>
      </c>
      <c r="I116" s="513"/>
      <c r="J116" s="875"/>
      <c r="K116" s="875"/>
      <c r="L116" s="875"/>
      <c r="M116" s="875"/>
      <c r="N116" s="857"/>
    </row>
    <row r="117" spans="1:14">
      <c r="A117" s="863"/>
      <c r="B117" s="864" t="s">
        <v>2543</v>
      </c>
      <c r="C117" s="864" t="s">
        <v>2544</v>
      </c>
      <c r="D117" s="864" t="s">
        <v>2545</v>
      </c>
      <c r="E117" s="865" t="s">
        <v>2546</v>
      </c>
      <c r="F117" s="865" t="s">
        <v>2547</v>
      </c>
      <c r="G117" s="865" t="s">
        <v>2548</v>
      </c>
      <c r="H117" s="866" t="s">
        <v>2549</v>
      </c>
      <c r="I117" s="866" t="s">
        <v>2550</v>
      </c>
      <c r="J117" s="876" t="s">
        <v>2551</v>
      </c>
      <c r="K117" s="876" t="s">
        <v>2552</v>
      </c>
      <c r="L117" s="876" t="s">
        <v>2553</v>
      </c>
      <c r="M117" s="877" t="s">
        <v>2554</v>
      </c>
      <c r="N117" s="857"/>
    </row>
    <row r="118" spans="1:14">
      <c r="A118" s="773" t="s">
        <v>2473</v>
      </c>
      <c r="B118" s="840">
        <f>ROUND(0.9968-0.011*B116,4)</f>
        <v>0.94930000000000003</v>
      </c>
      <c r="C118" s="840">
        <f>B118</f>
        <v>0.94930000000000003</v>
      </c>
      <c r="D118" s="840">
        <f>ROUND(0.949-0.014*B116,4)</f>
        <v>0.88849999999999996</v>
      </c>
      <c r="E118" s="840">
        <f>D118</f>
        <v>0.88849999999999996</v>
      </c>
      <c r="F118" s="840">
        <f>E118</f>
        <v>0.88849999999999996</v>
      </c>
      <c r="G118" s="840">
        <f>F118</f>
        <v>0.88849999999999996</v>
      </c>
      <c r="H118" s="840">
        <f>G118</f>
        <v>0.88849999999999996</v>
      </c>
      <c r="I118" s="840">
        <f>ROUND(0.8486-0.018*B116,4)</f>
        <v>0.77080000000000004</v>
      </c>
      <c r="J118" s="840">
        <f t="shared" ref="J118:M122" si="36">I118</f>
        <v>0.77080000000000004</v>
      </c>
      <c r="K118" s="840">
        <f t="shared" si="36"/>
        <v>0.77080000000000004</v>
      </c>
      <c r="L118" s="840">
        <f t="shared" si="36"/>
        <v>0.77080000000000004</v>
      </c>
      <c r="M118" s="878">
        <f t="shared" si="36"/>
        <v>0.77080000000000004</v>
      </c>
      <c r="N118" s="857"/>
    </row>
    <row r="119" spans="1:14">
      <c r="A119" s="773" t="s">
        <v>2474</v>
      </c>
      <c r="B119" s="840">
        <f>ROUND(0.993-0.0112*B116,4)</f>
        <v>0.9446</v>
      </c>
      <c r="C119" s="840">
        <f>B119</f>
        <v>0.9446</v>
      </c>
      <c r="D119" s="840">
        <f>ROUND(0.9415-0.0142*B116,4)</f>
        <v>0.88019999999999998</v>
      </c>
      <c r="E119" s="840">
        <f t="shared" ref="E119:H120" si="37">D119</f>
        <v>0.88019999999999998</v>
      </c>
      <c r="F119" s="840">
        <f t="shared" si="37"/>
        <v>0.88019999999999998</v>
      </c>
      <c r="G119" s="840">
        <f t="shared" si="37"/>
        <v>0.88019999999999998</v>
      </c>
      <c r="H119" s="840">
        <f t="shared" si="37"/>
        <v>0.88019999999999998</v>
      </c>
      <c r="I119" s="840">
        <f>ROUND(0.838-0.0182*B116,4)</f>
        <v>0.75939999999999996</v>
      </c>
      <c r="J119" s="840">
        <f t="shared" si="36"/>
        <v>0.75939999999999996</v>
      </c>
      <c r="K119" s="840">
        <f t="shared" si="36"/>
        <v>0.75939999999999996</v>
      </c>
      <c r="L119" s="840">
        <f t="shared" si="36"/>
        <v>0.75939999999999996</v>
      </c>
      <c r="M119" s="878">
        <f t="shared" si="36"/>
        <v>0.75939999999999996</v>
      </c>
      <c r="N119" s="857"/>
    </row>
    <row r="120" spans="1:14">
      <c r="A120" s="773" t="s">
        <v>2475</v>
      </c>
      <c r="B120" s="840">
        <f>ROUND(0.9448-0.0115*B116,4)</f>
        <v>0.89510000000000001</v>
      </c>
      <c r="C120" s="840">
        <f>B120</f>
        <v>0.89510000000000001</v>
      </c>
      <c r="D120" s="840">
        <f>ROUND(0.937-0.0145*B116,4)</f>
        <v>0.87439999999999996</v>
      </c>
      <c r="E120" s="840">
        <f t="shared" si="37"/>
        <v>0.87439999999999996</v>
      </c>
      <c r="F120" s="840">
        <f t="shared" si="37"/>
        <v>0.87439999999999996</v>
      </c>
      <c r="G120" s="840">
        <f t="shared" si="37"/>
        <v>0.87439999999999996</v>
      </c>
      <c r="H120" s="840">
        <f t="shared" si="37"/>
        <v>0.87439999999999996</v>
      </c>
      <c r="I120" s="840">
        <f>ROUND(0.7965-0.0185*B116,4)</f>
        <v>0.71660000000000001</v>
      </c>
      <c r="J120" s="840">
        <f t="shared" si="36"/>
        <v>0.71660000000000001</v>
      </c>
      <c r="K120" s="840">
        <f t="shared" si="36"/>
        <v>0.71660000000000001</v>
      </c>
      <c r="L120" s="840">
        <f t="shared" si="36"/>
        <v>0.71660000000000001</v>
      </c>
      <c r="M120" s="878">
        <f t="shared" si="36"/>
        <v>0.71660000000000001</v>
      </c>
      <c r="N120" s="857"/>
    </row>
    <row r="121" spans="1:14">
      <c r="A121" s="867" t="s">
        <v>2476</v>
      </c>
      <c r="B121" s="868">
        <f>ROUND(0.7836-0.012*B116,4)</f>
        <v>0.73180000000000001</v>
      </c>
      <c r="C121" s="868">
        <f>B121</f>
        <v>0.73180000000000001</v>
      </c>
      <c r="D121" s="868">
        <f>ROUND(0.753-0.015*B116,4)</f>
        <v>0.68820000000000003</v>
      </c>
      <c r="E121" s="868">
        <f>D121</f>
        <v>0.68820000000000003</v>
      </c>
      <c r="F121" s="868">
        <f>E121</f>
        <v>0.68820000000000003</v>
      </c>
      <c r="G121" s="868">
        <f>ROUND(0.6612-0.018*B116,4)</f>
        <v>0.58340000000000003</v>
      </c>
      <c r="H121" s="868">
        <f>G121</f>
        <v>0.58340000000000003</v>
      </c>
      <c r="I121" s="868">
        <f>ROUND(0.5905-0.019*B116,4)</f>
        <v>0.50839999999999996</v>
      </c>
      <c r="J121" s="868">
        <f t="shared" si="36"/>
        <v>0.50839999999999996</v>
      </c>
      <c r="K121" s="868">
        <f t="shared" si="36"/>
        <v>0.50839999999999996</v>
      </c>
      <c r="L121" s="868">
        <f t="shared" si="36"/>
        <v>0.50839999999999996</v>
      </c>
      <c r="M121" s="879">
        <f t="shared" si="36"/>
        <v>0.50839999999999996</v>
      </c>
      <c r="N121" s="857"/>
    </row>
    <row r="122" spans="1:14">
      <c r="A122" s="869" t="s">
        <v>231</v>
      </c>
      <c r="B122" s="840">
        <f>ROUND(0.9404-0.0106*B116,4)</f>
        <v>0.89459999999999995</v>
      </c>
      <c r="C122" s="840">
        <f>B122</f>
        <v>0.89459999999999995</v>
      </c>
      <c r="D122" s="840">
        <f>ROUND(0.8955-0.0135*B116,4)</f>
        <v>0.83720000000000006</v>
      </c>
      <c r="E122" s="840">
        <f t="shared" ref="E122:H122" si="38">D122</f>
        <v>0.83720000000000006</v>
      </c>
      <c r="F122" s="840">
        <f t="shared" si="38"/>
        <v>0.83720000000000006</v>
      </c>
      <c r="G122" s="840">
        <f t="shared" si="38"/>
        <v>0.83720000000000006</v>
      </c>
      <c r="H122" s="840">
        <f t="shared" si="38"/>
        <v>0.83720000000000006</v>
      </c>
      <c r="I122" s="840">
        <f>ROUND(0.7632-0.0166*B116,4)</f>
        <v>0.6915</v>
      </c>
      <c r="J122" s="840">
        <f t="shared" si="36"/>
        <v>0.6915</v>
      </c>
      <c r="K122" s="840">
        <f t="shared" si="36"/>
        <v>0.6915</v>
      </c>
      <c r="L122" s="840">
        <f t="shared" si="36"/>
        <v>0.6915</v>
      </c>
      <c r="M122" s="878">
        <f t="shared" si="36"/>
        <v>0.6915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
  <sheetViews>
    <sheetView zoomScale="85" zoomScaleNormal="85" workbookViewId="0">
      <selection activeCell="X38" sqref="X38"/>
    </sheetView>
  </sheetViews>
  <sheetFormatPr defaultColWidth="9"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workbookViewId="0">
      <selection activeCell="N22" sqref="N22"/>
    </sheetView>
  </sheetViews>
  <sheetFormatPr defaultColWidth="9" defaultRowHeight="13.5"/>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383</v>
      </c>
      <c r="B8" s="452">
        <v>80</v>
      </c>
      <c r="C8" s="452">
        <v>80</v>
      </c>
      <c r="D8" s="452">
        <v>70</v>
      </c>
      <c r="E8" s="452">
        <v>70</v>
      </c>
      <c r="F8" s="452">
        <v>70</v>
      </c>
      <c r="G8" s="452">
        <v>70</v>
      </c>
      <c r="H8" s="452">
        <v>70</v>
      </c>
      <c r="I8" s="452">
        <v>60</v>
      </c>
      <c r="J8" s="452">
        <v>60</v>
      </c>
      <c r="K8" s="452">
        <v>60</v>
      </c>
      <c r="L8" s="452">
        <v>60</v>
      </c>
      <c r="M8" s="498">
        <v>60</v>
      </c>
    </row>
    <row r="9" spans="1:13" ht="19.5" customHeight="1">
      <c r="A9" s="453" t="s">
        <v>384</v>
      </c>
      <c r="B9" s="454">
        <v>70</v>
      </c>
      <c r="C9" s="454">
        <v>70</v>
      </c>
      <c r="D9" s="454">
        <v>60</v>
      </c>
      <c r="E9" s="454">
        <v>60</v>
      </c>
      <c r="F9" s="454">
        <v>60</v>
      </c>
      <c r="G9" s="454">
        <v>60</v>
      </c>
      <c r="H9" s="454">
        <v>60</v>
      </c>
      <c r="I9" s="454">
        <v>50</v>
      </c>
      <c r="J9" s="454">
        <v>50</v>
      </c>
      <c r="K9" s="454">
        <v>50</v>
      </c>
      <c r="L9" s="454">
        <v>50</v>
      </c>
      <c r="M9" s="499">
        <v>50</v>
      </c>
    </row>
    <row r="10" spans="1:13" ht="19.5" customHeight="1">
      <c r="A10" s="453" t="s">
        <v>385</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386</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387</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388</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2437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390</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2555</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2556</v>
      </c>
      <c r="B18" s="457"/>
      <c r="C18" s="458"/>
      <c r="D18" s="458"/>
      <c r="E18" s="457"/>
      <c r="F18" s="458"/>
      <c r="G18" s="458"/>
    </row>
    <row r="19" spans="1:13" ht="19.5" customHeight="1">
      <c r="A19" s="456" t="s">
        <v>2557</v>
      </c>
      <c r="B19" s="459" t="s">
        <v>2558</v>
      </c>
      <c r="C19" s="459" t="s">
        <v>2559</v>
      </c>
      <c r="D19" s="460"/>
      <c r="E19" s="456" t="s">
        <v>2560</v>
      </c>
      <c r="F19" s="461"/>
      <c r="G19" s="461"/>
    </row>
    <row r="20" spans="1:13" ht="19.5" customHeight="1">
      <c r="A20" s="3555" t="s">
        <v>229</v>
      </c>
      <c r="B20" s="3561" t="s">
        <v>2561</v>
      </c>
      <c r="C20" s="462" t="s">
        <v>244</v>
      </c>
      <c r="D20" s="462"/>
      <c r="E20" s="463">
        <v>1</v>
      </c>
      <c r="F20" s="464" t="s">
        <v>2562</v>
      </c>
      <c r="G20" s="464"/>
    </row>
    <row r="21" spans="1:13" ht="19.5" customHeight="1">
      <c r="A21" s="3556"/>
      <c r="B21" s="3551"/>
      <c r="C21" s="465" t="s">
        <v>259</v>
      </c>
      <c r="D21" s="465"/>
      <c r="E21" s="466">
        <v>1</v>
      </c>
      <c r="F21" s="464" t="s">
        <v>2563</v>
      </c>
      <c r="G21" s="464"/>
    </row>
    <row r="22" spans="1:13" ht="19.5" customHeight="1">
      <c r="A22" s="3556"/>
      <c r="B22" s="3551"/>
      <c r="C22" s="465" t="s">
        <v>270</v>
      </c>
      <c r="D22" s="465"/>
      <c r="E22" s="466">
        <v>0.9</v>
      </c>
      <c r="F22" s="464" t="s">
        <v>2564</v>
      </c>
      <c r="G22" s="464"/>
    </row>
    <row r="23" spans="1:13" ht="19.5" customHeight="1">
      <c r="A23" s="3556"/>
      <c r="B23" s="3551"/>
      <c r="C23" s="465" t="s">
        <v>281</v>
      </c>
      <c r="D23" s="465"/>
      <c r="E23" s="466">
        <v>0.9</v>
      </c>
      <c r="F23" s="464" t="s">
        <v>2565</v>
      </c>
      <c r="G23" s="464"/>
    </row>
    <row r="24" spans="1:13" ht="19.5" customHeight="1">
      <c r="A24" s="3556"/>
      <c r="B24" s="3551"/>
      <c r="C24" s="465" t="s">
        <v>290</v>
      </c>
      <c r="D24" s="465"/>
      <c r="E24" s="466">
        <v>0.8</v>
      </c>
      <c r="F24" s="464" t="s">
        <v>2566</v>
      </c>
      <c r="G24" s="464"/>
    </row>
    <row r="25" spans="1:13" ht="19.5" customHeight="1">
      <c r="A25" s="3556"/>
      <c r="B25" s="3551"/>
      <c r="C25" s="465" t="s">
        <v>298</v>
      </c>
      <c r="D25" s="465"/>
      <c r="E25" s="466">
        <v>0.8</v>
      </c>
      <c r="F25" s="464"/>
      <c r="G25" s="464"/>
    </row>
    <row r="26" spans="1:13" ht="19.5" customHeight="1">
      <c r="A26" s="3556"/>
      <c r="B26" s="3551"/>
      <c r="C26" s="465" t="s">
        <v>306</v>
      </c>
      <c r="D26" s="465"/>
      <c r="E26" s="466">
        <v>0.43</v>
      </c>
      <c r="F26" s="464"/>
      <c r="G26" s="464"/>
    </row>
    <row r="27" spans="1:13" ht="19.5" customHeight="1">
      <c r="A27" s="3557"/>
      <c r="B27" s="3562"/>
      <c r="C27" s="467" t="s">
        <v>313</v>
      </c>
      <c r="D27" s="467"/>
      <c r="E27" s="468">
        <f>E26*0.9</f>
        <v>0.38700000000000001</v>
      </c>
      <c r="F27" s="464" t="s">
        <v>2567</v>
      </c>
      <c r="G27" s="464"/>
    </row>
    <row r="28" spans="1:13" ht="19.5" customHeight="1">
      <c r="A28" s="469" t="s">
        <v>230</v>
      </c>
      <c r="B28" s="470" t="s">
        <v>2561</v>
      </c>
      <c r="C28" s="471" t="s">
        <v>245</v>
      </c>
      <c r="D28" s="472"/>
      <c r="E28" s="473">
        <v>1</v>
      </c>
      <c r="F28" s="464" t="s">
        <v>2568</v>
      </c>
      <c r="G28" s="464"/>
    </row>
    <row r="29" spans="1:13" ht="19.5" customHeight="1">
      <c r="A29" s="3558" t="s">
        <v>231</v>
      </c>
      <c r="B29" s="3563" t="s">
        <v>231</v>
      </c>
      <c r="C29" s="474" t="s">
        <v>246</v>
      </c>
      <c r="D29" s="475"/>
      <c r="E29" s="463">
        <v>1</v>
      </c>
      <c r="F29" s="464" t="s">
        <v>2569</v>
      </c>
      <c r="G29" s="464"/>
    </row>
    <row r="30" spans="1:13" ht="19.5" customHeight="1">
      <c r="A30" s="3559"/>
      <c r="B30" s="3554"/>
      <c r="C30" s="476" t="s">
        <v>260</v>
      </c>
      <c r="D30" s="477"/>
      <c r="E30" s="466">
        <v>1</v>
      </c>
      <c r="F30" s="464" t="s">
        <v>2570</v>
      </c>
      <c r="G30" s="464"/>
    </row>
    <row r="31" spans="1:13" ht="19.5" customHeight="1">
      <c r="A31" s="3559"/>
      <c r="B31" s="3554"/>
      <c r="C31" s="476" t="s">
        <v>271</v>
      </c>
      <c r="D31" s="477"/>
      <c r="E31" s="466">
        <v>0.8</v>
      </c>
      <c r="F31" s="464" t="s">
        <v>2571</v>
      </c>
      <c r="G31" s="464"/>
    </row>
    <row r="32" spans="1:13" ht="19.5" customHeight="1">
      <c r="A32" s="3559"/>
      <c r="B32" s="3554"/>
      <c r="C32" s="476" t="s">
        <v>282</v>
      </c>
      <c r="D32" s="477"/>
      <c r="E32" s="466">
        <v>0.8</v>
      </c>
      <c r="F32" s="464" t="s">
        <v>2572</v>
      </c>
      <c r="G32" s="464"/>
    </row>
    <row r="33" spans="1:7" ht="19.5" customHeight="1">
      <c r="A33" s="3559"/>
      <c r="B33" s="3554"/>
      <c r="C33" s="476" t="s">
        <v>291</v>
      </c>
      <c r="D33" s="477"/>
      <c r="E33" s="466">
        <v>0.8</v>
      </c>
      <c r="F33" s="464" t="s">
        <v>2573</v>
      </c>
      <c r="G33" s="464"/>
    </row>
    <row r="34" spans="1:7" ht="19.5" customHeight="1">
      <c r="A34" s="3559"/>
      <c r="B34" s="3554"/>
      <c r="C34" s="476" t="s">
        <v>299</v>
      </c>
      <c r="D34" s="477"/>
      <c r="E34" s="466">
        <v>0.7</v>
      </c>
      <c r="F34" s="464" t="s">
        <v>2574</v>
      </c>
      <c r="G34" s="464"/>
    </row>
    <row r="35" spans="1:7" ht="19.5" customHeight="1">
      <c r="A35" s="3559"/>
      <c r="B35" s="3554"/>
      <c r="C35" s="476" t="s">
        <v>307</v>
      </c>
      <c r="D35" s="477"/>
      <c r="E35" s="466">
        <v>0.8</v>
      </c>
      <c r="F35" s="464" t="s">
        <v>2575</v>
      </c>
      <c r="G35" s="464"/>
    </row>
    <row r="36" spans="1:7" ht="19.5" customHeight="1">
      <c r="A36" s="3559"/>
      <c r="B36" s="3554"/>
      <c r="C36" s="476" t="s">
        <v>314</v>
      </c>
      <c r="D36" s="477"/>
      <c r="E36" s="466">
        <v>0.6</v>
      </c>
      <c r="F36" s="464" t="s">
        <v>2576</v>
      </c>
      <c r="G36" s="464"/>
    </row>
    <row r="37" spans="1:7" ht="19.5" customHeight="1">
      <c r="A37" s="3559"/>
      <c r="B37" s="3554"/>
      <c r="C37" s="476" t="s">
        <v>320</v>
      </c>
      <c r="D37" s="477"/>
      <c r="E37" s="466">
        <v>0.2</v>
      </c>
      <c r="F37" s="464" t="s">
        <v>2577</v>
      </c>
      <c r="G37" s="464"/>
    </row>
    <row r="38" spans="1:7" ht="19.5" customHeight="1">
      <c r="A38" s="3559"/>
      <c r="B38" s="3554"/>
      <c r="C38" s="476" t="s">
        <v>326</v>
      </c>
      <c r="D38" s="477"/>
      <c r="E38" s="466">
        <v>0.2</v>
      </c>
      <c r="F38" s="464" t="s">
        <v>2578</v>
      </c>
      <c r="G38" s="464"/>
    </row>
    <row r="39" spans="1:7" ht="19.5" customHeight="1">
      <c r="A39" s="3559"/>
      <c r="B39" s="3552" t="s">
        <v>2579</v>
      </c>
      <c r="C39" s="476" t="s">
        <v>332</v>
      </c>
      <c r="D39" s="477"/>
      <c r="E39" s="466">
        <v>0.6</v>
      </c>
      <c r="F39" s="464" t="s">
        <v>2580</v>
      </c>
      <c r="G39" s="464"/>
    </row>
    <row r="40" spans="1:7" ht="19.5" customHeight="1">
      <c r="A40" s="3559"/>
      <c r="B40" s="3554"/>
      <c r="C40" s="476" t="s">
        <v>338</v>
      </c>
      <c r="D40" s="477"/>
      <c r="E40" s="466">
        <v>0.6</v>
      </c>
      <c r="F40" s="464" t="s">
        <v>2581</v>
      </c>
      <c r="G40" s="464"/>
    </row>
    <row r="41" spans="1:7" ht="19.5" customHeight="1">
      <c r="A41" s="3560"/>
      <c r="B41" s="3564"/>
      <c r="C41" s="478" t="s">
        <v>342</v>
      </c>
      <c r="D41" s="479"/>
      <c r="E41" s="468">
        <v>0.6</v>
      </c>
      <c r="F41" s="464" t="s">
        <v>2582</v>
      </c>
      <c r="G41" s="464"/>
    </row>
    <row r="42" spans="1:7" ht="19.5" customHeight="1">
      <c r="A42" s="480" t="s">
        <v>232</v>
      </c>
      <c r="B42" s="481" t="s">
        <v>232</v>
      </c>
      <c r="C42" s="482" t="s">
        <v>247</v>
      </c>
      <c r="D42" s="483"/>
      <c r="E42" s="484">
        <v>1</v>
      </c>
      <c r="F42" s="464" t="s">
        <v>2583</v>
      </c>
      <c r="G42" s="464"/>
    </row>
    <row r="43" spans="1:7" ht="19.5" customHeight="1">
      <c r="A43" s="3555" t="s">
        <v>233</v>
      </c>
      <c r="B43" s="3563" t="s">
        <v>2584</v>
      </c>
      <c r="C43" s="474" t="s">
        <v>248</v>
      </c>
      <c r="D43" s="475"/>
      <c r="E43" s="463">
        <v>1</v>
      </c>
      <c r="F43" s="464" t="s">
        <v>2585</v>
      </c>
      <c r="G43" s="464"/>
    </row>
    <row r="44" spans="1:7" ht="19.5" customHeight="1">
      <c r="A44" s="3556"/>
      <c r="B44" s="3554"/>
      <c r="C44" s="476" t="s">
        <v>261</v>
      </c>
      <c r="D44" s="477"/>
      <c r="E44" s="466">
        <v>1</v>
      </c>
      <c r="F44" s="464" t="s">
        <v>2586</v>
      </c>
      <c r="G44" s="464"/>
    </row>
    <row r="45" spans="1:7" ht="19.5" customHeight="1">
      <c r="A45" s="3556"/>
      <c r="B45" s="3553"/>
      <c r="C45" s="476" t="s">
        <v>272</v>
      </c>
      <c r="D45" s="477"/>
      <c r="E45" s="466">
        <v>1.5</v>
      </c>
      <c r="F45" s="464" t="s">
        <v>2587</v>
      </c>
      <c r="G45" s="464"/>
    </row>
    <row r="46" spans="1:7" ht="19.5" customHeight="1">
      <c r="A46" s="3556"/>
      <c r="B46" s="465" t="s">
        <v>231</v>
      </c>
      <c r="C46" s="476" t="s">
        <v>283</v>
      </c>
      <c r="D46" s="477"/>
      <c r="E46" s="466">
        <v>2</v>
      </c>
      <c r="F46" s="464" t="s">
        <v>2588</v>
      </c>
      <c r="G46" s="464"/>
    </row>
    <row r="47" spans="1:7" ht="19.5" customHeight="1">
      <c r="A47" s="3556"/>
      <c r="B47" s="3552" t="s">
        <v>2589</v>
      </c>
      <c r="C47" s="476" t="s">
        <v>292</v>
      </c>
      <c r="D47" s="477"/>
      <c r="E47" s="466">
        <v>1</v>
      </c>
      <c r="F47" s="464" t="s">
        <v>2590</v>
      </c>
      <c r="G47" s="464"/>
    </row>
    <row r="48" spans="1:7" ht="19.5" customHeight="1">
      <c r="A48" s="3556"/>
      <c r="B48" s="3554"/>
      <c r="C48" s="476" t="s">
        <v>300</v>
      </c>
      <c r="D48" s="477"/>
      <c r="E48" s="466">
        <v>1</v>
      </c>
      <c r="F48" s="464" t="s">
        <v>2591</v>
      </c>
      <c r="G48" s="464"/>
    </row>
    <row r="49" spans="1:7" ht="19.5" customHeight="1">
      <c r="A49" s="3556"/>
      <c r="B49" s="3554"/>
      <c r="C49" s="476" t="s">
        <v>308</v>
      </c>
      <c r="D49" s="477"/>
      <c r="E49" s="466">
        <v>1</v>
      </c>
      <c r="F49" s="464" t="s">
        <v>2592</v>
      </c>
      <c r="G49" s="464"/>
    </row>
    <row r="50" spans="1:7" ht="19.5" customHeight="1">
      <c r="A50" s="3556"/>
      <c r="B50" s="3554"/>
      <c r="C50" s="476" t="s">
        <v>315</v>
      </c>
      <c r="D50" s="477"/>
      <c r="E50" s="466">
        <v>1</v>
      </c>
      <c r="F50" s="464" t="s">
        <v>2593</v>
      </c>
      <c r="G50" s="464"/>
    </row>
    <row r="51" spans="1:7" ht="19.5" customHeight="1">
      <c r="A51" s="3556"/>
      <c r="B51" s="3554"/>
      <c r="C51" s="476" t="s">
        <v>321</v>
      </c>
      <c r="D51" s="477"/>
      <c r="E51" s="466">
        <v>1</v>
      </c>
      <c r="F51" s="464" t="s">
        <v>2594</v>
      </c>
      <c r="G51" s="464"/>
    </row>
    <row r="52" spans="1:7" ht="19.5" customHeight="1">
      <c r="A52" s="3556"/>
      <c r="B52" s="3554"/>
      <c r="C52" s="476" t="s">
        <v>327</v>
      </c>
      <c r="D52" s="477"/>
      <c r="E52" s="466">
        <v>1</v>
      </c>
      <c r="F52" s="464" t="s">
        <v>2595</v>
      </c>
      <c r="G52" s="464"/>
    </row>
    <row r="53" spans="1:7" ht="19.5" customHeight="1">
      <c r="A53" s="3557"/>
      <c r="B53" s="3564"/>
      <c r="C53" s="478" t="s">
        <v>333</v>
      </c>
      <c r="D53" s="479"/>
      <c r="E53" s="468">
        <v>1</v>
      </c>
      <c r="F53" s="464" t="s">
        <v>2596</v>
      </c>
      <c r="G53" s="464"/>
    </row>
    <row r="54" spans="1:7" ht="19.5" customHeight="1">
      <c r="A54" s="486"/>
      <c r="B54" s="486"/>
      <c r="C54" s="486"/>
      <c r="D54" s="486"/>
      <c r="E54" s="486"/>
      <c r="F54" s="486"/>
      <c r="G54" s="486"/>
    </row>
    <row r="56" spans="1:7" ht="19.5" customHeight="1">
      <c r="A56" s="487"/>
      <c r="B56" s="454" t="s">
        <v>471</v>
      </c>
      <c r="C56" s="454" t="s">
        <v>471</v>
      </c>
      <c r="D56" s="454" t="s">
        <v>471</v>
      </c>
      <c r="E56" s="456" t="s">
        <v>471</v>
      </c>
      <c r="F56" s="456" t="s">
        <v>2597</v>
      </c>
      <c r="G56" s="456" t="s">
        <v>471</v>
      </c>
    </row>
    <row r="57" spans="1:7" ht="19.5" customHeight="1">
      <c r="A57" s="488"/>
      <c r="B57" s="456" t="s">
        <v>229</v>
      </c>
      <c r="C57" s="456" t="s">
        <v>229</v>
      </c>
      <c r="D57" s="456" t="s">
        <v>229</v>
      </c>
      <c r="E57" s="454" t="s">
        <v>230</v>
      </c>
      <c r="F57" s="454" t="s">
        <v>233</v>
      </c>
      <c r="G57" s="454" t="s">
        <v>600</v>
      </c>
    </row>
    <row r="58" spans="1:7" ht="19.5" customHeight="1">
      <c r="A58" s="489"/>
      <c r="B58" s="454">
        <v>1</v>
      </c>
      <c r="C58" s="454">
        <v>2</v>
      </c>
      <c r="D58" s="454">
        <v>3</v>
      </c>
      <c r="E58" s="490" t="s">
        <v>2598</v>
      </c>
      <c r="F58" s="490" t="s">
        <v>2598</v>
      </c>
      <c r="G58" s="490" t="s">
        <v>2598</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2599</v>
      </c>
      <c r="E72" s="501"/>
      <c r="F72" s="501"/>
    </row>
    <row r="73" spans="1:7" ht="19.5" customHeight="1">
      <c r="A73" s="465" t="s">
        <v>1153</v>
      </c>
      <c r="B73" s="465" t="s">
        <v>2600</v>
      </c>
      <c r="C73" s="465" t="s">
        <v>2601</v>
      </c>
      <c r="D73" s="465" t="s">
        <v>2602</v>
      </c>
      <c r="E73" s="465" t="s">
        <v>2603</v>
      </c>
      <c r="F73" s="465" t="s">
        <v>2604</v>
      </c>
    </row>
    <row r="74" spans="1:7" ht="13.5">
      <c r="A74" s="465"/>
      <c r="B74" s="465"/>
      <c r="C74" s="465" t="s">
        <v>2605</v>
      </c>
      <c r="D74" s="465"/>
      <c r="E74" s="465" t="s">
        <v>124</v>
      </c>
      <c r="F74" s="465" t="s">
        <v>124</v>
      </c>
    </row>
    <row r="75" spans="1:7" ht="13.5">
      <c r="A75" s="465">
        <v>1</v>
      </c>
      <c r="B75" s="3552" t="s">
        <v>1332</v>
      </c>
      <c r="C75" s="454" t="s">
        <v>2606</v>
      </c>
      <c r="D75" s="454" t="s">
        <v>2607</v>
      </c>
      <c r="E75" s="465">
        <v>0.2</v>
      </c>
      <c r="F75" s="465">
        <v>25</v>
      </c>
    </row>
    <row r="76" spans="1:7" ht="24">
      <c r="A76" s="465">
        <v>2</v>
      </c>
      <c r="B76" s="3554"/>
      <c r="C76" s="454" t="s">
        <v>2608</v>
      </c>
      <c r="D76" s="454" t="s">
        <v>2609</v>
      </c>
      <c r="E76" s="465">
        <v>0.2</v>
      </c>
      <c r="F76" s="465">
        <v>25</v>
      </c>
    </row>
    <row r="77" spans="1:7" ht="24">
      <c r="A77" s="465">
        <v>3</v>
      </c>
      <c r="B77" s="3554"/>
      <c r="C77" s="454" t="s">
        <v>2610</v>
      </c>
      <c r="D77" s="454" t="s">
        <v>2611</v>
      </c>
      <c r="E77" s="465">
        <v>0.2</v>
      </c>
      <c r="F77" s="465">
        <v>25</v>
      </c>
    </row>
    <row r="78" spans="1:7" ht="13.5">
      <c r="A78" s="465">
        <v>4</v>
      </c>
      <c r="B78" s="3554"/>
      <c r="C78" s="454" t="s">
        <v>2612</v>
      </c>
      <c r="D78" s="454" t="s">
        <v>2613</v>
      </c>
      <c r="E78" s="465">
        <v>0.15</v>
      </c>
      <c r="F78" s="465">
        <v>20</v>
      </c>
    </row>
    <row r="79" spans="1:7" ht="24">
      <c r="A79" s="465">
        <v>5</v>
      </c>
      <c r="B79" s="3554"/>
      <c r="C79" s="454" t="s">
        <v>2614</v>
      </c>
      <c r="D79" s="454" t="s">
        <v>2615</v>
      </c>
      <c r="E79" s="465">
        <v>0.15</v>
      </c>
      <c r="F79" s="465">
        <v>20</v>
      </c>
    </row>
    <row r="80" spans="1:7" ht="24">
      <c r="A80" s="465">
        <v>6</v>
      </c>
      <c r="B80" s="3554"/>
      <c r="C80" s="454" t="s">
        <v>2616</v>
      </c>
      <c r="D80" s="454" t="s">
        <v>2617</v>
      </c>
      <c r="E80" s="465">
        <v>0.15</v>
      </c>
      <c r="F80" s="465">
        <v>20</v>
      </c>
    </row>
    <row r="81" spans="1:6" ht="24">
      <c r="A81" s="465">
        <v>7</v>
      </c>
      <c r="B81" s="3554"/>
      <c r="C81" s="454" t="s">
        <v>2618</v>
      </c>
      <c r="D81" s="454" t="s">
        <v>2619</v>
      </c>
      <c r="E81" s="465">
        <v>0.15</v>
      </c>
      <c r="F81" s="465">
        <v>20</v>
      </c>
    </row>
    <row r="82" spans="1:6" ht="24">
      <c r="A82" s="465">
        <v>8</v>
      </c>
      <c r="B82" s="3554"/>
      <c r="C82" s="454" t="s">
        <v>2620</v>
      </c>
      <c r="D82" s="454" t="s">
        <v>2621</v>
      </c>
      <c r="E82" s="465">
        <v>0.1</v>
      </c>
      <c r="F82" s="465">
        <v>15</v>
      </c>
    </row>
    <row r="83" spans="1:6" ht="24">
      <c r="A83" s="465">
        <v>9</v>
      </c>
      <c r="B83" s="3554"/>
      <c r="C83" s="454" t="s">
        <v>2622</v>
      </c>
      <c r="D83" s="454" t="s">
        <v>2623</v>
      </c>
      <c r="E83" s="465">
        <v>0.1</v>
      </c>
      <c r="F83" s="465">
        <v>15</v>
      </c>
    </row>
    <row r="84" spans="1:6" ht="24">
      <c r="A84" s="465">
        <v>10</v>
      </c>
      <c r="B84" s="3554"/>
      <c r="C84" s="454" t="s">
        <v>2624</v>
      </c>
      <c r="D84" s="454" t="s">
        <v>2625</v>
      </c>
      <c r="E84" s="465">
        <v>0.1</v>
      </c>
      <c r="F84" s="465">
        <v>15</v>
      </c>
    </row>
    <row r="85" spans="1:6" ht="24">
      <c r="A85" s="465">
        <v>11</v>
      </c>
      <c r="B85" s="3554"/>
      <c r="C85" s="454" t="s">
        <v>2626</v>
      </c>
      <c r="D85" s="454" t="s">
        <v>2627</v>
      </c>
      <c r="E85" s="465">
        <v>0.1</v>
      </c>
      <c r="F85" s="465">
        <v>15</v>
      </c>
    </row>
    <row r="86" spans="1:6" ht="24">
      <c r="A86" s="465">
        <v>12</v>
      </c>
      <c r="B86" s="3554"/>
      <c r="C86" s="454" t="s">
        <v>2628</v>
      </c>
      <c r="D86" s="454" t="s">
        <v>2629</v>
      </c>
      <c r="E86" s="465">
        <v>0.1</v>
      </c>
      <c r="F86" s="465">
        <v>15</v>
      </c>
    </row>
    <row r="87" spans="1:6" ht="13.5">
      <c r="A87" s="465">
        <v>13</v>
      </c>
      <c r="B87" s="3554"/>
      <c r="C87" s="454" t="s">
        <v>2630</v>
      </c>
      <c r="D87" s="454" t="s">
        <v>2631</v>
      </c>
      <c r="E87" s="465">
        <v>0.1</v>
      </c>
      <c r="F87" s="465">
        <v>15</v>
      </c>
    </row>
    <row r="88" spans="1:6" ht="13.5">
      <c r="A88" s="465">
        <v>14</v>
      </c>
      <c r="B88" s="3554"/>
      <c r="C88" s="454" t="s">
        <v>2632</v>
      </c>
      <c r="D88" s="454" t="s">
        <v>2633</v>
      </c>
      <c r="E88" s="465">
        <v>0.1</v>
      </c>
      <c r="F88" s="465">
        <v>15</v>
      </c>
    </row>
    <row r="89" spans="1:6" ht="13.5">
      <c r="A89" s="465">
        <v>15</v>
      </c>
      <c r="B89" s="3554"/>
      <c r="C89" s="454" t="s">
        <v>2634</v>
      </c>
      <c r="D89" s="454" t="s">
        <v>2635</v>
      </c>
      <c r="E89" s="465">
        <v>0.1</v>
      </c>
      <c r="F89" s="465">
        <v>15</v>
      </c>
    </row>
    <row r="90" spans="1:6" ht="24">
      <c r="A90" s="465">
        <v>16</v>
      </c>
      <c r="B90" s="3554"/>
      <c r="C90" s="454" t="s">
        <v>2636</v>
      </c>
      <c r="D90" s="454" t="s">
        <v>2637</v>
      </c>
      <c r="E90" s="465">
        <v>0.1</v>
      </c>
      <c r="F90" s="465">
        <v>15</v>
      </c>
    </row>
    <row r="91" spans="1:6" ht="24">
      <c r="A91" s="465">
        <v>17</v>
      </c>
      <c r="B91" s="3553"/>
      <c r="C91" s="454" t="s">
        <v>2638</v>
      </c>
      <c r="D91" s="454" t="s">
        <v>2639</v>
      </c>
      <c r="E91" s="465">
        <v>0.1</v>
      </c>
      <c r="F91" s="465">
        <v>15</v>
      </c>
    </row>
    <row r="92" spans="1:6" ht="13.5">
      <c r="A92" s="465">
        <v>18</v>
      </c>
      <c r="B92" s="3552" t="s">
        <v>1205</v>
      </c>
      <c r="C92" s="454" t="s">
        <v>2640</v>
      </c>
      <c r="D92" s="454" t="s">
        <v>2641</v>
      </c>
      <c r="E92" s="465">
        <v>0.2</v>
      </c>
      <c r="F92" s="465">
        <v>25</v>
      </c>
    </row>
    <row r="93" spans="1:6" ht="24">
      <c r="A93" s="465">
        <v>19</v>
      </c>
      <c r="B93" s="3554"/>
      <c r="C93" s="454" t="s">
        <v>2642</v>
      </c>
      <c r="D93" s="454" t="s">
        <v>2643</v>
      </c>
      <c r="E93" s="465">
        <v>0.2</v>
      </c>
      <c r="F93" s="465">
        <v>25</v>
      </c>
    </row>
    <row r="94" spans="1:6" ht="13.5">
      <c r="A94" s="465">
        <v>20</v>
      </c>
      <c r="B94" s="3554"/>
      <c r="C94" s="454" t="s">
        <v>2644</v>
      </c>
      <c r="D94" s="454" t="s">
        <v>2645</v>
      </c>
      <c r="E94" s="465">
        <v>0.15</v>
      </c>
      <c r="F94" s="465">
        <v>20</v>
      </c>
    </row>
    <row r="95" spans="1:6" ht="13.5">
      <c r="A95" s="465">
        <v>21</v>
      </c>
      <c r="B95" s="3554"/>
      <c r="C95" s="454" t="s">
        <v>2646</v>
      </c>
      <c r="D95" s="454" t="s">
        <v>2647</v>
      </c>
      <c r="E95" s="465">
        <v>0.15</v>
      </c>
      <c r="F95" s="465">
        <v>20</v>
      </c>
    </row>
    <row r="96" spans="1:6" ht="13.5">
      <c r="A96" s="465">
        <v>22</v>
      </c>
      <c r="B96" s="3554"/>
      <c r="C96" s="454" t="s">
        <v>2648</v>
      </c>
      <c r="D96" s="454" t="s">
        <v>2649</v>
      </c>
      <c r="E96" s="465">
        <v>0.15</v>
      </c>
      <c r="F96" s="465">
        <v>20</v>
      </c>
    </row>
    <row r="97" spans="1:6" ht="36">
      <c r="A97" s="465">
        <v>23</v>
      </c>
      <c r="B97" s="3554"/>
      <c r="C97" s="454" t="s">
        <v>2650</v>
      </c>
      <c r="D97" s="454" t="s">
        <v>2651</v>
      </c>
      <c r="E97" s="465">
        <v>0.15</v>
      </c>
      <c r="F97" s="465">
        <v>20</v>
      </c>
    </row>
    <row r="98" spans="1:6" ht="13.5">
      <c r="A98" s="465">
        <v>24</v>
      </c>
      <c r="B98" s="3554"/>
      <c r="C98" s="454" t="s">
        <v>2652</v>
      </c>
      <c r="D98" s="454" t="s">
        <v>2653</v>
      </c>
      <c r="E98" s="465">
        <v>0.1</v>
      </c>
      <c r="F98" s="465">
        <v>15</v>
      </c>
    </row>
    <row r="99" spans="1:6" ht="13.5">
      <c r="A99" s="465">
        <v>25</v>
      </c>
      <c r="B99" s="3554"/>
      <c r="C99" s="454" t="s">
        <v>2654</v>
      </c>
      <c r="D99" s="454" t="s">
        <v>2655</v>
      </c>
      <c r="E99" s="465">
        <v>0.1</v>
      </c>
      <c r="F99" s="465">
        <v>15</v>
      </c>
    </row>
    <row r="100" spans="1:6" ht="24">
      <c r="A100" s="465">
        <v>26</v>
      </c>
      <c r="B100" s="3554"/>
      <c r="C100" s="454" t="s">
        <v>2656</v>
      </c>
      <c r="D100" s="454" t="s">
        <v>2657</v>
      </c>
      <c r="E100" s="465">
        <v>0.1</v>
      </c>
      <c r="F100" s="465">
        <v>15</v>
      </c>
    </row>
    <row r="101" spans="1:6" ht="24">
      <c r="A101" s="465">
        <v>27</v>
      </c>
      <c r="B101" s="3554"/>
      <c r="C101" s="454" t="s">
        <v>2658</v>
      </c>
      <c r="D101" s="454" t="s">
        <v>2659</v>
      </c>
      <c r="E101" s="465">
        <v>0.1</v>
      </c>
      <c r="F101" s="465">
        <v>15</v>
      </c>
    </row>
    <row r="102" spans="1:6" ht="13.5">
      <c r="A102" s="465">
        <v>28</v>
      </c>
      <c r="B102" s="3554"/>
      <c r="C102" s="454" t="s">
        <v>2660</v>
      </c>
      <c r="D102" s="454" t="s">
        <v>2661</v>
      </c>
      <c r="E102" s="465">
        <v>0.1</v>
      </c>
      <c r="F102" s="465">
        <v>15</v>
      </c>
    </row>
    <row r="103" spans="1:6" ht="13.5">
      <c r="A103" s="465">
        <v>29</v>
      </c>
      <c r="B103" s="3554"/>
      <c r="C103" s="454" t="s">
        <v>2662</v>
      </c>
      <c r="D103" s="454" t="s">
        <v>2663</v>
      </c>
      <c r="E103" s="465">
        <v>0.1</v>
      </c>
      <c r="F103" s="465">
        <v>15</v>
      </c>
    </row>
    <row r="104" spans="1:6" ht="13.5">
      <c r="A104" s="465">
        <v>30</v>
      </c>
      <c r="B104" s="3554"/>
      <c r="C104" s="454" t="s">
        <v>2664</v>
      </c>
      <c r="D104" s="454" t="s">
        <v>2665</v>
      </c>
      <c r="E104" s="465">
        <v>0.1</v>
      </c>
      <c r="F104" s="465">
        <v>15</v>
      </c>
    </row>
    <row r="105" spans="1:6" ht="24">
      <c r="A105" s="465">
        <v>31</v>
      </c>
      <c r="B105" s="3554"/>
      <c r="C105" s="454" t="s">
        <v>2666</v>
      </c>
      <c r="D105" s="454" t="s">
        <v>2667</v>
      </c>
      <c r="E105" s="465">
        <v>0.1</v>
      </c>
      <c r="F105" s="465">
        <v>15</v>
      </c>
    </row>
    <row r="106" spans="1:6" ht="24">
      <c r="A106" s="465">
        <v>32</v>
      </c>
      <c r="B106" s="3554"/>
      <c r="C106" s="454" t="s">
        <v>2668</v>
      </c>
      <c r="D106" s="454" t="s">
        <v>2669</v>
      </c>
      <c r="E106" s="465">
        <v>0.1</v>
      </c>
      <c r="F106" s="465">
        <v>15</v>
      </c>
    </row>
    <row r="107" spans="1:6" ht="24">
      <c r="A107" s="465">
        <v>33</v>
      </c>
      <c r="B107" s="3554"/>
      <c r="C107" s="454" t="s">
        <v>2670</v>
      </c>
      <c r="D107" s="454" t="s">
        <v>2671</v>
      </c>
      <c r="E107" s="465">
        <v>0.1</v>
      </c>
      <c r="F107" s="465">
        <v>15</v>
      </c>
    </row>
    <row r="108" spans="1:6" ht="24">
      <c r="A108" s="465">
        <v>34</v>
      </c>
      <c r="B108" s="3553"/>
      <c r="C108" s="454" t="s">
        <v>2672</v>
      </c>
      <c r="D108" s="454" t="s">
        <v>2673</v>
      </c>
      <c r="E108" s="465">
        <v>0.1</v>
      </c>
      <c r="F108" s="465">
        <v>15</v>
      </c>
    </row>
    <row r="109" spans="1:6" ht="24">
      <c r="A109" s="465">
        <v>35</v>
      </c>
      <c r="B109" s="3552" t="s">
        <v>1185</v>
      </c>
      <c r="C109" s="465" t="s">
        <v>2674</v>
      </c>
      <c r="D109" s="454" t="s">
        <v>2675</v>
      </c>
      <c r="E109" s="465">
        <v>0.15</v>
      </c>
      <c r="F109" s="465">
        <v>20</v>
      </c>
    </row>
    <row r="110" spans="1:6" ht="13.5">
      <c r="A110" s="465">
        <v>36</v>
      </c>
      <c r="B110" s="3554"/>
      <c r="C110" s="465" t="s">
        <v>2676</v>
      </c>
      <c r="D110" s="454" t="s">
        <v>2677</v>
      </c>
      <c r="E110" s="465">
        <v>0.15</v>
      </c>
      <c r="F110" s="465">
        <v>20</v>
      </c>
    </row>
    <row r="111" spans="1:6" ht="13.5">
      <c r="A111" s="465">
        <v>37</v>
      </c>
      <c r="B111" s="3554"/>
      <c r="C111" s="465" t="s">
        <v>2678</v>
      </c>
      <c r="D111" s="454" t="s">
        <v>2679</v>
      </c>
      <c r="E111" s="465">
        <v>0.15</v>
      </c>
      <c r="F111" s="465">
        <v>20</v>
      </c>
    </row>
    <row r="112" spans="1:6" ht="13.5">
      <c r="A112" s="465">
        <v>38</v>
      </c>
      <c r="B112" s="3554"/>
      <c r="C112" s="465" t="s">
        <v>2680</v>
      </c>
      <c r="D112" s="454" t="s">
        <v>2681</v>
      </c>
      <c r="E112" s="465">
        <v>0.1</v>
      </c>
      <c r="F112" s="465">
        <v>15</v>
      </c>
    </row>
    <row r="113" spans="1:6" ht="24">
      <c r="A113" s="465">
        <v>39</v>
      </c>
      <c r="B113" s="3554"/>
      <c r="C113" s="465" t="s">
        <v>2682</v>
      </c>
      <c r="D113" s="454" t="s">
        <v>2683</v>
      </c>
      <c r="E113" s="465">
        <v>0.1</v>
      </c>
      <c r="F113" s="465">
        <v>15</v>
      </c>
    </row>
    <row r="114" spans="1:6" ht="24">
      <c r="A114" s="465">
        <v>40</v>
      </c>
      <c r="B114" s="3553"/>
      <c r="C114" s="465" t="s">
        <v>2684</v>
      </c>
      <c r="D114" s="454" t="s">
        <v>2685</v>
      </c>
      <c r="E114" s="465">
        <v>0.1</v>
      </c>
      <c r="F114" s="465">
        <v>15</v>
      </c>
    </row>
    <row r="115" spans="1:6" ht="13.5">
      <c r="A115" s="465">
        <v>41</v>
      </c>
      <c r="B115" s="3551" t="s">
        <v>1302</v>
      </c>
      <c r="C115" s="465" t="s">
        <v>2686</v>
      </c>
      <c r="D115" s="454" t="s">
        <v>2687</v>
      </c>
      <c r="E115" s="465">
        <v>0.1</v>
      </c>
      <c r="F115" s="465">
        <v>15</v>
      </c>
    </row>
    <row r="116" spans="1:6" ht="13.5">
      <c r="A116" s="465">
        <v>42</v>
      </c>
      <c r="B116" s="3551"/>
      <c r="C116" s="465" t="s">
        <v>2688</v>
      </c>
      <c r="D116" s="454" t="s">
        <v>2689</v>
      </c>
      <c r="E116" s="465">
        <v>0.1</v>
      </c>
      <c r="F116" s="465">
        <v>15</v>
      </c>
    </row>
    <row r="117" spans="1:6" ht="24">
      <c r="A117" s="465">
        <v>43</v>
      </c>
      <c r="B117" s="3551"/>
      <c r="C117" s="465" t="s">
        <v>2690</v>
      </c>
      <c r="D117" s="454" t="s">
        <v>2691</v>
      </c>
      <c r="E117" s="465">
        <v>0.1</v>
      </c>
      <c r="F117" s="465">
        <v>15</v>
      </c>
    </row>
    <row r="118" spans="1:6" ht="13.5">
      <c r="A118" s="465">
        <v>44</v>
      </c>
      <c r="B118" s="3552" t="s">
        <v>1271</v>
      </c>
      <c r="C118" s="465" t="s">
        <v>2692</v>
      </c>
      <c r="D118" s="454" t="s">
        <v>2693</v>
      </c>
      <c r="E118" s="465">
        <v>0.1</v>
      </c>
      <c r="F118" s="465">
        <v>15</v>
      </c>
    </row>
    <row r="119" spans="1:6" ht="24">
      <c r="A119" s="465">
        <v>45</v>
      </c>
      <c r="B119" s="3553"/>
      <c r="C119" s="454" t="s">
        <v>2694</v>
      </c>
      <c r="D119" s="454" t="s">
        <v>2695</v>
      </c>
      <c r="E119" s="465">
        <v>0.1</v>
      </c>
      <c r="F119" s="465">
        <v>15</v>
      </c>
    </row>
    <row r="120" spans="1:6" ht="24">
      <c r="A120" s="465">
        <v>46</v>
      </c>
      <c r="B120" s="3552" t="s">
        <v>1175</v>
      </c>
      <c r="C120" s="465" t="s">
        <v>2696</v>
      </c>
      <c r="D120" s="454" t="s">
        <v>2697</v>
      </c>
      <c r="E120" s="465">
        <v>0.1</v>
      </c>
      <c r="F120" s="465">
        <v>15</v>
      </c>
    </row>
    <row r="121" spans="1:6" ht="24">
      <c r="A121" s="465">
        <v>47</v>
      </c>
      <c r="B121" s="3553"/>
      <c r="C121" s="465" t="s">
        <v>2698</v>
      </c>
      <c r="D121" s="454" t="s">
        <v>2699</v>
      </c>
      <c r="E121" s="465">
        <v>0.1</v>
      </c>
      <c r="F121" s="465">
        <v>15</v>
      </c>
    </row>
    <row r="122" spans="1:6" ht="13.5">
      <c r="A122" s="465">
        <v>48</v>
      </c>
      <c r="B122" s="3552" t="s">
        <v>2700</v>
      </c>
      <c r="C122" s="465" t="s">
        <v>2701</v>
      </c>
      <c r="D122" s="454" t="s">
        <v>2702</v>
      </c>
      <c r="E122" s="465">
        <v>0.1</v>
      </c>
      <c r="F122" s="465">
        <v>15</v>
      </c>
    </row>
    <row r="123" spans="1:6" ht="13.5">
      <c r="A123" s="465">
        <v>49</v>
      </c>
      <c r="B123" s="3553"/>
      <c r="C123" s="465" t="s">
        <v>2703</v>
      </c>
      <c r="D123" s="454" t="s">
        <v>2704</v>
      </c>
      <c r="E123" s="465">
        <v>0.1</v>
      </c>
      <c r="F123" s="465">
        <v>15</v>
      </c>
    </row>
    <row r="124" spans="1:6" ht="24">
      <c r="A124" s="465">
        <v>50</v>
      </c>
      <c r="B124" s="3551" t="s">
        <v>2705</v>
      </c>
      <c r="C124" s="465" t="s">
        <v>2706</v>
      </c>
      <c r="D124" s="454" t="s">
        <v>2707</v>
      </c>
      <c r="E124" s="465">
        <v>0.1</v>
      </c>
      <c r="F124" s="465">
        <v>15</v>
      </c>
    </row>
    <row r="125" spans="1:6" ht="24">
      <c r="A125" s="465">
        <v>51</v>
      </c>
      <c r="B125" s="3551"/>
      <c r="C125" s="465" t="s">
        <v>2708</v>
      </c>
      <c r="D125" s="454" t="s">
        <v>2709</v>
      </c>
      <c r="E125" s="465">
        <v>0.1</v>
      </c>
      <c r="F125" s="465">
        <v>15</v>
      </c>
    </row>
    <row r="126" spans="1:6" ht="24">
      <c r="A126" s="465">
        <v>52</v>
      </c>
      <c r="B126" s="3551" t="s">
        <v>2710</v>
      </c>
      <c r="C126" s="465" t="s">
        <v>2711</v>
      </c>
      <c r="D126" s="454" t="s">
        <v>2712</v>
      </c>
      <c r="E126" s="465">
        <v>0.1</v>
      </c>
      <c r="F126" s="465">
        <v>15</v>
      </c>
    </row>
    <row r="127" spans="1:6" ht="24">
      <c r="A127" s="465">
        <v>53</v>
      </c>
      <c r="B127" s="3551"/>
      <c r="C127" s="465" t="s">
        <v>2713</v>
      </c>
      <c r="D127" s="454" t="s">
        <v>2714</v>
      </c>
      <c r="E127" s="465">
        <v>0.1</v>
      </c>
      <c r="F127" s="465">
        <v>15</v>
      </c>
    </row>
    <row r="128" spans="1:6" ht="13.5">
      <c r="A128" s="465">
        <v>54</v>
      </c>
      <c r="B128" s="465" t="s">
        <v>2715</v>
      </c>
      <c r="C128" s="465" t="s">
        <v>2716</v>
      </c>
      <c r="D128" s="454" t="s">
        <v>2717</v>
      </c>
      <c r="E128" s="465">
        <v>0.1</v>
      </c>
      <c r="F128" s="465">
        <v>15</v>
      </c>
    </row>
    <row r="129" spans="1:6" ht="13.5">
      <c r="A129" s="465">
        <v>55</v>
      </c>
      <c r="B129" s="3551" t="s">
        <v>2718</v>
      </c>
      <c r="C129" s="465" t="s">
        <v>2719</v>
      </c>
      <c r="D129" s="454" t="s">
        <v>2720</v>
      </c>
      <c r="E129" s="465">
        <v>0.1</v>
      </c>
      <c r="F129" s="465">
        <v>15</v>
      </c>
    </row>
    <row r="130" spans="1:6" ht="13.5">
      <c r="A130" s="465">
        <v>56</v>
      </c>
      <c r="B130" s="3551"/>
      <c r="C130" s="465" t="s">
        <v>2721</v>
      </c>
      <c r="D130" s="454" t="s">
        <v>2722</v>
      </c>
      <c r="E130" s="465">
        <v>0.1</v>
      </c>
      <c r="F130" s="465">
        <v>15</v>
      </c>
    </row>
    <row r="131" spans="1:6" ht="24">
      <c r="A131" s="465">
        <v>57</v>
      </c>
      <c r="B131" s="3551"/>
      <c r="C131" s="465" t="s">
        <v>2723</v>
      </c>
      <c r="D131" s="454" t="s">
        <v>2724</v>
      </c>
      <c r="E131" s="465">
        <v>0.1</v>
      </c>
      <c r="F131" s="465">
        <v>15</v>
      </c>
    </row>
    <row r="132" spans="1:6" ht="24">
      <c r="A132" s="465">
        <v>58</v>
      </c>
      <c r="B132" s="3551" t="s">
        <v>2725</v>
      </c>
      <c r="C132" s="465" t="s">
        <v>2726</v>
      </c>
      <c r="D132" s="454" t="s">
        <v>2727</v>
      </c>
      <c r="E132" s="465">
        <v>0.1</v>
      </c>
      <c r="F132" s="465">
        <v>15</v>
      </c>
    </row>
    <row r="133" spans="1:6" ht="13.5">
      <c r="A133" s="465">
        <v>59</v>
      </c>
      <c r="B133" s="3551"/>
      <c r="C133" s="465" t="s">
        <v>2728</v>
      </c>
      <c r="D133" s="454" t="s">
        <v>2729</v>
      </c>
      <c r="E133" s="465">
        <v>0.1</v>
      </c>
      <c r="F133" s="465">
        <v>15</v>
      </c>
    </row>
    <row r="134" spans="1:6" ht="13.5">
      <c r="A134" s="465">
        <v>60</v>
      </c>
      <c r="B134" s="3552" t="s">
        <v>2730</v>
      </c>
      <c r="C134" s="465" t="s">
        <v>2731</v>
      </c>
      <c r="D134" s="454" t="s">
        <v>2732</v>
      </c>
      <c r="E134" s="465">
        <v>0.1</v>
      </c>
      <c r="F134" s="465">
        <v>15</v>
      </c>
    </row>
    <row r="135" spans="1:6" ht="13.5">
      <c r="A135" s="465">
        <v>61</v>
      </c>
      <c r="B135" s="3553"/>
      <c r="C135" s="465" t="s">
        <v>2733</v>
      </c>
      <c r="D135" s="454" t="s">
        <v>2734</v>
      </c>
      <c r="E135" s="465">
        <v>0.1</v>
      </c>
      <c r="F135" s="465">
        <v>15</v>
      </c>
    </row>
    <row r="136" spans="1:6" ht="24">
      <c r="A136" s="465">
        <v>62</v>
      </c>
      <c r="B136" s="465" t="s">
        <v>2735</v>
      </c>
      <c r="C136" s="465" t="s">
        <v>2736</v>
      </c>
      <c r="D136" s="454" t="s">
        <v>2737</v>
      </c>
      <c r="E136" s="465">
        <v>0.1</v>
      </c>
      <c r="F136" s="465">
        <v>15</v>
      </c>
    </row>
    <row r="137" spans="1:6" ht="13.5">
      <c r="A137" s="465">
        <v>63</v>
      </c>
      <c r="B137" s="3551" t="s">
        <v>2738</v>
      </c>
      <c r="C137" s="465" t="s">
        <v>2739</v>
      </c>
      <c r="D137" s="454" t="s">
        <v>2740</v>
      </c>
      <c r="E137" s="465">
        <v>0.1</v>
      </c>
      <c r="F137" s="465">
        <v>15</v>
      </c>
    </row>
    <row r="138" spans="1:6" ht="13.5">
      <c r="A138" s="465">
        <v>64</v>
      </c>
      <c r="B138" s="3551"/>
      <c r="C138" s="465" t="s">
        <v>2741</v>
      </c>
      <c r="D138" s="454" t="s">
        <v>2742</v>
      </c>
      <c r="E138" s="465">
        <v>0.1</v>
      </c>
      <c r="F138" s="465">
        <v>15</v>
      </c>
    </row>
    <row r="139" spans="1:6" ht="13.5">
      <c r="A139" s="465">
        <v>65</v>
      </c>
      <c r="B139" s="465" t="s">
        <v>2743</v>
      </c>
      <c r="C139" s="465" t="s">
        <v>2744</v>
      </c>
      <c r="D139" s="454" t="s">
        <v>2745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8"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460"/>
  <sheetViews>
    <sheetView zoomScale="70" zoomScaleNormal="70" workbookViewId="0">
      <selection sqref="A1:XFD1048576"/>
    </sheetView>
  </sheetViews>
  <sheetFormatPr defaultColWidth="9" defaultRowHeight="13.5"/>
  <cols>
    <col min="1" max="13" width="9" style="421"/>
  </cols>
  <sheetData>
    <row r="1" spans="1:20" ht="14.25">
      <c r="A1" s="422" t="s">
        <v>2746</v>
      </c>
      <c r="B1" s="422"/>
      <c r="C1" s="422"/>
      <c r="D1" s="422"/>
      <c r="E1" s="422"/>
      <c r="F1" s="422"/>
      <c r="G1" s="422"/>
      <c r="H1" s="422"/>
      <c r="I1" s="422"/>
      <c r="J1" s="422"/>
      <c r="K1" s="422"/>
      <c r="L1" s="422"/>
      <c r="M1" s="422"/>
      <c r="N1" s="429"/>
    </row>
    <row r="2" spans="1:20">
      <c r="A2" s="423" t="s">
        <v>2747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2748</v>
      </c>
      <c r="R2" s="433" t="s">
        <v>2749</v>
      </c>
      <c r="S2" s="433" t="s">
        <v>2750</v>
      </c>
      <c r="T2" s="433" t="s">
        <v>2751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2752</v>
      </c>
      <c r="B93" s="422"/>
      <c r="C93" s="422"/>
      <c r="D93" s="422"/>
      <c r="E93" s="422"/>
      <c r="F93" s="422"/>
      <c r="G93" s="422"/>
      <c r="H93" s="422"/>
      <c r="I93" s="422"/>
      <c r="J93" s="422"/>
      <c r="K93" s="422"/>
      <c r="L93" s="422"/>
      <c r="M93" s="422"/>
    </row>
    <row r="94" spans="1:20">
      <c r="A94" s="423" t="s">
        <v>2747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0.97570000000000001</v>
      </c>
      <c r="Q94" s="433" t="s">
        <v>2748</v>
      </c>
      <c r="R94" s="433" t="s">
        <v>2749</v>
      </c>
      <c r="S94" s="433" t="s">
        <v>2750</v>
      </c>
      <c r="T94" s="433" t="s">
        <v>2751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2753</v>
      </c>
      <c r="B185" s="422"/>
      <c r="C185" s="422"/>
      <c r="D185" s="422"/>
      <c r="E185" s="422"/>
      <c r="F185" s="422"/>
      <c r="G185" s="422"/>
      <c r="H185" s="422"/>
      <c r="I185" s="422"/>
      <c r="J185" s="422"/>
      <c r="K185" s="422"/>
      <c r="L185" s="422"/>
      <c r="M185" s="422"/>
    </row>
    <row r="186" spans="1:20">
      <c r="A186" s="423" t="s">
        <v>2747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2748</v>
      </c>
      <c r="R186" s="433" t="s">
        <v>2749</v>
      </c>
      <c r="S186" s="433" t="s">
        <v>2750</v>
      </c>
      <c r="T186" s="433" t="s">
        <v>2751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2754</v>
      </c>
      <c r="B277" s="422"/>
      <c r="C277" s="422"/>
      <c r="D277" s="422"/>
      <c r="E277" s="422"/>
      <c r="F277" s="422"/>
      <c r="G277" s="422"/>
      <c r="H277" s="422"/>
      <c r="I277" s="422"/>
      <c r="J277" s="422"/>
      <c r="K277" s="422"/>
      <c r="L277" s="422"/>
      <c r="M277" s="422"/>
    </row>
    <row r="278" spans="1:21">
      <c r="A278" s="423" t="s">
        <v>2747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2748</v>
      </c>
      <c r="R278" s="433" t="s">
        <v>2749</v>
      </c>
      <c r="S278" s="433" t="s">
        <v>2755</v>
      </c>
      <c r="T278" s="433" t="s">
        <v>2756</v>
      </c>
      <c r="U278" s="433" t="s">
        <v>2751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2757</v>
      </c>
      <c r="B369" s="437"/>
      <c r="C369" s="437"/>
      <c r="D369" s="437"/>
      <c r="E369" s="437"/>
      <c r="F369" s="437"/>
      <c r="G369" s="437"/>
      <c r="H369" s="437"/>
      <c r="I369" s="437"/>
      <c r="J369" s="437"/>
      <c r="K369" s="437"/>
      <c r="L369" s="437"/>
      <c r="M369" s="437"/>
    </row>
    <row r="370" spans="1:20">
      <c r="A370" s="423" t="s">
        <v>2747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0.92410000000000003</v>
      </c>
      <c r="Q370" s="433" t="s">
        <v>2748</v>
      </c>
      <c r="R370" s="433" t="s">
        <v>2749</v>
      </c>
      <c r="S370" s="433" t="s">
        <v>2750</v>
      </c>
      <c r="T370" s="433" t="s">
        <v>2751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2758</v>
      </c>
      <c r="B1" s="340"/>
      <c r="C1" s="341"/>
      <c r="D1" s="341"/>
      <c r="E1" s="341"/>
      <c r="F1" s="341"/>
      <c r="G1" s="342"/>
    </row>
    <row r="2" spans="1:7" s="331" customFormat="1" ht="18" customHeight="1">
      <c r="A2" s="343" t="s">
        <v>2759</v>
      </c>
      <c r="B2" s="344">
        <f ca="1">C52</f>
        <v>69454</v>
      </c>
      <c r="C2" s="345" t="s">
        <v>1987</v>
      </c>
      <c r="D2" s="342"/>
      <c r="E2" s="342"/>
      <c r="F2" s="342"/>
      <c r="G2" s="342"/>
    </row>
    <row r="3" spans="1:7" s="331" customFormat="1" ht="18" customHeight="1">
      <c r="A3" s="346" t="s">
        <v>2760</v>
      </c>
      <c r="B3" s="347">
        <f ca="1">ROUND(B2*10000/'数据-汇总表'!E3,0)</f>
        <v>10649</v>
      </c>
      <c r="C3" s="345" t="s">
        <v>2252</v>
      </c>
      <c r="D3" s="342"/>
      <c r="E3" s="342"/>
      <c r="F3" s="342"/>
      <c r="G3" s="342"/>
    </row>
    <row r="4" spans="1:7" s="332" customFormat="1" ht="15.75">
      <c r="A4" s="348" t="s">
        <v>2761</v>
      </c>
      <c r="B4" s="349"/>
      <c r="C4" s="349"/>
      <c r="D4" s="349"/>
      <c r="E4" s="349"/>
      <c r="F4" s="349"/>
      <c r="G4" s="350"/>
    </row>
    <row r="5" spans="1:7" s="333" customFormat="1" ht="13.5" customHeight="1">
      <c r="A5" s="351" t="s">
        <v>1743</v>
      </c>
      <c r="B5" s="352" t="s">
        <v>2762</v>
      </c>
      <c r="C5" s="353">
        <f>C6+C7+C8</f>
        <v>20610</v>
      </c>
      <c r="D5" s="353" t="s">
        <v>2763</v>
      </c>
      <c r="E5" s="354" t="s">
        <v>2764</v>
      </c>
      <c r="F5" s="354" t="s">
        <v>2765</v>
      </c>
      <c r="G5" s="355"/>
    </row>
    <row r="6" spans="1:7" s="333" customFormat="1" ht="13.5" customHeight="1">
      <c r="A6" s="356" t="s">
        <v>1747</v>
      </c>
      <c r="B6" s="357" t="s">
        <v>2766</v>
      </c>
      <c r="C6" s="358">
        <v>20000</v>
      </c>
      <c r="D6" s="359"/>
      <c r="E6" s="360"/>
      <c r="F6" s="360"/>
      <c r="G6" s="361"/>
    </row>
    <row r="7" spans="1:7" s="333" customFormat="1" ht="13.5" customHeight="1">
      <c r="A7" s="356" t="s">
        <v>1749</v>
      </c>
      <c r="B7" s="357" t="s">
        <v>2767</v>
      </c>
      <c r="C7" s="362">
        <f>ROUND(C6*F7,0)</f>
        <v>610</v>
      </c>
      <c r="D7" s="362"/>
      <c r="E7" s="360"/>
      <c r="F7" s="363">
        <f>'数据-取费表'!B48+'数据-取费表'!B49</f>
        <v>3.0499999999999999E-2</v>
      </c>
      <c r="G7" s="361"/>
    </row>
    <row r="8" spans="1:7" s="334" customFormat="1">
      <c r="A8" s="356" t="s">
        <v>1751</v>
      </c>
      <c r="B8" s="357" t="s">
        <v>2768</v>
      </c>
      <c r="C8" s="362" t="str">
        <f>IF(G8="已包含在土地购买价格中","0",'数据-取费表'!B29)</f>
        <v>0</v>
      </c>
      <c r="D8" s="364"/>
      <c r="E8" s="362"/>
      <c r="F8" s="363"/>
      <c r="G8" s="365" t="s">
        <v>2769</v>
      </c>
    </row>
    <row r="9" spans="1:7" s="333" customFormat="1" ht="13.5" customHeight="1">
      <c r="A9" s="366" t="s">
        <v>1753</v>
      </c>
      <c r="B9" s="367" t="s">
        <v>2770</v>
      </c>
      <c r="C9" s="368">
        <f>ROUND(D9*E9/10000,0)</f>
        <v>0</v>
      </c>
      <c r="D9" s="369">
        <f>'数据-汇总表'!E5</f>
        <v>0</v>
      </c>
      <c r="E9" s="368">
        <f>'数据-取费表'!B27</f>
        <v>160</v>
      </c>
      <c r="F9" s="363"/>
      <c r="G9" s="370"/>
    </row>
    <row r="10" spans="1:7" s="333" customFormat="1" ht="13.5" customHeight="1">
      <c r="A10" s="366" t="s">
        <v>1755</v>
      </c>
      <c r="B10" s="367" t="s">
        <v>2771</v>
      </c>
      <c r="C10" s="368">
        <f>ROUND(D10*E10/10000,0)</f>
        <v>1304</v>
      </c>
      <c r="D10" s="369">
        <f>'数据-汇总表'!E6</f>
        <v>65221.919999999998</v>
      </c>
      <c r="E10" s="368">
        <f>'数据-取费表'!B28</f>
        <v>200</v>
      </c>
      <c r="F10" s="363"/>
      <c r="G10" s="370"/>
    </row>
    <row r="11" spans="1:7" s="333" customFormat="1" ht="13.5" hidden="1" customHeight="1">
      <c r="A11" s="371" t="s">
        <v>1757</v>
      </c>
      <c r="B11" s="357" t="s">
        <v>2772</v>
      </c>
      <c r="C11" s="353"/>
      <c r="D11" s="360"/>
      <c r="E11" s="360"/>
      <c r="F11" s="360"/>
      <c r="G11" s="361"/>
    </row>
    <row r="12" spans="1:7" s="333" customFormat="1" ht="13.5" hidden="1" customHeight="1">
      <c r="A12" s="371" t="s">
        <v>1759</v>
      </c>
      <c r="B12" s="357" t="s">
        <v>2773</v>
      </c>
      <c r="C12" s="353">
        <v>0</v>
      </c>
      <c r="D12" s="360"/>
      <c r="E12" s="372"/>
      <c r="F12" s="363">
        <v>3.0499999999999999E-2</v>
      </c>
      <c r="G12" s="361"/>
    </row>
    <row r="13" spans="1:7" s="333" customFormat="1" ht="13.5" hidden="1" customHeight="1">
      <c r="A13" s="371" t="s">
        <v>1760</v>
      </c>
      <c r="B13" s="357" t="s">
        <v>2774</v>
      </c>
      <c r="C13" s="353"/>
      <c r="D13" s="360"/>
      <c r="E13" s="360"/>
      <c r="F13" s="360"/>
      <c r="G13" s="361"/>
    </row>
    <row r="14" spans="1:7" s="333" customFormat="1" ht="13.5" hidden="1" customHeight="1">
      <c r="A14" s="371" t="s">
        <v>1762</v>
      </c>
      <c r="B14" s="357" t="s">
        <v>2768</v>
      </c>
      <c r="C14" s="353"/>
      <c r="D14" s="360"/>
      <c r="E14" s="360"/>
      <c r="F14" s="360"/>
      <c r="G14" s="361" t="s">
        <v>2775</v>
      </c>
    </row>
    <row r="15" spans="1:7" s="333" customFormat="1" ht="13.5" hidden="1" customHeight="1">
      <c r="A15" s="371" t="s">
        <v>1764</v>
      </c>
      <c r="B15" s="357" t="s">
        <v>2776</v>
      </c>
      <c r="C15" s="362"/>
      <c r="D15" s="360"/>
      <c r="E15" s="360"/>
      <c r="F15" s="360"/>
      <c r="G15" s="361" t="s">
        <v>2777</v>
      </c>
    </row>
    <row r="16" spans="1:7" s="333" customFormat="1" ht="13.5" hidden="1" customHeight="1">
      <c r="A16" s="371" t="s">
        <v>1767</v>
      </c>
      <c r="B16" s="357" t="s">
        <v>2768</v>
      </c>
      <c r="C16" s="362"/>
      <c r="D16" s="360"/>
      <c r="E16" s="360"/>
      <c r="F16" s="360"/>
      <c r="G16" s="361"/>
    </row>
    <row r="17" spans="1:7" s="333" customFormat="1" ht="13.5" hidden="1" customHeight="1">
      <c r="A17" s="371" t="s">
        <v>1768</v>
      </c>
      <c r="B17" s="357" t="s">
        <v>2778</v>
      </c>
      <c r="C17" s="373"/>
      <c r="D17" s="373"/>
      <c r="E17" s="373"/>
      <c r="F17" s="373"/>
      <c r="G17" s="361" t="s">
        <v>2777</v>
      </c>
    </row>
    <row r="18" spans="1:7" s="333" customFormat="1" ht="13.5" hidden="1" customHeight="1">
      <c r="A18" s="371" t="s">
        <v>1770</v>
      </c>
      <c r="B18" s="357" t="s">
        <v>2779</v>
      </c>
      <c r="C18" s="362">
        <v>0</v>
      </c>
      <c r="D18" s="360"/>
      <c r="E18" s="360"/>
      <c r="F18" s="363">
        <v>3.0499999999999999E-2</v>
      </c>
      <c r="G18" s="361" t="s">
        <v>2780</v>
      </c>
    </row>
    <row r="19" spans="1:7" s="334" customFormat="1" ht="13.5" customHeight="1">
      <c r="A19" s="374" t="s">
        <v>2374</v>
      </c>
      <c r="B19" s="352" t="s">
        <v>2781</v>
      </c>
      <c r="C19" s="353">
        <f>IF(G19="已包含在土地取得成本中","0",ROUND(D19*E19/10000,0))</f>
        <v>1304</v>
      </c>
      <c r="D19" s="354">
        <f>'数据-汇总表'!E3</f>
        <v>65221.919999999998</v>
      </c>
      <c r="E19" s="353">
        <f>'数据-取费表'!B31</f>
        <v>200</v>
      </c>
      <c r="F19" s="375"/>
      <c r="G19" s="365" t="s">
        <v>2782</v>
      </c>
    </row>
    <row r="20" spans="1:7" s="333" customFormat="1" ht="13.5" customHeight="1">
      <c r="A20" s="374" t="s">
        <v>2410</v>
      </c>
      <c r="B20" s="352" t="s">
        <v>2783</v>
      </c>
      <c r="C20" s="376">
        <f>ROUND((C5+C19)*F20,0)</f>
        <v>438</v>
      </c>
      <c r="D20" s="376"/>
      <c r="E20" s="376"/>
      <c r="F20" s="377">
        <f>'数据-取费表'!B37</f>
        <v>0.02</v>
      </c>
      <c r="G20" s="378" t="s">
        <v>2784</v>
      </c>
    </row>
    <row r="21" spans="1:7" s="333" customFormat="1" ht="13.5" customHeight="1">
      <c r="A21" s="374" t="s">
        <v>2415</v>
      </c>
      <c r="B21" s="352" t="s">
        <v>2785</v>
      </c>
      <c r="C21" s="379">
        <f>F21</f>
        <v>0.02</v>
      </c>
      <c r="D21" s="380" t="s">
        <v>2786</v>
      </c>
      <c r="E21" s="376"/>
      <c r="F21" s="377">
        <f>'数据-取费表'!B38</f>
        <v>0.02</v>
      </c>
      <c r="G21" s="381" t="s">
        <v>2787</v>
      </c>
    </row>
    <row r="22" spans="1:7" s="333" customFormat="1" ht="13.5" customHeight="1">
      <c r="A22" s="374" t="s">
        <v>2424</v>
      </c>
      <c r="B22" s="352" t="s">
        <v>2788</v>
      </c>
      <c r="C22" s="382">
        <f ca="1">ROUND(SUM(C23:C25),0)</f>
        <v>1697</v>
      </c>
      <c r="D22" s="379">
        <f ca="1">C26</f>
        <v>8.0000000000000004E-4</v>
      </c>
      <c r="E22" s="380" t="s">
        <v>2786</v>
      </c>
      <c r="F22" s="383">
        <f ca="1">'数据-取费表'!B40</f>
        <v>0.03</v>
      </c>
      <c r="G22" s="378" t="str">
        <f>IF('数据-取费表'!B22&lt;=1,"单利计息","复利计息")</f>
        <v>复利计息</v>
      </c>
    </row>
    <row r="23" spans="1:7" s="333" customFormat="1" ht="13.5" customHeight="1">
      <c r="A23" s="384" t="s">
        <v>1747</v>
      </c>
      <c r="B23" s="357" t="s">
        <v>2789</v>
      </c>
      <c r="C23" s="385">
        <f ca="1">ROUND(IF('数据-取费表'!B22&lt;=1,C5*F22*'数据-取费表'!B23,C5*(POWER((1+F22),'数据-取费表'!B23)-1)),0)</f>
        <v>1581</v>
      </c>
      <c r="D23" s="386"/>
      <c r="E23" s="386"/>
      <c r="F23" s="387"/>
      <c r="G23" s="388" t="s">
        <v>2790</v>
      </c>
    </row>
    <row r="24" spans="1:7" s="333" customFormat="1" ht="13.5" customHeight="1">
      <c r="A24" s="384" t="s">
        <v>1749</v>
      </c>
      <c r="B24" s="357" t="s">
        <v>2791</v>
      </c>
      <c r="C24" s="385">
        <f ca="1">ROUND(IF('数据-取费表'!B22&lt;=1,C19*F22*('数据-取费表'!B19/2+'数据-取费表'!B21),C19*(POWER((1+F22),('数据-取费表'!B19/2+'数据-取费表'!B21))-1)),0)</f>
        <v>100</v>
      </c>
      <c r="D24" s="386"/>
      <c r="E24" s="386"/>
      <c r="F24" s="387"/>
      <c r="G24" s="388" t="s">
        <v>2792</v>
      </c>
    </row>
    <row r="25" spans="1:7" s="333" customFormat="1" ht="24">
      <c r="A25" s="384" t="s">
        <v>1751</v>
      </c>
      <c r="B25" s="357" t="s">
        <v>2793</v>
      </c>
      <c r="C25" s="385">
        <f ca="1">ROUND(IF('数据-取费表'!B22&lt;=1,C20*F22*'数据-取费表'!B23/2,C20*(POWER((1+F22),'数据-取费表'!B23/2)-1)),0)</f>
        <v>16</v>
      </c>
      <c r="D25" s="386"/>
      <c r="E25" s="389"/>
      <c r="F25" s="387"/>
      <c r="G25" s="390" t="s">
        <v>2794</v>
      </c>
    </row>
    <row r="26" spans="1:7" s="333" customFormat="1">
      <c r="A26" s="384" t="s">
        <v>1790</v>
      </c>
      <c r="B26" s="357" t="s">
        <v>2795</v>
      </c>
      <c r="C26" s="386">
        <f ca="1">ROUND(IF('数据-取费表'!B22&lt;=1,F21*F22*'数据-取费表'!B23/2,F21*(POWER((1+F22),'数据-取费表'!B23/2)-1)),4)</f>
        <v>8.0000000000000004E-4</v>
      </c>
      <c r="D26" s="386"/>
      <c r="E26" s="389"/>
      <c r="F26" s="387"/>
      <c r="G26" s="391"/>
    </row>
    <row r="27" spans="1:7" s="333" customFormat="1" ht="24.75">
      <c r="A27" s="374" t="s">
        <v>2433</v>
      </c>
      <c r="B27" s="392" t="s">
        <v>2796</v>
      </c>
      <c r="C27" s="393">
        <f>C28</f>
        <v>4023</v>
      </c>
      <c r="D27" s="379">
        <f>C29</f>
        <v>3.5999999999999999E-3</v>
      </c>
      <c r="E27" s="380" t="s">
        <v>2786</v>
      </c>
      <c r="F27" s="394">
        <f>'数据-取费表'!Q16</f>
        <v>0.18</v>
      </c>
      <c r="G27" s="395" t="s">
        <v>2797</v>
      </c>
    </row>
    <row r="28" spans="1:7" s="333" customFormat="1" ht="13.5" customHeight="1">
      <c r="A28" s="384" t="s">
        <v>1747</v>
      </c>
      <c r="B28" s="396" t="s">
        <v>2798</v>
      </c>
      <c r="C28" s="397">
        <f>ROUND((C5+C19+C20)*F27*'数据-取费表'!B21/'数据-取费表'!B20,0)</f>
        <v>4023</v>
      </c>
      <c r="D28" s="379"/>
      <c r="E28" s="380"/>
      <c r="F28" s="394"/>
      <c r="G28" s="395"/>
    </row>
    <row r="29" spans="1:7" s="333" customFormat="1" ht="13.5" customHeight="1">
      <c r="A29" s="384" t="s">
        <v>1749</v>
      </c>
      <c r="B29" s="396" t="s">
        <v>2799</v>
      </c>
      <c r="C29" s="386">
        <f>ROUND(C21*F27*'数据-取费表'!B21/'数据-取费表'!B20,4)</f>
        <v>3.5999999999999999E-3</v>
      </c>
      <c r="D29" s="379"/>
      <c r="E29" s="380"/>
      <c r="F29" s="394"/>
      <c r="G29" s="395"/>
    </row>
    <row r="30" spans="1:7" s="333" customFormat="1" ht="13.5" customHeight="1">
      <c r="A30" s="374" t="s">
        <v>2800</v>
      </c>
      <c r="B30" s="352" t="s">
        <v>2801</v>
      </c>
      <c r="C30" s="379">
        <f>F30</f>
        <v>5.6000000000000001E-2</v>
      </c>
      <c r="D30" s="380" t="s">
        <v>2802</v>
      </c>
      <c r="E30" s="389"/>
      <c r="F30" s="383">
        <f>'数据-取费表'!B41</f>
        <v>5.6000000000000001E-2</v>
      </c>
      <c r="G30" s="381" t="s">
        <v>2803</v>
      </c>
    </row>
    <row r="31" spans="1:7" ht="16.5" customHeight="1">
      <c r="A31" s="398">
        <v>1</v>
      </c>
      <c r="B31" s="352" t="s">
        <v>2804</v>
      </c>
      <c r="C31" s="353">
        <f ca="1">ROUND((C5+C19+C20+C22+C27)/(1-C21-D22-D27-C30/(1+'数据-取费表'!B42)),0)</f>
        <v>30438</v>
      </c>
      <c r="D31" s="399"/>
      <c r="E31" s="353"/>
      <c r="F31" s="400"/>
      <c r="G31" s="381" t="s">
        <v>2805</v>
      </c>
    </row>
    <row r="32" spans="1:7" s="332" customFormat="1" ht="15.75">
      <c r="A32" s="401" t="s">
        <v>2806</v>
      </c>
      <c r="B32" s="402"/>
      <c r="C32" s="402"/>
      <c r="D32" s="402"/>
      <c r="E32" s="402"/>
      <c r="F32" s="402"/>
      <c r="G32" s="403"/>
    </row>
    <row r="33" spans="1:7" s="333" customFormat="1" ht="13.5" customHeight="1">
      <c r="A33" s="351" t="s">
        <v>1743</v>
      </c>
      <c r="B33" s="352" t="s">
        <v>2807</v>
      </c>
      <c r="C33" s="404">
        <f>SUM(C34:C38)</f>
        <v>39687</v>
      </c>
      <c r="D33" s="376"/>
      <c r="E33" s="354"/>
      <c r="F33" s="389"/>
      <c r="G33" s="381"/>
    </row>
    <row r="34" spans="1:7" s="335" customFormat="1" ht="13.5" customHeight="1">
      <c r="A34" s="384" t="s">
        <v>1747</v>
      </c>
      <c r="B34" s="357" t="s">
        <v>2808</v>
      </c>
      <c r="C34" s="362">
        <f>IF(F34=100%,'数据-取费表'!M16-SUMIF('数据-取费表'!C:C,"公共配套",'数据-取费表'!M:M),'数据-取费表'!O16-SUMIF('数据-取费表'!C:C,"公共配套",'数据-取费表'!O:O))</f>
        <v>35872</v>
      </c>
      <c r="D34" s="359"/>
      <c r="E34" s="362"/>
      <c r="F34" s="405">
        <f>IF('数据-取费表'!B24=0,1,'数据-取费表'!N16)</f>
        <v>1</v>
      </c>
      <c r="G34" s="361" t="s">
        <v>2809</v>
      </c>
    </row>
    <row r="35" spans="1:7" ht="13.5" customHeight="1">
      <c r="A35" s="384" t="s">
        <v>1749</v>
      </c>
      <c r="B35" s="357" t="s">
        <v>2810</v>
      </c>
      <c r="C35" s="362">
        <f>ROUND(C34*F35,0)</f>
        <v>1794</v>
      </c>
      <c r="D35" s="362"/>
      <c r="E35" s="362"/>
      <c r="F35" s="406">
        <f>'数据-取费表'!B33</f>
        <v>0.05</v>
      </c>
      <c r="G35" s="361" t="s">
        <v>2811</v>
      </c>
    </row>
    <row r="36" spans="1:7" ht="24">
      <c r="A36" s="384" t="s">
        <v>1751</v>
      </c>
      <c r="B36" s="357" t="s">
        <v>2812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2813</v>
      </c>
    </row>
    <row r="37" spans="1:7" s="335" customFormat="1" ht="13.5" customHeight="1">
      <c r="A37" s="384" t="s">
        <v>1790</v>
      </c>
      <c r="B37" s="357" t="s">
        <v>2814</v>
      </c>
      <c r="C37" s="397">
        <f>ROUND(E37*D37*F34/10000,0)</f>
        <v>1304</v>
      </c>
      <c r="D37" s="359">
        <f>'数据-汇总表'!E3</f>
        <v>65221.919999999998</v>
      </c>
      <c r="E37" s="397">
        <f>'数据-取费表'!B35</f>
        <v>200</v>
      </c>
      <c r="F37" s="406"/>
      <c r="G37" s="408" t="s">
        <v>2815</v>
      </c>
    </row>
    <row r="38" spans="1:7" ht="13.5" customHeight="1">
      <c r="A38" s="384" t="s">
        <v>1810</v>
      </c>
      <c r="B38" s="357" t="s">
        <v>2773</v>
      </c>
      <c r="C38" s="362">
        <f>ROUND(C34*F38,0)</f>
        <v>717</v>
      </c>
      <c r="D38" s="362"/>
      <c r="E38" s="362"/>
      <c r="F38" s="406">
        <f>'数据-取费表'!B36</f>
        <v>0.02</v>
      </c>
      <c r="G38" s="361" t="s">
        <v>2811</v>
      </c>
    </row>
    <row r="39" spans="1:7" s="333" customFormat="1" ht="13.5" customHeight="1">
      <c r="A39" s="374" t="s">
        <v>2374</v>
      </c>
      <c r="B39" s="352" t="s">
        <v>2783</v>
      </c>
      <c r="C39" s="376">
        <f>ROUND(C33*F20,0)</f>
        <v>794</v>
      </c>
      <c r="D39" s="376"/>
      <c r="E39" s="376"/>
      <c r="F39" s="377"/>
      <c r="G39" s="378" t="s">
        <v>2816</v>
      </c>
    </row>
    <row r="40" spans="1:7" s="333" customFormat="1" ht="13.5" customHeight="1">
      <c r="A40" s="374" t="s">
        <v>2410</v>
      </c>
      <c r="B40" s="352" t="s">
        <v>2785</v>
      </c>
      <c r="C40" s="409">
        <f>F21</f>
        <v>0.02</v>
      </c>
      <c r="D40" s="380" t="s">
        <v>2817</v>
      </c>
      <c r="E40" s="376"/>
      <c r="F40" s="377"/>
      <c r="G40" s="381" t="s">
        <v>2818</v>
      </c>
    </row>
    <row r="41" spans="1:7" s="333" customFormat="1" ht="13.5" customHeight="1">
      <c r="A41" s="374" t="s">
        <v>2415</v>
      </c>
      <c r="B41" s="352" t="s">
        <v>2788</v>
      </c>
      <c r="C41" s="376">
        <f ca="1">ROUND(SUM(C42:C43),0)</f>
        <v>1524</v>
      </c>
      <c r="D41" s="379">
        <f ca="1">C44</f>
        <v>8.0000000000000004E-4</v>
      </c>
      <c r="E41" s="380" t="s">
        <v>2817</v>
      </c>
      <c r="F41" s="383"/>
      <c r="G41" s="378" t="str">
        <f>IF('数据-取费表'!B22&lt;=1,"单利计息","复利计息")</f>
        <v>复利计息</v>
      </c>
    </row>
    <row r="42" spans="1:7" ht="13.5" customHeight="1">
      <c r="A42" s="384" t="s">
        <v>1747</v>
      </c>
      <c r="B42" s="357" t="s">
        <v>2789</v>
      </c>
      <c r="C42" s="386">
        <f ca="1">ROUND(IF('数据-取费表'!B22&lt;=1,C33*F22*'数据-取费表'!B21/2,C33*(POWER((1+F22),'数据-取费表'!B21/2)-1)),0)</f>
        <v>1494</v>
      </c>
      <c r="D42" s="386"/>
      <c r="E42" s="386"/>
      <c r="F42" s="387"/>
      <c r="G42" s="3478" t="s">
        <v>2819</v>
      </c>
    </row>
    <row r="43" spans="1:7" ht="13.5" customHeight="1">
      <c r="A43" s="384" t="s">
        <v>1749</v>
      </c>
      <c r="B43" s="357" t="s">
        <v>2791</v>
      </c>
      <c r="C43" s="386">
        <f ca="1">ROUND(IF('数据-取费表'!B22&lt;=1,C39*F22*'数据-取费表'!B21/2,C39*(POWER((1+F22),'数据-取费表'!B21/2)-1)),0)</f>
        <v>30</v>
      </c>
      <c r="D43" s="386"/>
      <c r="E43" s="386"/>
      <c r="F43" s="387"/>
      <c r="G43" s="3479"/>
    </row>
    <row r="44" spans="1:7" ht="13.5" customHeight="1">
      <c r="A44" s="384" t="s">
        <v>1751</v>
      </c>
      <c r="B44" s="357" t="s">
        <v>2793</v>
      </c>
      <c r="C44" s="386">
        <f ca="1">ROUND(IF('数据-取费表'!B22&lt;=1,C40*F22*'数据-取费表'!B21/2,C40*(POWER((1+F22),'数据-取费表'!B21/2)-1)),4)</f>
        <v>8.0000000000000004E-4</v>
      </c>
      <c r="D44" s="386"/>
      <c r="E44" s="386"/>
      <c r="F44" s="387"/>
      <c r="G44" s="3480"/>
    </row>
    <row r="45" spans="1:7" s="333" customFormat="1" ht="13.5" customHeight="1">
      <c r="A45" s="374" t="s">
        <v>2424</v>
      </c>
      <c r="B45" s="392" t="s">
        <v>2796</v>
      </c>
      <c r="C45" s="393">
        <f>C46</f>
        <v>7287</v>
      </c>
      <c r="D45" s="379">
        <f>C47</f>
        <v>3.5999999999999999E-3</v>
      </c>
      <c r="E45" s="380" t="s">
        <v>2817</v>
      </c>
      <c r="F45" s="394"/>
      <c r="G45" s="395" t="s">
        <v>2820</v>
      </c>
    </row>
    <row r="46" spans="1:7" s="333" customFormat="1" ht="13.5" customHeight="1">
      <c r="A46" s="384" t="s">
        <v>1747</v>
      </c>
      <c r="B46" s="396" t="s">
        <v>2821</v>
      </c>
      <c r="C46" s="397">
        <f>ROUND((C33+C39)*F27,0)</f>
        <v>7287</v>
      </c>
      <c r="D46" s="410"/>
      <c r="E46" s="380"/>
      <c r="F46" s="394"/>
      <c r="G46" s="395"/>
    </row>
    <row r="47" spans="1:7" s="333" customFormat="1" ht="13.5" customHeight="1">
      <c r="A47" s="384" t="s">
        <v>1749</v>
      </c>
      <c r="B47" s="396" t="s">
        <v>2822</v>
      </c>
      <c r="C47" s="386">
        <f>ROUND(C40*F27,4)</f>
        <v>3.5999999999999999E-3</v>
      </c>
      <c r="D47" s="410"/>
      <c r="E47" s="380"/>
      <c r="F47" s="394"/>
      <c r="G47" s="395"/>
    </row>
    <row r="48" spans="1:7" s="333" customFormat="1" ht="13.5" customHeight="1">
      <c r="A48" s="374" t="s">
        <v>2433</v>
      </c>
      <c r="B48" s="352" t="s">
        <v>2801</v>
      </c>
      <c r="C48" s="409">
        <f>F30</f>
        <v>5.6000000000000001E-2</v>
      </c>
      <c r="D48" s="380" t="s">
        <v>2823</v>
      </c>
      <c r="E48" s="376"/>
      <c r="F48" s="383"/>
      <c r="G48" s="381" t="s">
        <v>2824</v>
      </c>
    </row>
    <row r="49" spans="1:7" ht="16.5" customHeight="1">
      <c r="A49" s="374" t="s">
        <v>2800</v>
      </c>
      <c r="B49" s="352" t="s">
        <v>2825</v>
      </c>
      <c r="C49" s="376">
        <f ca="1">ROUND((C33+C39+C41+C45)/(1-C40-D41-D45-C48/(1+'数据-取费表'!B42)),0)</f>
        <v>53447</v>
      </c>
      <c r="D49" s="376"/>
      <c r="E49" s="376"/>
      <c r="F49" s="411"/>
      <c r="G49" s="381" t="s">
        <v>2826</v>
      </c>
    </row>
    <row r="50" spans="1:7" s="335" customFormat="1" ht="24">
      <c r="A50" s="374" t="s">
        <v>2827</v>
      </c>
      <c r="B50" s="352" t="s">
        <v>2828</v>
      </c>
      <c r="C50" s="376"/>
      <c r="D50" s="376"/>
      <c r="E50" s="376"/>
      <c r="F50" s="411">
        <f>IF('数据-取费表'!B24=0,'数据-取费表'!N16,1)</f>
        <v>0.73</v>
      </c>
      <c r="G50" s="395" t="s">
        <v>2829</v>
      </c>
    </row>
    <row r="51" spans="1:7" ht="16.5" customHeight="1">
      <c r="A51" s="374" t="s">
        <v>2830</v>
      </c>
      <c r="B51" s="352" t="s">
        <v>2831</v>
      </c>
      <c r="C51" s="376">
        <f ca="1">ROUND(C49*F50,0)</f>
        <v>39016</v>
      </c>
      <c r="D51" s="376"/>
      <c r="E51" s="376"/>
      <c r="F51" s="411"/>
      <c r="G51" s="381" t="s">
        <v>2832</v>
      </c>
    </row>
    <row r="52" spans="1:7" s="332" customFormat="1" ht="15.75">
      <c r="A52" s="412" t="s">
        <v>2833</v>
      </c>
      <c r="B52" s="413"/>
      <c r="C52" s="414">
        <f ca="1">C31+C51</f>
        <v>69454</v>
      </c>
      <c r="D52" s="413"/>
      <c r="E52" s="413"/>
      <c r="F52" s="413"/>
      <c r="G52" s="415"/>
    </row>
    <row r="55" spans="1:7" ht="15">
      <c r="B55" s="416" t="s">
        <v>2834</v>
      </c>
      <c r="C55" s="417"/>
    </row>
    <row r="56" spans="1:7">
      <c r="B56" s="418" t="s">
        <v>2835</v>
      </c>
      <c r="C56" s="419">
        <f ca="1">ROUND(C51/C52,3)</f>
        <v>0.56200000000000006</v>
      </c>
    </row>
    <row r="57" spans="1:7">
      <c r="B57" s="418" t="s">
        <v>2836</v>
      </c>
      <c r="C57" s="420">
        <f ca="1">1-C56</f>
        <v>0.43799999999999994</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I22"/>
  <sheetViews>
    <sheetView zoomScale="90" zoomScaleNormal="90" workbookViewId="0">
      <selection sqref="A1:XFD1048576"/>
    </sheetView>
  </sheetViews>
  <sheetFormatPr defaultColWidth="9" defaultRowHeight="14.25"/>
  <cols>
    <col min="1" max="1" width="27.625" style="1175" customWidth="1"/>
    <col min="2" max="9" width="12.125" style="1175" customWidth="1"/>
    <col min="10" max="16384" width="9" style="1175"/>
  </cols>
  <sheetData>
    <row r="1" spans="1:9" ht="18">
      <c r="A1" s="3263" t="str">
        <f>IF(项目基本情况!B9="房地产市场价值","估价结果一览表","结果表-2")</f>
        <v>结果表-2</v>
      </c>
      <c r="B1" s="3263"/>
      <c r="C1" s="3263"/>
      <c r="D1" s="3263"/>
      <c r="E1" s="3263"/>
      <c r="F1" s="3263"/>
      <c r="G1" s="3263"/>
      <c r="H1" s="3263"/>
      <c r="I1" s="3263"/>
    </row>
    <row r="2" spans="1:9" ht="30" customHeight="1">
      <c r="A2" s="3264" t="s">
        <v>107</v>
      </c>
      <c r="B2" s="3264" t="s">
        <v>108</v>
      </c>
      <c r="C2" s="3264" t="s">
        <v>109</v>
      </c>
      <c r="D2" s="3264" t="str">
        <f>结果表!D116</f>
        <v>出让国有建设用地使用权价值</v>
      </c>
      <c r="E2" s="3264"/>
      <c r="F2" s="3264" t="str">
        <f>结果表!F116</f>
        <v>在建建筑物价值</v>
      </c>
      <c r="G2" s="3264"/>
      <c r="H2" s="3264" t="str">
        <f>IF(项目基本情况!B9="房地产市场价值","房地产市场价值","房地产价值")</f>
        <v>房地产价值</v>
      </c>
      <c r="I2" s="3264"/>
    </row>
    <row r="3" spans="1:9" ht="15">
      <c r="A3" s="3259"/>
      <c r="B3" s="3259"/>
      <c r="C3" s="3259"/>
      <c r="D3" s="3187" t="s">
        <v>110</v>
      </c>
      <c r="E3" s="3187" t="s">
        <v>111</v>
      </c>
      <c r="F3" s="3187" t="s">
        <v>110</v>
      </c>
      <c r="G3" s="3187" t="s">
        <v>111</v>
      </c>
      <c r="H3" s="3187" t="s">
        <v>110</v>
      </c>
      <c r="I3" s="3187" t="s">
        <v>111</v>
      </c>
    </row>
    <row r="4" spans="1:9" ht="15">
      <c r="A4" s="3188" t="str">
        <f>项目基本情况!S2</f>
        <v>北京市房地产</v>
      </c>
      <c r="B4" s="3187">
        <f>项目基本情况!C17</f>
        <v>65221.919999999998</v>
      </c>
      <c r="C4" s="3187">
        <f>项目基本情况!C18</f>
        <v>12590.6</v>
      </c>
      <c r="D4" s="3187" t="e">
        <f ca="1">结果表!D118</f>
        <v>#REF!</v>
      </c>
      <c r="E4" s="3187" t="e">
        <f ca="1">结果表!E118</f>
        <v>#REF!</v>
      </c>
      <c r="F4" s="3187" t="e">
        <f ca="1">结果表!F118</f>
        <v>#REF!</v>
      </c>
      <c r="G4" s="3187" t="e">
        <f ca="1">结果表!G118</f>
        <v>#REF!</v>
      </c>
      <c r="H4" s="3187" t="e">
        <f ca="1">结果表!H118</f>
        <v>#REF!</v>
      </c>
      <c r="I4" s="3187" t="e">
        <f ca="1">结果表!I118</f>
        <v>#REF!</v>
      </c>
    </row>
    <row r="5" spans="1:9" ht="30" customHeight="1">
      <c r="A5" s="3259" t="s">
        <v>112</v>
      </c>
      <c r="B5" s="3259"/>
      <c r="C5" s="3259"/>
      <c r="D5" s="3259" t="e">
        <f ca="1">结果表!D119</f>
        <v>#REF!</v>
      </c>
      <c r="E5" s="3259"/>
      <c r="F5" s="3259" t="e">
        <f ca="1">结果表!F119</f>
        <v>#REF!</v>
      </c>
      <c r="G5" s="3259"/>
      <c r="H5" s="3259" t="e">
        <f ca="1">结果表!H119</f>
        <v>#REF!</v>
      </c>
      <c r="I5" s="3259"/>
    </row>
    <row r="6" spans="1:9" ht="15.75">
      <c r="A6" s="3256" t="str">
        <f>结果表!A120</f>
        <v>估价师知悉的法定优先受偿款</v>
      </c>
      <c r="B6" s="3256"/>
      <c r="C6" s="3256"/>
      <c r="D6" s="3256">
        <f>结果表!D120</f>
        <v>0</v>
      </c>
      <c r="E6" s="3256"/>
      <c r="F6" s="3256"/>
      <c r="G6" s="3256"/>
      <c r="H6" s="3256"/>
      <c r="I6" s="3256"/>
    </row>
    <row r="7" spans="1:9" ht="15">
      <c r="A7" s="3259" t="s">
        <v>112</v>
      </c>
      <c r="B7" s="3259"/>
      <c r="C7" s="3259"/>
      <c r="D7" s="3260" t="str">
        <f>结果表!D121</f>
        <v>零元整</v>
      </c>
      <c r="E7" s="3261"/>
      <c r="F7" s="3261"/>
      <c r="G7" s="3261"/>
      <c r="H7" s="3261"/>
      <c r="I7" s="3262"/>
    </row>
    <row r="8" spans="1:9" ht="15.75">
      <c r="A8" s="3256" t="str">
        <f>结果表!A122</f>
        <v>房地产抵押价值</v>
      </c>
      <c r="B8" s="3256"/>
      <c r="C8" s="3256"/>
      <c r="D8" s="3256" t="e">
        <f ca="1">结果表!D122</f>
        <v>#REF!</v>
      </c>
      <c r="E8" s="3256"/>
      <c r="F8" s="3256"/>
      <c r="G8" s="3256"/>
      <c r="H8" s="3256"/>
      <c r="I8" s="3256"/>
    </row>
    <row r="9" spans="1:9" ht="15">
      <c r="A9" s="3259" t="s">
        <v>112</v>
      </c>
      <c r="B9" s="3259"/>
      <c r="C9" s="3259"/>
      <c r="D9" s="3259" t="e">
        <f ca="1">结果表!D123</f>
        <v>#REF!</v>
      </c>
      <c r="E9" s="3259"/>
      <c r="F9" s="3259"/>
      <c r="G9" s="3259"/>
      <c r="H9" s="3259"/>
      <c r="I9" s="3259"/>
    </row>
    <row r="10" spans="1:9" ht="15.75">
      <c r="A10" s="3256" t="str">
        <f>结果表!A124</f>
        <v/>
      </c>
      <c r="B10" s="3256"/>
      <c r="C10" s="3256"/>
      <c r="D10" s="3256" t="str">
        <f>结果表!D124</f>
        <v>——</v>
      </c>
      <c r="E10" s="3256"/>
      <c r="F10" s="3256"/>
      <c r="G10" s="3256"/>
      <c r="H10" s="3256"/>
      <c r="I10" s="3256"/>
    </row>
    <row r="11" spans="1:9" ht="15">
      <c r="A11" s="3259" t="s">
        <v>112</v>
      </c>
      <c r="B11" s="3259"/>
      <c r="C11" s="3259"/>
      <c r="D11" s="3259" t="e">
        <f>结果表!D125</f>
        <v>#VALUE!</v>
      </c>
      <c r="E11" s="3259"/>
      <c r="F11" s="3259"/>
      <c r="G11" s="3259"/>
      <c r="H11" s="3259"/>
      <c r="I11" s="3259"/>
    </row>
    <row r="12" spans="1:9" ht="15.75">
      <c r="A12" s="3256" t="str">
        <f>结果表!A126</f>
        <v/>
      </c>
      <c r="B12" s="3256"/>
      <c r="C12" s="3256"/>
      <c r="D12" s="3256" t="str">
        <f>结果表!D126</f>
        <v>——</v>
      </c>
      <c r="E12" s="3256"/>
      <c r="F12" s="3256"/>
      <c r="G12" s="3256"/>
      <c r="H12" s="3256"/>
      <c r="I12" s="3256"/>
    </row>
    <row r="13" spans="1:9" ht="15">
      <c r="A13" s="3257" t="s">
        <v>112</v>
      </c>
      <c r="B13" s="3257"/>
      <c r="C13" s="3257"/>
      <c r="D13" s="3257" t="e">
        <f>结果表!D127</f>
        <v>#VALUE!</v>
      </c>
      <c r="E13" s="3257"/>
      <c r="F13" s="3257"/>
      <c r="G13" s="3257"/>
      <c r="H13" s="3257"/>
      <c r="I13" s="3257"/>
    </row>
    <row r="14" spans="1:9">
      <c r="A14" s="3258" t="s">
        <v>113</v>
      </c>
      <c r="B14" s="3258"/>
      <c r="C14" s="3258"/>
      <c r="D14" s="3258"/>
      <c r="E14" s="3258"/>
      <c r="F14" s="3258"/>
      <c r="G14" s="3258"/>
      <c r="H14" s="3258"/>
      <c r="I14" s="3258"/>
    </row>
    <row r="16" spans="1:9" ht="18.75">
      <c r="A16" s="3189" t="s">
        <v>106</v>
      </c>
      <c r="B16" s="1792"/>
      <c r="C16" s="1792"/>
      <c r="D16" s="1792"/>
      <c r="E16" s="1792"/>
      <c r="F16" s="1792"/>
      <c r="G16" s="1792"/>
      <c r="H16" s="1792"/>
      <c r="I16" s="1792"/>
    </row>
    <row r="17" spans="1:9">
      <c r="A17" s="1792"/>
      <c r="B17" s="1792"/>
      <c r="C17" s="1792"/>
      <c r="D17" s="1792"/>
      <c r="E17" s="1792"/>
      <c r="F17" s="1792"/>
      <c r="G17" s="1792"/>
      <c r="H17" s="1792"/>
      <c r="I17" s="1792"/>
    </row>
    <row r="18" spans="1:9">
      <c r="A18" s="1792"/>
      <c r="B18" s="1792"/>
      <c r="C18" s="1792"/>
      <c r="D18" s="1792"/>
      <c r="E18" s="1792"/>
      <c r="F18" s="1792"/>
      <c r="G18" s="1792"/>
      <c r="H18" s="1792"/>
      <c r="I18" s="1792"/>
    </row>
    <row r="19" spans="1:9">
      <c r="A19" s="1792"/>
      <c r="B19" s="1792"/>
      <c r="C19" s="1792"/>
      <c r="D19" s="1792"/>
      <c r="E19" s="1792"/>
      <c r="F19" s="1792"/>
      <c r="G19" s="1792"/>
      <c r="H19" s="1792"/>
      <c r="I19" s="1792"/>
    </row>
    <row r="20" spans="1:9">
      <c r="A20" s="1792"/>
      <c r="B20" s="1792"/>
      <c r="C20" s="1792"/>
      <c r="D20" s="1792"/>
      <c r="E20" s="1792"/>
      <c r="F20" s="1792"/>
      <c r="G20" s="1792"/>
      <c r="H20" s="1792"/>
      <c r="I20" s="1792"/>
    </row>
    <row r="21" spans="1:9">
      <c r="A21" s="1792"/>
      <c r="B21" s="1792"/>
      <c r="C21" s="1792"/>
      <c r="D21" s="1792"/>
      <c r="E21" s="1792"/>
      <c r="F21" s="1792"/>
      <c r="G21" s="1792"/>
      <c r="H21" s="1792"/>
      <c r="I21" s="1792"/>
    </row>
    <row r="22" spans="1:9">
      <c r="A22" s="1792"/>
      <c r="B22" s="1792"/>
      <c r="C22" s="1792"/>
      <c r="D22" s="1792"/>
      <c r="E22" s="1792"/>
      <c r="F22" s="1792"/>
      <c r="G22" s="1792"/>
      <c r="H22" s="1792"/>
      <c r="I22" s="179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65" t="s">
        <v>2837</v>
      </c>
      <c r="B1" s="3565"/>
    </row>
    <row r="2" spans="1:7">
      <c r="A2" s="297"/>
      <c r="B2" s="297"/>
    </row>
    <row r="3" spans="1:7">
      <c r="A3" s="297"/>
      <c r="B3" s="297"/>
      <c r="C3" s="298" t="s">
        <v>229</v>
      </c>
      <c r="D3" s="298" t="s">
        <v>230</v>
      </c>
      <c r="E3" s="298" t="s">
        <v>232</v>
      </c>
      <c r="F3" s="298" t="s">
        <v>233</v>
      </c>
      <c r="G3" s="298" t="s">
        <v>231</v>
      </c>
    </row>
    <row r="4" spans="1:7">
      <c r="A4" s="299" t="s">
        <v>2838</v>
      </c>
      <c r="B4" s="300" t="s">
        <v>2839</v>
      </c>
      <c r="C4" s="298"/>
      <c r="D4" s="298"/>
      <c r="E4" s="298"/>
      <c r="F4" s="298"/>
      <c r="G4" s="298"/>
    </row>
    <row r="5" spans="1:7">
      <c r="A5" s="301" t="s">
        <v>235</v>
      </c>
      <c r="B5" s="302" t="s">
        <v>2840</v>
      </c>
      <c r="C5" s="303">
        <v>9.8000000000000004E-2</v>
      </c>
      <c r="D5" s="303">
        <v>8.6999999999999994E-2</v>
      </c>
      <c r="E5" s="303">
        <v>8.6999999999999994E-2</v>
      </c>
      <c r="F5" s="303">
        <v>9.8000000000000004E-2</v>
      </c>
      <c r="G5" s="304">
        <v>9.5000000000000001E-2</v>
      </c>
    </row>
    <row r="6" spans="1:7">
      <c r="A6" s="305" t="s">
        <v>235</v>
      </c>
      <c r="B6" s="306" t="s">
        <v>2841</v>
      </c>
      <c r="C6" s="307">
        <v>9.8000000000000004E-2</v>
      </c>
      <c r="D6" s="307">
        <v>9.8000000000000004E-2</v>
      </c>
      <c r="E6" s="307">
        <v>9.8000000000000004E-2</v>
      </c>
      <c r="F6" s="307">
        <v>0.1</v>
      </c>
      <c r="G6" s="308">
        <v>9.9000000000000005E-2</v>
      </c>
    </row>
    <row r="7" spans="1:7">
      <c r="A7" s="305" t="s">
        <v>235</v>
      </c>
      <c r="B7" s="306" t="s">
        <v>552</v>
      </c>
      <c r="C7" s="307">
        <v>9.7000000000000003E-2</v>
      </c>
      <c r="D7" s="307">
        <v>9.7000000000000003E-2</v>
      </c>
      <c r="E7" s="307">
        <v>9.6000000000000002E-2</v>
      </c>
      <c r="F7" s="307">
        <v>0.1</v>
      </c>
      <c r="G7" s="308">
        <v>9.8000000000000004E-2</v>
      </c>
    </row>
    <row r="8" spans="1:7">
      <c r="A8" s="305" t="s">
        <v>235</v>
      </c>
      <c r="B8" s="306" t="s">
        <v>2842</v>
      </c>
      <c r="C8" s="307">
        <v>8.1000000000000003E-2</v>
      </c>
      <c r="D8" s="307">
        <v>8.2000000000000003E-2</v>
      </c>
      <c r="E8" s="307">
        <v>7.0000000000000007E-2</v>
      </c>
      <c r="F8" s="307">
        <v>9.6000000000000002E-2</v>
      </c>
      <c r="G8" s="308">
        <v>8.8999999999999996E-2</v>
      </c>
    </row>
    <row r="9" spans="1:7">
      <c r="A9" s="309" t="s">
        <v>235</v>
      </c>
      <c r="B9" s="310" t="s">
        <v>2843</v>
      </c>
      <c r="C9" s="311">
        <v>0.1</v>
      </c>
      <c r="D9" s="311">
        <v>0.1</v>
      </c>
      <c r="E9" s="311">
        <v>0.1</v>
      </c>
      <c r="F9" s="312"/>
      <c r="G9" s="313">
        <v>0.1</v>
      </c>
    </row>
    <row r="10" spans="1:7">
      <c r="A10" s="301" t="s">
        <v>251</v>
      </c>
      <c r="B10" s="302" t="s">
        <v>2844</v>
      </c>
      <c r="C10" s="303">
        <v>6.7000000000000004E-2</v>
      </c>
      <c r="D10" s="303">
        <v>7.9000000000000001E-2</v>
      </c>
      <c r="E10" s="303">
        <v>7.9000000000000001E-2</v>
      </c>
      <c r="F10" s="303">
        <v>0.1</v>
      </c>
      <c r="G10" s="304">
        <v>9.0999999999999998E-2</v>
      </c>
    </row>
    <row r="11" spans="1:7">
      <c r="A11" s="305" t="s">
        <v>251</v>
      </c>
      <c r="B11" s="306" t="s">
        <v>2845</v>
      </c>
      <c r="C11" s="307">
        <v>0.05</v>
      </c>
      <c r="D11" s="307">
        <v>5.2999999999999999E-2</v>
      </c>
      <c r="E11" s="307">
        <v>6.3E-2</v>
      </c>
      <c r="F11" s="307">
        <v>0.1</v>
      </c>
      <c r="G11" s="308">
        <v>7.1999999999999995E-2</v>
      </c>
    </row>
    <row r="12" spans="1:7">
      <c r="A12" s="305" t="s">
        <v>251</v>
      </c>
      <c r="B12" s="306" t="s">
        <v>2846</v>
      </c>
      <c r="C12" s="307">
        <v>5.2999999999999999E-2</v>
      </c>
      <c r="D12" s="307">
        <v>0.09</v>
      </c>
      <c r="E12" s="307">
        <v>7.1999999999999995E-2</v>
      </c>
      <c r="F12" s="307">
        <v>0.1</v>
      </c>
      <c r="G12" s="308">
        <v>9.7000000000000003E-2</v>
      </c>
    </row>
    <row r="13" spans="1:7">
      <c r="A13" s="305" t="s">
        <v>251</v>
      </c>
      <c r="B13" s="306" t="s">
        <v>2847</v>
      </c>
      <c r="C13" s="307">
        <v>9.7000000000000003E-2</v>
      </c>
      <c r="D13" s="307">
        <v>9.1999999999999998E-2</v>
      </c>
      <c r="E13" s="307">
        <v>9.5000000000000001E-2</v>
      </c>
      <c r="F13" s="307">
        <v>0.1</v>
      </c>
      <c r="G13" s="308">
        <v>9.7000000000000003E-2</v>
      </c>
    </row>
    <row r="14" spans="1:7">
      <c r="A14" s="305" t="s">
        <v>251</v>
      </c>
      <c r="B14" s="306" t="s">
        <v>2848</v>
      </c>
      <c r="C14" s="307">
        <v>9.7000000000000003E-2</v>
      </c>
      <c r="D14" s="307">
        <v>9.7000000000000003E-2</v>
      </c>
      <c r="E14" s="307">
        <v>9.7000000000000003E-2</v>
      </c>
      <c r="F14" s="307">
        <v>0.1</v>
      </c>
      <c r="G14" s="308">
        <v>9.8000000000000004E-2</v>
      </c>
    </row>
    <row r="15" spans="1:7">
      <c r="A15" s="305" t="s">
        <v>251</v>
      </c>
      <c r="B15" s="306" t="s">
        <v>2849</v>
      </c>
      <c r="C15" s="307">
        <v>9.8000000000000004E-2</v>
      </c>
      <c r="D15" s="307">
        <v>9.0999999999999998E-2</v>
      </c>
      <c r="E15" s="307">
        <v>0.06</v>
      </c>
      <c r="F15" s="307">
        <v>0.1</v>
      </c>
      <c r="G15" s="308">
        <v>9.7000000000000003E-2</v>
      </c>
    </row>
    <row r="16" spans="1:7">
      <c r="A16" s="305" t="s">
        <v>251</v>
      </c>
      <c r="B16" s="306" t="s">
        <v>2850</v>
      </c>
      <c r="C16" s="307">
        <v>9.8000000000000004E-2</v>
      </c>
      <c r="D16" s="307">
        <v>9.7000000000000003E-2</v>
      </c>
      <c r="E16" s="307">
        <v>9.5000000000000001E-2</v>
      </c>
      <c r="F16" s="307">
        <v>0.1</v>
      </c>
      <c r="G16" s="308">
        <v>9.9000000000000005E-2</v>
      </c>
    </row>
    <row r="17" spans="1:7">
      <c r="A17" s="305" t="s">
        <v>251</v>
      </c>
      <c r="B17" s="306" t="s">
        <v>2851</v>
      </c>
      <c r="C17" s="307">
        <v>8.8999999999999996E-2</v>
      </c>
      <c r="D17" s="307">
        <v>9.1999999999999998E-2</v>
      </c>
      <c r="E17" s="307">
        <v>6.0999999999999999E-2</v>
      </c>
      <c r="F17" s="307">
        <v>0.1</v>
      </c>
      <c r="G17" s="308">
        <v>9.7000000000000003E-2</v>
      </c>
    </row>
    <row r="18" spans="1:7">
      <c r="A18" s="305" t="s">
        <v>251</v>
      </c>
      <c r="B18" s="306" t="s">
        <v>2852</v>
      </c>
      <c r="C18" s="307">
        <v>9.8000000000000004E-2</v>
      </c>
      <c r="D18" s="307">
        <v>9.8000000000000004E-2</v>
      </c>
      <c r="E18" s="307">
        <v>9.8000000000000004E-2</v>
      </c>
      <c r="F18" s="314"/>
      <c r="G18" s="308">
        <v>9.9000000000000005E-2</v>
      </c>
    </row>
    <row r="19" spans="1:7">
      <c r="A19" s="305" t="s">
        <v>251</v>
      </c>
      <c r="B19" s="306" t="s">
        <v>2853</v>
      </c>
      <c r="C19" s="307">
        <v>9.9000000000000005E-2</v>
      </c>
      <c r="D19" s="307">
        <v>7.3999999999999996E-2</v>
      </c>
      <c r="E19" s="307">
        <v>8.1000000000000003E-2</v>
      </c>
      <c r="F19" s="314"/>
      <c r="G19" s="308">
        <v>9.2999999999999999E-2</v>
      </c>
    </row>
    <row r="20" spans="1:7">
      <c r="A20" s="305" t="s">
        <v>251</v>
      </c>
      <c r="B20" s="306" t="s">
        <v>2854</v>
      </c>
      <c r="C20" s="307">
        <v>0.1</v>
      </c>
      <c r="D20" s="307">
        <v>8.8999999999999996E-2</v>
      </c>
      <c r="E20" s="307">
        <v>8.8999999999999996E-2</v>
      </c>
      <c r="F20" s="314"/>
      <c r="G20" s="308">
        <v>9.5000000000000001E-2</v>
      </c>
    </row>
    <row r="21" spans="1:7">
      <c r="A21" s="305" t="s">
        <v>251</v>
      </c>
      <c r="B21" s="306" t="s">
        <v>2855</v>
      </c>
      <c r="C21" s="307">
        <v>0.1</v>
      </c>
      <c r="D21" s="307">
        <v>9.0999999999999998E-2</v>
      </c>
      <c r="E21" s="307">
        <v>8.2000000000000003E-2</v>
      </c>
      <c r="F21" s="314"/>
      <c r="G21" s="308">
        <v>9.7000000000000003E-2</v>
      </c>
    </row>
    <row r="22" spans="1:7">
      <c r="A22" s="305" t="s">
        <v>251</v>
      </c>
      <c r="B22" s="306" t="s">
        <v>2856</v>
      </c>
      <c r="C22" s="307">
        <v>9.5000000000000001E-2</v>
      </c>
      <c r="D22" s="307">
        <v>9.9000000000000005E-2</v>
      </c>
      <c r="E22" s="307">
        <v>9.8000000000000004E-2</v>
      </c>
      <c r="F22" s="314"/>
      <c r="G22" s="308">
        <v>0.1</v>
      </c>
    </row>
    <row r="23" spans="1:7">
      <c r="A23" s="305" t="s">
        <v>251</v>
      </c>
      <c r="B23" s="306" t="s">
        <v>2857</v>
      </c>
      <c r="C23" s="307">
        <v>9.9000000000000005E-2</v>
      </c>
      <c r="D23" s="307">
        <v>0.1</v>
      </c>
      <c r="E23" s="307">
        <v>0.1</v>
      </c>
      <c r="F23" s="314"/>
      <c r="G23" s="308">
        <v>0.1</v>
      </c>
    </row>
    <row r="24" spans="1:7">
      <c r="A24" s="305" t="s">
        <v>251</v>
      </c>
      <c r="B24" s="306" t="s">
        <v>2858</v>
      </c>
      <c r="C24" s="307">
        <v>9.5000000000000001E-2</v>
      </c>
      <c r="D24" s="307">
        <v>0.1</v>
      </c>
      <c r="E24" s="307">
        <v>9.8000000000000004E-2</v>
      </c>
      <c r="F24" s="314"/>
      <c r="G24" s="308">
        <v>0.1</v>
      </c>
    </row>
    <row r="25" spans="1:7">
      <c r="A25" s="305" t="s">
        <v>251</v>
      </c>
      <c r="B25" s="306" t="s">
        <v>2859</v>
      </c>
      <c r="C25" s="307">
        <v>0.05</v>
      </c>
      <c r="D25" s="307">
        <v>9.6000000000000002E-2</v>
      </c>
      <c r="E25" s="307">
        <v>9.6000000000000002E-2</v>
      </c>
      <c r="F25" s="314"/>
      <c r="G25" s="308">
        <v>9.6000000000000002E-2</v>
      </c>
    </row>
    <row r="26" spans="1:7">
      <c r="A26" s="305" t="s">
        <v>251</v>
      </c>
      <c r="B26" s="306" t="s">
        <v>2860</v>
      </c>
      <c r="C26" s="307">
        <v>6.3E-2</v>
      </c>
      <c r="D26" s="307">
        <v>9.9000000000000005E-2</v>
      </c>
      <c r="E26" s="307">
        <v>9.8000000000000004E-2</v>
      </c>
      <c r="F26" s="314"/>
      <c r="G26" s="308">
        <v>0.1</v>
      </c>
    </row>
    <row r="27" spans="1:7">
      <c r="A27" s="305" t="s">
        <v>251</v>
      </c>
      <c r="B27" s="306" t="s">
        <v>2861</v>
      </c>
      <c r="C27" s="307">
        <v>5.1999999999999998E-2</v>
      </c>
      <c r="D27" s="307">
        <v>9.5000000000000001E-2</v>
      </c>
      <c r="E27" s="307">
        <v>6.4000000000000001E-2</v>
      </c>
      <c r="F27" s="314"/>
      <c r="G27" s="308">
        <v>9.7000000000000003E-2</v>
      </c>
    </row>
    <row r="28" spans="1:7">
      <c r="A28" s="305" t="s">
        <v>251</v>
      </c>
      <c r="B28" s="306" t="s">
        <v>2862</v>
      </c>
      <c r="C28" s="314"/>
      <c r="D28" s="307">
        <v>6.3E-2</v>
      </c>
      <c r="E28" s="307">
        <v>5.1999999999999998E-2</v>
      </c>
      <c r="F28" s="314"/>
      <c r="G28" s="308">
        <v>6.3E-2</v>
      </c>
    </row>
    <row r="29" spans="1:7">
      <c r="A29" s="309" t="s">
        <v>251</v>
      </c>
      <c r="B29" s="310" t="s">
        <v>2863</v>
      </c>
      <c r="C29" s="315"/>
      <c r="D29" s="311">
        <v>5.1999999999999998E-2</v>
      </c>
      <c r="E29" s="311">
        <v>7.0000000000000007E-2</v>
      </c>
      <c r="F29" s="315"/>
      <c r="G29" s="313">
        <v>7.0999999999999994E-2</v>
      </c>
    </row>
    <row r="30" spans="1:7">
      <c r="A30" s="316" t="s">
        <v>264</v>
      </c>
      <c r="B30" s="302" t="s">
        <v>2864</v>
      </c>
      <c r="C30" s="303">
        <v>6.6000000000000003E-2</v>
      </c>
      <c r="D30" s="303">
        <v>6.6000000000000003E-2</v>
      </c>
      <c r="E30" s="303">
        <v>5.7000000000000002E-2</v>
      </c>
      <c r="F30" s="303">
        <v>0.1</v>
      </c>
      <c r="G30" s="304">
        <v>6.8000000000000005E-2</v>
      </c>
    </row>
    <row r="31" spans="1:7">
      <c r="A31" s="317" t="s">
        <v>264</v>
      </c>
      <c r="B31" s="306" t="s">
        <v>2865</v>
      </c>
      <c r="C31" s="307">
        <v>5.5E-2</v>
      </c>
      <c r="D31" s="307">
        <v>8.2000000000000003E-2</v>
      </c>
      <c r="E31" s="307">
        <v>6.4000000000000001E-2</v>
      </c>
      <c r="F31" s="307">
        <v>0.1</v>
      </c>
      <c r="G31" s="308">
        <v>9.5000000000000001E-2</v>
      </c>
    </row>
    <row r="32" spans="1:7">
      <c r="A32" s="317" t="s">
        <v>264</v>
      </c>
      <c r="B32" s="306" t="s">
        <v>2866</v>
      </c>
      <c r="C32" s="307">
        <v>8.2000000000000003E-2</v>
      </c>
      <c r="D32" s="307">
        <v>8.6999999999999994E-2</v>
      </c>
      <c r="E32" s="307">
        <v>9.5000000000000001E-2</v>
      </c>
      <c r="F32" s="307">
        <v>0.1</v>
      </c>
      <c r="G32" s="308">
        <v>9.6000000000000002E-2</v>
      </c>
    </row>
    <row r="33" spans="1:7">
      <c r="A33" s="317" t="s">
        <v>264</v>
      </c>
      <c r="B33" s="306" t="s">
        <v>2867</v>
      </c>
      <c r="C33" s="307">
        <v>9.9000000000000005E-2</v>
      </c>
      <c r="D33" s="307">
        <v>9.1999999999999998E-2</v>
      </c>
      <c r="E33" s="307">
        <v>8.6999999999999994E-2</v>
      </c>
      <c r="F33" s="307">
        <v>0.1</v>
      </c>
      <c r="G33" s="308">
        <v>9.7000000000000003E-2</v>
      </c>
    </row>
    <row r="34" spans="1:7">
      <c r="A34" s="317" t="s">
        <v>264</v>
      </c>
      <c r="B34" s="306" t="s">
        <v>2868</v>
      </c>
      <c r="C34" s="307">
        <v>8.4000000000000005E-2</v>
      </c>
      <c r="D34" s="307">
        <v>9.7000000000000003E-2</v>
      </c>
      <c r="E34" s="307">
        <v>7.0999999999999994E-2</v>
      </c>
      <c r="F34" s="307">
        <v>0.1</v>
      </c>
      <c r="G34" s="308">
        <v>9.8000000000000004E-2</v>
      </c>
    </row>
    <row r="35" spans="1:7">
      <c r="A35" s="317" t="s">
        <v>264</v>
      </c>
      <c r="B35" s="306" t="s">
        <v>2869</v>
      </c>
      <c r="C35" s="307">
        <v>8.3000000000000004E-2</v>
      </c>
      <c r="D35" s="307">
        <v>9.7000000000000003E-2</v>
      </c>
      <c r="E35" s="307">
        <v>6.0999999999999999E-2</v>
      </c>
      <c r="F35" s="307">
        <v>0.1</v>
      </c>
      <c r="G35" s="308">
        <v>9.9000000000000005E-2</v>
      </c>
    </row>
    <row r="36" spans="1:7">
      <c r="A36" s="317" t="s">
        <v>264</v>
      </c>
      <c r="B36" s="306" t="s">
        <v>2870</v>
      </c>
      <c r="C36" s="307">
        <v>9.7000000000000003E-2</v>
      </c>
      <c r="D36" s="307">
        <v>9.7000000000000003E-2</v>
      </c>
      <c r="E36" s="307">
        <v>7.8E-2</v>
      </c>
      <c r="F36" s="307">
        <v>0.1</v>
      </c>
      <c r="G36" s="308">
        <v>9.9000000000000005E-2</v>
      </c>
    </row>
    <row r="37" spans="1:7">
      <c r="A37" s="317" t="s">
        <v>264</v>
      </c>
      <c r="B37" s="306" t="s">
        <v>2871</v>
      </c>
      <c r="C37" s="307">
        <v>9.7000000000000003E-2</v>
      </c>
      <c r="D37" s="307">
        <v>9.5000000000000001E-2</v>
      </c>
      <c r="E37" s="307">
        <v>7.8E-2</v>
      </c>
      <c r="F37" s="307">
        <v>0.1</v>
      </c>
      <c r="G37" s="308">
        <v>9.7000000000000003E-2</v>
      </c>
    </row>
    <row r="38" spans="1:7">
      <c r="A38" s="317" t="s">
        <v>264</v>
      </c>
      <c r="B38" s="306" t="s">
        <v>2872</v>
      </c>
      <c r="C38" s="307">
        <v>9.7000000000000003E-2</v>
      </c>
      <c r="D38" s="307">
        <v>7.6999999999999999E-2</v>
      </c>
      <c r="E38" s="307">
        <v>7.0000000000000007E-2</v>
      </c>
      <c r="F38" s="307">
        <v>0.1</v>
      </c>
      <c r="G38" s="308">
        <v>7.6999999999999999E-2</v>
      </c>
    </row>
    <row r="39" spans="1:7">
      <c r="A39" s="317" t="s">
        <v>264</v>
      </c>
      <c r="B39" s="306" t="s">
        <v>2873</v>
      </c>
      <c r="C39" s="307">
        <v>9.5000000000000001E-2</v>
      </c>
      <c r="D39" s="307">
        <v>7.6999999999999999E-2</v>
      </c>
      <c r="E39" s="307">
        <v>6.6000000000000003E-2</v>
      </c>
      <c r="F39" s="307">
        <v>0.1</v>
      </c>
      <c r="G39" s="308">
        <v>8.5999999999999993E-2</v>
      </c>
    </row>
    <row r="40" spans="1:7">
      <c r="A40" s="317" t="s">
        <v>264</v>
      </c>
      <c r="B40" s="306" t="s">
        <v>2874</v>
      </c>
      <c r="C40" s="307">
        <v>7.6999999999999999E-2</v>
      </c>
      <c r="D40" s="307">
        <v>7.8E-2</v>
      </c>
      <c r="E40" s="307">
        <v>8.2000000000000003E-2</v>
      </c>
      <c r="F40" s="318"/>
      <c r="G40" s="308">
        <v>7.8E-2</v>
      </c>
    </row>
    <row r="41" spans="1:7">
      <c r="A41" s="317" t="s">
        <v>264</v>
      </c>
      <c r="B41" s="306" t="s">
        <v>2875</v>
      </c>
      <c r="C41" s="307">
        <v>7.8E-2</v>
      </c>
      <c r="D41" s="307">
        <v>7.8E-2</v>
      </c>
      <c r="E41" s="307">
        <v>8.2000000000000003E-2</v>
      </c>
      <c r="F41" s="318"/>
      <c r="G41" s="308">
        <v>8.5999999999999993E-2</v>
      </c>
    </row>
    <row r="42" spans="1:7">
      <c r="A42" s="317" t="s">
        <v>264</v>
      </c>
      <c r="B42" s="306" t="s">
        <v>2876</v>
      </c>
      <c r="C42" s="307">
        <v>7.8E-2</v>
      </c>
      <c r="D42" s="307">
        <v>9.6000000000000002E-2</v>
      </c>
      <c r="E42" s="307">
        <v>7.1999999999999995E-2</v>
      </c>
      <c r="F42" s="318"/>
      <c r="G42" s="308">
        <v>9.8000000000000004E-2</v>
      </c>
    </row>
    <row r="43" spans="1:7">
      <c r="A43" s="317" t="s">
        <v>264</v>
      </c>
      <c r="B43" s="306" t="s">
        <v>2877</v>
      </c>
      <c r="C43" s="307">
        <v>7.8E-2</v>
      </c>
      <c r="D43" s="307">
        <v>9.9000000000000005E-2</v>
      </c>
      <c r="E43" s="307">
        <v>9.6000000000000002E-2</v>
      </c>
      <c r="F43" s="318"/>
      <c r="G43" s="308">
        <v>0.1</v>
      </c>
    </row>
    <row r="44" spans="1:7">
      <c r="A44" s="317" t="s">
        <v>264</v>
      </c>
      <c r="B44" s="306" t="s">
        <v>2878</v>
      </c>
      <c r="C44" s="307">
        <v>9.6000000000000002E-2</v>
      </c>
      <c r="D44" s="307">
        <v>0.1</v>
      </c>
      <c r="E44" s="307">
        <v>9.8000000000000004E-2</v>
      </c>
      <c r="F44" s="318"/>
      <c r="G44" s="308">
        <v>0.1</v>
      </c>
    </row>
    <row r="45" spans="1:7">
      <c r="A45" s="317" t="s">
        <v>264</v>
      </c>
      <c r="B45" s="306" t="s">
        <v>2879</v>
      </c>
      <c r="C45" s="307">
        <v>9.9000000000000005E-2</v>
      </c>
      <c r="D45" s="307">
        <v>9.8000000000000004E-2</v>
      </c>
      <c r="E45" s="307">
        <v>9.5000000000000001E-2</v>
      </c>
      <c r="F45" s="318"/>
      <c r="G45" s="308">
        <v>9.8000000000000004E-2</v>
      </c>
    </row>
    <row r="46" spans="1:7">
      <c r="A46" s="317" t="s">
        <v>264</v>
      </c>
      <c r="B46" s="306" t="s">
        <v>2880</v>
      </c>
      <c r="C46" s="307">
        <v>0.1</v>
      </c>
      <c r="D46" s="307">
        <v>9.9000000000000005E-2</v>
      </c>
      <c r="E46" s="307">
        <v>9.6000000000000002E-2</v>
      </c>
      <c r="F46" s="318"/>
      <c r="G46" s="308">
        <v>0.1</v>
      </c>
    </row>
    <row r="47" spans="1:7">
      <c r="A47" s="317" t="s">
        <v>264</v>
      </c>
      <c r="B47" s="306" t="s">
        <v>2881</v>
      </c>
      <c r="C47" s="307">
        <v>9.8000000000000004E-2</v>
      </c>
      <c r="D47" s="307">
        <v>8.6999999999999994E-2</v>
      </c>
      <c r="E47" s="307">
        <v>5.8999999999999997E-2</v>
      </c>
      <c r="F47" s="318"/>
      <c r="G47" s="308">
        <v>9.6000000000000002E-2</v>
      </c>
    </row>
    <row r="48" spans="1:7">
      <c r="A48" s="317" t="s">
        <v>264</v>
      </c>
      <c r="B48" s="306" t="s">
        <v>2882</v>
      </c>
      <c r="C48" s="307">
        <v>9.9000000000000005E-2</v>
      </c>
      <c r="D48" s="307">
        <v>9.8000000000000004E-2</v>
      </c>
      <c r="E48" s="307">
        <v>9.5000000000000001E-2</v>
      </c>
      <c r="F48" s="318"/>
      <c r="G48" s="308">
        <v>9.8000000000000004E-2</v>
      </c>
    </row>
    <row r="49" spans="1:7">
      <c r="A49" s="317" t="s">
        <v>264</v>
      </c>
      <c r="B49" s="306" t="s">
        <v>2883</v>
      </c>
      <c r="C49" s="307">
        <v>8.7999999999999995E-2</v>
      </c>
      <c r="D49" s="307">
        <v>9.9000000000000005E-2</v>
      </c>
      <c r="E49" s="307">
        <v>7.0000000000000007E-2</v>
      </c>
      <c r="F49" s="318"/>
      <c r="G49" s="308">
        <v>0.1</v>
      </c>
    </row>
    <row r="50" spans="1:7">
      <c r="A50" s="317" t="s">
        <v>264</v>
      </c>
      <c r="B50" s="306" t="s">
        <v>2884</v>
      </c>
      <c r="C50" s="307">
        <v>9.8000000000000004E-2</v>
      </c>
      <c r="D50" s="307">
        <v>7.2999999999999995E-2</v>
      </c>
      <c r="E50" s="307">
        <v>7.0999999999999994E-2</v>
      </c>
      <c r="F50" s="318"/>
      <c r="G50" s="308">
        <v>7.2999999999999995E-2</v>
      </c>
    </row>
    <row r="51" spans="1:7">
      <c r="A51" s="317" t="s">
        <v>264</v>
      </c>
      <c r="B51" s="306" t="s">
        <v>2885</v>
      </c>
      <c r="C51" s="307">
        <v>9.9000000000000005E-2</v>
      </c>
      <c r="D51" s="307">
        <v>8.5000000000000006E-2</v>
      </c>
      <c r="E51" s="307">
        <v>6.3E-2</v>
      </c>
      <c r="F51" s="318"/>
      <c r="G51" s="308">
        <v>9.6000000000000002E-2</v>
      </c>
    </row>
    <row r="52" spans="1:7">
      <c r="A52" s="317" t="s">
        <v>264</v>
      </c>
      <c r="B52" s="306" t="s">
        <v>2886</v>
      </c>
      <c r="C52" s="307">
        <v>7.3999999999999996E-2</v>
      </c>
      <c r="D52" s="307">
        <v>9.6000000000000002E-2</v>
      </c>
      <c r="E52" s="307">
        <v>0.05</v>
      </c>
      <c r="F52" s="318"/>
      <c r="G52" s="308">
        <v>9.8000000000000004E-2</v>
      </c>
    </row>
    <row r="53" spans="1:7">
      <c r="A53" s="317" t="s">
        <v>264</v>
      </c>
      <c r="B53" s="306" t="s">
        <v>2887</v>
      </c>
      <c r="C53" s="307">
        <v>8.5999999999999993E-2</v>
      </c>
      <c r="D53" s="318"/>
      <c r="E53" s="307">
        <v>9.1999999999999998E-2</v>
      </c>
      <c r="F53" s="318"/>
      <c r="G53" s="319"/>
    </row>
    <row r="54" spans="1:7">
      <c r="A54" s="320" t="s">
        <v>264</v>
      </c>
      <c r="B54" s="310" t="s">
        <v>2888</v>
      </c>
      <c r="C54" s="311">
        <v>9.6000000000000002E-2</v>
      </c>
      <c r="D54" s="312"/>
      <c r="E54" s="321"/>
      <c r="F54" s="312"/>
      <c r="G54" s="322"/>
    </row>
    <row r="55" spans="1:7">
      <c r="A55" s="316" t="s">
        <v>275</v>
      </c>
      <c r="B55" s="302" t="s">
        <v>2889</v>
      </c>
      <c r="C55" s="303">
        <v>9.6000000000000002E-2</v>
      </c>
      <c r="D55" s="303">
        <v>8.4000000000000005E-2</v>
      </c>
      <c r="E55" s="303">
        <v>9.1999999999999998E-2</v>
      </c>
      <c r="F55" s="303">
        <v>0.1</v>
      </c>
      <c r="G55" s="304">
        <v>9.5000000000000001E-2</v>
      </c>
    </row>
    <row r="56" spans="1:7">
      <c r="A56" s="317" t="s">
        <v>275</v>
      </c>
      <c r="B56" s="306" t="s">
        <v>2890</v>
      </c>
      <c r="C56" s="307">
        <v>8.4000000000000005E-2</v>
      </c>
      <c r="D56" s="307">
        <v>9.1999999999999998E-2</v>
      </c>
      <c r="E56" s="307">
        <v>9.5000000000000001E-2</v>
      </c>
      <c r="F56" s="307">
        <v>9.1999999999999998E-2</v>
      </c>
      <c r="G56" s="308">
        <v>9.6000000000000002E-2</v>
      </c>
    </row>
    <row r="57" spans="1:7">
      <c r="A57" s="317" t="s">
        <v>275</v>
      </c>
      <c r="B57" s="306" t="s">
        <v>2891</v>
      </c>
      <c r="C57" s="307">
        <v>9.9000000000000005E-2</v>
      </c>
      <c r="D57" s="307">
        <v>9.6000000000000002E-2</v>
      </c>
      <c r="E57" s="307">
        <v>9.1999999999999998E-2</v>
      </c>
      <c r="F57" s="307">
        <v>0.1</v>
      </c>
      <c r="G57" s="308">
        <v>9.8000000000000004E-2</v>
      </c>
    </row>
    <row r="58" spans="1:7">
      <c r="A58" s="317" t="s">
        <v>275</v>
      </c>
      <c r="B58" s="306" t="s">
        <v>2892</v>
      </c>
      <c r="C58" s="307">
        <v>9.8000000000000004E-2</v>
      </c>
      <c r="D58" s="307">
        <v>9.5000000000000001E-2</v>
      </c>
      <c r="E58" s="307">
        <v>5.7000000000000002E-2</v>
      </c>
      <c r="F58" s="307">
        <v>0.1</v>
      </c>
      <c r="G58" s="308">
        <v>9.6000000000000002E-2</v>
      </c>
    </row>
    <row r="59" spans="1:7">
      <c r="A59" s="317" t="s">
        <v>275</v>
      </c>
      <c r="B59" s="306" t="s">
        <v>2893</v>
      </c>
      <c r="C59" s="307">
        <v>9.5000000000000001E-2</v>
      </c>
      <c r="D59" s="307">
        <v>0.1</v>
      </c>
      <c r="E59" s="307">
        <v>7.4999999999999997E-2</v>
      </c>
      <c r="F59" s="307">
        <v>0.1</v>
      </c>
      <c r="G59" s="308">
        <v>0.1</v>
      </c>
    </row>
    <row r="60" spans="1:7">
      <c r="A60" s="317" t="s">
        <v>275</v>
      </c>
      <c r="B60" s="306" t="s">
        <v>2894</v>
      </c>
      <c r="C60" s="307">
        <v>0.1</v>
      </c>
      <c r="D60" s="307">
        <v>9.7000000000000003E-2</v>
      </c>
      <c r="E60" s="307">
        <v>0.1</v>
      </c>
      <c r="F60" s="307">
        <v>0.1</v>
      </c>
      <c r="G60" s="308">
        <v>9.7000000000000003E-2</v>
      </c>
    </row>
    <row r="61" spans="1:7">
      <c r="A61" s="317" t="s">
        <v>275</v>
      </c>
      <c r="B61" s="306" t="s">
        <v>2895</v>
      </c>
      <c r="C61" s="307">
        <v>9.7000000000000003E-2</v>
      </c>
      <c r="D61" s="307">
        <v>0.1</v>
      </c>
      <c r="E61" s="307">
        <v>9.2999999999999999E-2</v>
      </c>
      <c r="F61" s="307">
        <v>0.1</v>
      </c>
      <c r="G61" s="308">
        <v>0.1</v>
      </c>
    </row>
    <row r="62" spans="1:7">
      <c r="A62" s="317" t="s">
        <v>275</v>
      </c>
      <c r="B62" s="306" t="s">
        <v>2896</v>
      </c>
      <c r="C62" s="307">
        <v>0.1</v>
      </c>
      <c r="D62" s="307">
        <v>9.7000000000000003E-2</v>
      </c>
      <c r="E62" s="307">
        <v>8.8999999999999996E-2</v>
      </c>
      <c r="F62" s="307">
        <v>0.1</v>
      </c>
      <c r="G62" s="308">
        <v>9.8000000000000004E-2</v>
      </c>
    </row>
    <row r="63" spans="1:7">
      <c r="A63" s="317" t="s">
        <v>275</v>
      </c>
      <c r="B63" s="306" t="s">
        <v>2897</v>
      </c>
      <c r="C63" s="307">
        <v>9.7000000000000003E-2</v>
      </c>
      <c r="D63" s="307">
        <v>9.7000000000000003E-2</v>
      </c>
      <c r="E63" s="307">
        <v>9.9000000000000005E-2</v>
      </c>
      <c r="F63" s="307">
        <v>0.1</v>
      </c>
      <c r="G63" s="308">
        <v>9.7000000000000003E-2</v>
      </c>
    </row>
    <row r="64" spans="1:7">
      <c r="A64" s="317" t="s">
        <v>275</v>
      </c>
      <c r="B64" s="306" t="s">
        <v>2898</v>
      </c>
      <c r="C64" s="307">
        <v>9.7000000000000003E-2</v>
      </c>
      <c r="D64" s="307">
        <v>7.3999999999999996E-2</v>
      </c>
      <c r="E64" s="307">
        <v>7.8E-2</v>
      </c>
      <c r="F64" s="307">
        <v>0.1</v>
      </c>
      <c r="G64" s="308">
        <v>8.8999999999999996E-2</v>
      </c>
    </row>
    <row r="65" spans="1:7">
      <c r="A65" s="317" t="s">
        <v>275</v>
      </c>
      <c r="B65" s="306" t="s">
        <v>2899</v>
      </c>
      <c r="C65" s="307">
        <v>7.2999999999999995E-2</v>
      </c>
      <c r="D65" s="307">
        <v>9.8000000000000004E-2</v>
      </c>
      <c r="E65" s="307">
        <v>9.5000000000000001E-2</v>
      </c>
      <c r="F65" s="307">
        <v>0.1</v>
      </c>
      <c r="G65" s="308">
        <v>9.9000000000000005E-2</v>
      </c>
    </row>
    <row r="66" spans="1:7">
      <c r="A66" s="317" t="s">
        <v>275</v>
      </c>
      <c r="B66" s="306" t="s">
        <v>2900</v>
      </c>
      <c r="C66" s="307">
        <v>9.8000000000000004E-2</v>
      </c>
      <c r="D66" s="307">
        <v>9.5000000000000001E-2</v>
      </c>
      <c r="E66" s="307">
        <v>0.05</v>
      </c>
      <c r="F66" s="307">
        <v>0.1</v>
      </c>
      <c r="G66" s="308">
        <v>9.7000000000000003E-2</v>
      </c>
    </row>
    <row r="67" spans="1:7">
      <c r="A67" s="317" t="s">
        <v>275</v>
      </c>
      <c r="B67" s="306" t="s">
        <v>2901</v>
      </c>
      <c r="C67" s="307">
        <v>9.5000000000000001E-2</v>
      </c>
      <c r="D67" s="307">
        <v>9.7000000000000003E-2</v>
      </c>
      <c r="E67" s="307">
        <v>9.7000000000000003E-2</v>
      </c>
      <c r="F67" s="307">
        <v>0.1</v>
      </c>
      <c r="G67" s="308">
        <v>9.9000000000000005E-2</v>
      </c>
    </row>
    <row r="68" spans="1:7">
      <c r="A68" s="317" t="s">
        <v>275</v>
      </c>
      <c r="B68" s="306" t="s">
        <v>2902</v>
      </c>
      <c r="C68" s="307">
        <v>9.7000000000000003E-2</v>
      </c>
      <c r="D68" s="307">
        <v>6.8000000000000005E-2</v>
      </c>
      <c r="E68" s="307">
        <v>6.6000000000000003E-2</v>
      </c>
      <c r="F68" s="307">
        <v>0.1</v>
      </c>
      <c r="G68" s="308">
        <v>8.4000000000000005E-2</v>
      </c>
    </row>
    <row r="69" spans="1:7">
      <c r="A69" s="317" t="s">
        <v>275</v>
      </c>
      <c r="B69" s="306" t="s">
        <v>2903</v>
      </c>
      <c r="C69" s="307">
        <v>6.8000000000000005E-2</v>
      </c>
      <c r="D69" s="307">
        <v>9.8000000000000004E-2</v>
      </c>
      <c r="E69" s="307">
        <v>9.5000000000000001E-2</v>
      </c>
      <c r="F69" s="307">
        <v>0.1</v>
      </c>
      <c r="G69" s="308">
        <v>0.1</v>
      </c>
    </row>
    <row r="70" spans="1:7">
      <c r="A70" s="317" t="s">
        <v>275</v>
      </c>
      <c r="B70" s="306" t="s">
        <v>2904</v>
      </c>
      <c r="C70" s="307">
        <v>9.8000000000000004E-2</v>
      </c>
      <c r="D70" s="307">
        <v>8.8999999999999996E-2</v>
      </c>
      <c r="E70" s="307">
        <v>5.8999999999999997E-2</v>
      </c>
      <c r="F70" s="307">
        <v>0.1</v>
      </c>
      <c r="G70" s="308">
        <v>9.6000000000000002E-2</v>
      </c>
    </row>
    <row r="71" spans="1:7">
      <c r="A71" s="317" t="s">
        <v>275</v>
      </c>
      <c r="B71" s="306" t="s">
        <v>2905</v>
      </c>
      <c r="C71" s="307">
        <v>8.8999999999999996E-2</v>
      </c>
      <c r="D71" s="307">
        <v>9.9000000000000005E-2</v>
      </c>
      <c r="E71" s="307">
        <v>9.6000000000000002E-2</v>
      </c>
      <c r="F71" s="307">
        <v>0.1</v>
      </c>
      <c r="G71" s="308">
        <v>0.1</v>
      </c>
    </row>
    <row r="72" spans="1:7">
      <c r="A72" s="317" t="s">
        <v>275</v>
      </c>
      <c r="B72" s="306" t="s">
        <v>2906</v>
      </c>
      <c r="C72" s="307">
        <v>9.9000000000000005E-2</v>
      </c>
      <c r="D72" s="307">
        <v>0.1</v>
      </c>
      <c r="E72" s="307">
        <v>7.0000000000000007E-2</v>
      </c>
      <c r="F72" s="318"/>
      <c r="G72" s="308">
        <v>0.1</v>
      </c>
    </row>
    <row r="73" spans="1:7">
      <c r="A73" s="317" t="s">
        <v>275</v>
      </c>
      <c r="B73" s="306" t="s">
        <v>2907</v>
      </c>
      <c r="C73" s="307">
        <v>0.1</v>
      </c>
      <c r="D73" s="307">
        <v>0.1</v>
      </c>
      <c r="E73" s="307">
        <v>9.6000000000000002E-2</v>
      </c>
      <c r="F73" s="318"/>
      <c r="G73" s="308">
        <v>0.1</v>
      </c>
    </row>
    <row r="74" spans="1:7">
      <c r="A74" s="317" t="s">
        <v>275</v>
      </c>
      <c r="B74" s="306" t="s">
        <v>2908</v>
      </c>
      <c r="C74" s="307">
        <v>0.1</v>
      </c>
      <c r="D74" s="307">
        <v>0.1</v>
      </c>
      <c r="E74" s="307">
        <v>9.8000000000000004E-2</v>
      </c>
      <c r="F74" s="318"/>
      <c r="G74" s="308">
        <v>0.1</v>
      </c>
    </row>
    <row r="75" spans="1:7">
      <c r="A75" s="317" t="s">
        <v>275</v>
      </c>
      <c r="B75" s="306" t="s">
        <v>2909</v>
      </c>
      <c r="C75" s="307">
        <v>0.1</v>
      </c>
      <c r="D75" s="307">
        <v>9.9000000000000005E-2</v>
      </c>
      <c r="E75" s="307">
        <v>9.8000000000000004E-2</v>
      </c>
      <c r="F75" s="318"/>
      <c r="G75" s="308">
        <v>0.1</v>
      </c>
    </row>
    <row r="76" spans="1:7">
      <c r="A76" s="317" t="s">
        <v>275</v>
      </c>
      <c r="B76" s="306" t="s">
        <v>2910</v>
      </c>
      <c r="C76" s="307">
        <v>9.9000000000000005E-2</v>
      </c>
      <c r="D76" s="307">
        <v>0.1</v>
      </c>
      <c r="E76" s="307">
        <v>9.7000000000000003E-2</v>
      </c>
      <c r="F76" s="318"/>
      <c r="G76" s="308">
        <v>0.1</v>
      </c>
    </row>
    <row r="77" spans="1:7">
      <c r="A77" s="317" t="s">
        <v>275</v>
      </c>
      <c r="B77" s="306" t="s">
        <v>2911</v>
      </c>
      <c r="C77" s="307">
        <v>0.1</v>
      </c>
      <c r="D77" s="307">
        <v>0.1</v>
      </c>
      <c r="E77" s="307">
        <v>9.6000000000000002E-2</v>
      </c>
      <c r="F77" s="318"/>
      <c r="G77" s="308">
        <v>0.1</v>
      </c>
    </row>
    <row r="78" spans="1:7">
      <c r="A78" s="317" t="s">
        <v>275</v>
      </c>
      <c r="B78" s="306" t="s">
        <v>2912</v>
      </c>
      <c r="C78" s="307">
        <v>0.1</v>
      </c>
      <c r="D78" s="307">
        <v>8.5000000000000006E-2</v>
      </c>
      <c r="E78" s="307">
        <v>9.6000000000000002E-2</v>
      </c>
      <c r="F78" s="318"/>
      <c r="G78" s="308">
        <v>9.6000000000000002E-2</v>
      </c>
    </row>
    <row r="79" spans="1:7">
      <c r="A79" s="317" t="s">
        <v>275</v>
      </c>
      <c r="B79" s="306" t="s">
        <v>2913</v>
      </c>
      <c r="C79" s="307">
        <v>0.05</v>
      </c>
      <c r="D79" s="307">
        <v>9.6000000000000002E-2</v>
      </c>
      <c r="E79" s="307">
        <v>9.5000000000000001E-2</v>
      </c>
      <c r="F79" s="318"/>
      <c r="G79" s="308">
        <v>9.8000000000000004E-2</v>
      </c>
    </row>
    <row r="80" spans="1:7">
      <c r="A80" s="317" t="s">
        <v>275</v>
      </c>
      <c r="B80" s="306" t="s">
        <v>2914</v>
      </c>
      <c r="C80" s="307">
        <v>8.5999999999999993E-2</v>
      </c>
      <c r="D80" s="323"/>
      <c r="E80" s="307">
        <v>0.1</v>
      </c>
      <c r="F80" s="318"/>
      <c r="G80" s="319"/>
    </row>
    <row r="81" spans="1:7">
      <c r="A81" s="317" t="s">
        <v>275</v>
      </c>
      <c r="B81" s="306" t="s">
        <v>2915</v>
      </c>
      <c r="C81" s="307">
        <v>9.6000000000000002E-2</v>
      </c>
      <c r="D81" s="318"/>
      <c r="E81" s="307">
        <v>9.8000000000000004E-2</v>
      </c>
      <c r="F81" s="318"/>
      <c r="G81" s="319"/>
    </row>
    <row r="82" spans="1:7">
      <c r="A82" s="317" t="s">
        <v>275</v>
      </c>
      <c r="B82" s="306" t="s">
        <v>2916</v>
      </c>
      <c r="C82" s="323"/>
      <c r="D82" s="318"/>
      <c r="E82" s="307">
        <v>7.6999999999999999E-2</v>
      </c>
      <c r="F82" s="318"/>
      <c r="G82" s="319"/>
    </row>
    <row r="83" spans="1:7">
      <c r="A83" s="317" t="s">
        <v>275</v>
      </c>
      <c r="B83" s="306" t="s">
        <v>2917</v>
      </c>
      <c r="C83" s="318"/>
      <c r="D83" s="318"/>
      <c r="E83" s="318"/>
      <c r="F83" s="307">
        <v>0.1</v>
      </c>
      <c r="G83" s="324"/>
    </row>
    <row r="84" spans="1:7">
      <c r="A84" s="317" t="s">
        <v>275</v>
      </c>
      <c r="B84" s="306" t="s">
        <v>2918</v>
      </c>
      <c r="C84" s="318"/>
      <c r="D84" s="318"/>
      <c r="E84" s="318"/>
      <c r="F84" s="307">
        <v>0.1</v>
      </c>
      <c r="G84" s="324"/>
    </row>
    <row r="85" spans="1:7">
      <c r="A85" s="317" t="s">
        <v>275</v>
      </c>
      <c r="B85" s="306" t="s">
        <v>2919</v>
      </c>
      <c r="C85" s="318"/>
      <c r="D85" s="318"/>
      <c r="E85" s="318"/>
      <c r="F85" s="307">
        <v>0.1</v>
      </c>
      <c r="G85" s="324"/>
    </row>
    <row r="86" spans="1:7">
      <c r="A86" s="320" t="s">
        <v>275</v>
      </c>
      <c r="B86" s="310" t="s">
        <v>2920</v>
      </c>
      <c r="C86" s="311">
        <v>9.8000000000000004E-2</v>
      </c>
      <c r="D86" s="311">
        <v>9.8000000000000004E-2</v>
      </c>
      <c r="E86" s="311">
        <v>9.6000000000000002E-2</v>
      </c>
      <c r="F86" s="321"/>
      <c r="G86" s="313">
        <v>0.1</v>
      </c>
    </row>
    <row r="87" spans="1:7">
      <c r="A87" s="316" t="s">
        <v>286</v>
      </c>
      <c r="B87" s="302" t="s">
        <v>2921</v>
      </c>
      <c r="C87" s="303">
        <v>0.1</v>
      </c>
      <c r="D87" s="303">
        <v>0.1</v>
      </c>
      <c r="E87" s="303">
        <v>9.8000000000000004E-2</v>
      </c>
      <c r="F87" s="303">
        <v>0.1</v>
      </c>
      <c r="G87" s="304">
        <v>0.1</v>
      </c>
    </row>
    <row r="88" spans="1:7">
      <c r="A88" s="317" t="s">
        <v>286</v>
      </c>
      <c r="B88" s="306" t="s">
        <v>2922</v>
      </c>
      <c r="C88" s="307">
        <v>9.0999999999999998E-2</v>
      </c>
      <c r="D88" s="307">
        <v>9.1999999999999998E-2</v>
      </c>
      <c r="E88" s="307">
        <v>0.1</v>
      </c>
      <c r="F88" s="307">
        <v>0.1</v>
      </c>
      <c r="G88" s="308">
        <v>9.6000000000000002E-2</v>
      </c>
    </row>
    <row r="89" spans="1:7">
      <c r="A89" s="317" t="s">
        <v>286</v>
      </c>
      <c r="B89" s="306" t="s">
        <v>2923</v>
      </c>
      <c r="C89" s="307">
        <v>0.1</v>
      </c>
      <c r="D89" s="307">
        <v>0.1</v>
      </c>
      <c r="E89" s="307">
        <v>6.7000000000000004E-2</v>
      </c>
      <c r="F89" s="307">
        <v>9.2999999999999999E-2</v>
      </c>
      <c r="G89" s="308">
        <v>0.1</v>
      </c>
    </row>
    <row r="90" spans="1:7">
      <c r="A90" s="317" t="s">
        <v>286</v>
      </c>
      <c r="B90" s="306" t="s">
        <v>2924</v>
      </c>
      <c r="C90" s="307">
        <v>9.6000000000000002E-2</v>
      </c>
      <c r="D90" s="307">
        <v>9.6000000000000002E-2</v>
      </c>
      <c r="E90" s="307">
        <v>0.1</v>
      </c>
      <c r="F90" s="307">
        <v>0.1</v>
      </c>
      <c r="G90" s="308">
        <v>9.8000000000000004E-2</v>
      </c>
    </row>
    <row r="91" spans="1:7">
      <c r="A91" s="317" t="s">
        <v>286</v>
      </c>
      <c r="B91" s="306" t="s">
        <v>2925</v>
      </c>
      <c r="C91" s="307">
        <v>7.6999999999999999E-2</v>
      </c>
      <c r="D91" s="307">
        <v>7.6999999999999999E-2</v>
      </c>
      <c r="E91" s="307">
        <v>9.6000000000000002E-2</v>
      </c>
      <c r="F91" s="307">
        <v>0.1</v>
      </c>
      <c r="G91" s="308">
        <v>7.6999999999999999E-2</v>
      </c>
    </row>
    <row r="92" spans="1:7">
      <c r="A92" s="317" t="s">
        <v>286</v>
      </c>
      <c r="B92" s="306" t="s">
        <v>2926</v>
      </c>
      <c r="C92" s="307">
        <v>0.1</v>
      </c>
      <c r="D92" s="307">
        <v>0.1</v>
      </c>
      <c r="E92" s="307">
        <v>9.1999999999999998E-2</v>
      </c>
      <c r="F92" s="307">
        <v>0.1</v>
      </c>
      <c r="G92" s="308">
        <v>0.1</v>
      </c>
    </row>
    <row r="93" spans="1:7">
      <c r="A93" s="317" t="s">
        <v>286</v>
      </c>
      <c r="B93" s="306" t="s">
        <v>2927</v>
      </c>
      <c r="C93" s="307">
        <v>9.8000000000000004E-2</v>
      </c>
      <c r="D93" s="307">
        <v>9.8000000000000004E-2</v>
      </c>
      <c r="E93" s="307">
        <v>9.6000000000000002E-2</v>
      </c>
      <c r="F93" s="307">
        <v>0.1</v>
      </c>
      <c r="G93" s="308">
        <v>9.9000000000000005E-2</v>
      </c>
    </row>
    <row r="94" spans="1:7">
      <c r="A94" s="317" t="s">
        <v>286</v>
      </c>
      <c r="B94" s="306" t="s">
        <v>2928</v>
      </c>
      <c r="C94" s="307">
        <v>8.7999999999999995E-2</v>
      </c>
      <c r="D94" s="307">
        <v>8.7999999999999995E-2</v>
      </c>
      <c r="E94" s="307">
        <v>9.6000000000000002E-2</v>
      </c>
      <c r="F94" s="307">
        <v>0.1</v>
      </c>
      <c r="G94" s="308">
        <v>8.7999999999999995E-2</v>
      </c>
    </row>
    <row r="95" spans="1:7">
      <c r="A95" s="317" t="s">
        <v>286</v>
      </c>
      <c r="B95" s="306" t="s">
        <v>2929</v>
      </c>
      <c r="C95" s="307">
        <v>9.6000000000000002E-2</v>
      </c>
      <c r="D95" s="307">
        <v>9.6000000000000002E-2</v>
      </c>
      <c r="E95" s="307">
        <v>0.1</v>
      </c>
      <c r="F95" s="307">
        <v>0.1</v>
      </c>
      <c r="G95" s="308">
        <v>9.8000000000000004E-2</v>
      </c>
    </row>
    <row r="96" spans="1:7">
      <c r="A96" s="317" t="s">
        <v>286</v>
      </c>
      <c r="B96" s="306" t="s">
        <v>2930</v>
      </c>
      <c r="C96" s="307">
        <v>9.7000000000000003E-2</v>
      </c>
      <c r="D96" s="307">
        <v>9.7000000000000003E-2</v>
      </c>
      <c r="E96" s="307">
        <v>0.1</v>
      </c>
      <c r="F96" s="307">
        <v>0.1</v>
      </c>
      <c r="G96" s="308">
        <v>9.8000000000000004E-2</v>
      </c>
    </row>
    <row r="97" spans="1:7">
      <c r="A97" s="317" t="s">
        <v>286</v>
      </c>
      <c r="B97" s="306" t="s">
        <v>2931</v>
      </c>
      <c r="C97" s="307">
        <v>9.6000000000000002E-2</v>
      </c>
      <c r="D97" s="307">
        <v>9.6000000000000002E-2</v>
      </c>
      <c r="E97" s="307">
        <v>9.9000000000000005E-2</v>
      </c>
      <c r="F97" s="307">
        <v>0.1</v>
      </c>
      <c r="G97" s="308">
        <v>9.8000000000000004E-2</v>
      </c>
    </row>
    <row r="98" spans="1:7">
      <c r="A98" s="317" t="s">
        <v>286</v>
      </c>
      <c r="B98" s="306" t="s">
        <v>2932</v>
      </c>
      <c r="C98" s="307">
        <v>9.8000000000000004E-2</v>
      </c>
      <c r="D98" s="307">
        <v>9.8000000000000004E-2</v>
      </c>
      <c r="E98" s="307">
        <v>0.1</v>
      </c>
      <c r="F98" s="307">
        <v>0.1</v>
      </c>
      <c r="G98" s="308">
        <v>9.9000000000000005E-2</v>
      </c>
    </row>
    <row r="99" spans="1:7">
      <c r="A99" s="317" t="s">
        <v>286</v>
      </c>
      <c r="B99" s="306" t="s">
        <v>2933</v>
      </c>
      <c r="C99" s="307">
        <v>9.6000000000000002E-2</v>
      </c>
      <c r="D99" s="307">
        <v>9.6000000000000002E-2</v>
      </c>
      <c r="E99" s="307">
        <v>0.1</v>
      </c>
      <c r="F99" s="307">
        <v>0.1</v>
      </c>
      <c r="G99" s="308">
        <v>9.7000000000000003E-2</v>
      </c>
    </row>
    <row r="100" spans="1:7">
      <c r="A100" s="317" t="s">
        <v>286</v>
      </c>
      <c r="B100" s="306" t="s">
        <v>2934</v>
      </c>
      <c r="C100" s="307">
        <v>0.1</v>
      </c>
      <c r="D100" s="307">
        <v>0.1</v>
      </c>
      <c r="E100" s="307">
        <v>9.7000000000000003E-2</v>
      </c>
      <c r="F100" s="307">
        <v>9.8000000000000004E-2</v>
      </c>
      <c r="G100" s="308">
        <v>0.1</v>
      </c>
    </row>
    <row r="101" spans="1:7">
      <c r="A101" s="317" t="s">
        <v>286</v>
      </c>
      <c r="B101" s="306" t="s">
        <v>2935</v>
      </c>
      <c r="C101" s="307">
        <v>0.1</v>
      </c>
      <c r="D101" s="307">
        <v>0.1</v>
      </c>
      <c r="E101" s="307">
        <v>9.5000000000000001E-2</v>
      </c>
      <c r="F101" s="307">
        <v>0.1</v>
      </c>
      <c r="G101" s="308">
        <v>0.1</v>
      </c>
    </row>
    <row r="102" spans="1:7">
      <c r="A102" s="317" t="s">
        <v>286</v>
      </c>
      <c r="B102" s="306" t="s">
        <v>2936</v>
      </c>
      <c r="C102" s="307">
        <v>0.1</v>
      </c>
      <c r="D102" s="307">
        <v>0.1</v>
      </c>
      <c r="E102" s="307">
        <v>9.9000000000000005E-2</v>
      </c>
      <c r="F102" s="307">
        <v>9.7000000000000003E-2</v>
      </c>
      <c r="G102" s="308">
        <v>0.1</v>
      </c>
    </row>
    <row r="103" spans="1:7">
      <c r="A103" s="317" t="s">
        <v>286</v>
      </c>
      <c r="B103" s="306" t="s">
        <v>2937</v>
      </c>
      <c r="C103" s="307">
        <v>0.1</v>
      </c>
      <c r="D103" s="307">
        <v>0.1</v>
      </c>
      <c r="E103" s="307">
        <v>9.8000000000000004E-2</v>
      </c>
      <c r="F103" s="307">
        <v>0.1</v>
      </c>
      <c r="G103" s="308">
        <v>0.1</v>
      </c>
    </row>
    <row r="104" spans="1:7">
      <c r="A104" s="317" t="s">
        <v>286</v>
      </c>
      <c r="B104" s="306" t="s">
        <v>2938</v>
      </c>
      <c r="C104" s="307">
        <v>0.1</v>
      </c>
      <c r="D104" s="307">
        <v>0.1</v>
      </c>
      <c r="E104" s="307">
        <v>9.8000000000000004E-2</v>
      </c>
      <c r="F104" s="307">
        <v>0.1</v>
      </c>
      <c r="G104" s="308">
        <v>0.1</v>
      </c>
    </row>
    <row r="105" spans="1:7">
      <c r="A105" s="317" t="s">
        <v>286</v>
      </c>
      <c r="B105" s="306" t="s">
        <v>2939</v>
      </c>
      <c r="C105" s="307">
        <v>9.8000000000000004E-2</v>
      </c>
      <c r="D105" s="307">
        <v>9.8000000000000004E-2</v>
      </c>
      <c r="E105" s="307">
        <v>9.8000000000000004E-2</v>
      </c>
      <c r="F105" s="307">
        <v>0.1</v>
      </c>
      <c r="G105" s="308">
        <v>9.9000000000000005E-2</v>
      </c>
    </row>
    <row r="106" spans="1:7">
      <c r="A106" s="317" t="s">
        <v>286</v>
      </c>
      <c r="B106" s="306" t="s">
        <v>2940</v>
      </c>
      <c r="C106" s="307">
        <v>9.7000000000000003E-2</v>
      </c>
      <c r="D106" s="307">
        <v>9.7000000000000003E-2</v>
      </c>
      <c r="E106" s="307">
        <v>9.7000000000000003E-2</v>
      </c>
      <c r="F106" s="307">
        <v>0.1</v>
      </c>
      <c r="G106" s="308">
        <v>9.9000000000000005E-2</v>
      </c>
    </row>
    <row r="107" spans="1:7">
      <c r="A107" s="317" t="s">
        <v>286</v>
      </c>
      <c r="B107" s="306" t="s">
        <v>2941</v>
      </c>
      <c r="C107" s="307">
        <v>0.1</v>
      </c>
      <c r="D107" s="307">
        <v>0.1</v>
      </c>
      <c r="E107" s="307">
        <v>8.5999999999999993E-2</v>
      </c>
      <c r="F107" s="307">
        <v>0.09</v>
      </c>
      <c r="G107" s="308">
        <v>0.1</v>
      </c>
    </row>
    <row r="108" spans="1:7">
      <c r="A108" s="317" t="s">
        <v>286</v>
      </c>
      <c r="B108" s="306" t="s">
        <v>2942</v>
      </c>
      <c r="C108" s="307">
        <v>0.1</v>
      </c>
      <c r="D108" s="307">
        <v>0.1</v>
      </c>
      <c r="E108" s="307">
        <v>9.6000000000000002E-2</v>
      </c>
      <c r="F108" s="318"/>
      <c r="G108" s="308">
        <v>0.1</v>
      </c>
    </row>
    <row r="109" spans="1:7">
      <c r="A109" s="317" t="s">
        <v>286</v>
      </c>
      <c r="B109" s="306" t="s">
        <v>2943</v>
      </c>
      <c r="C109" s="307">
        <v>0.1</v>
      </c>
      <c r="D109" s="307">
        <v>0.1</v>
      </c>
      <c r="E109" s="307">
        <v>0.1</v>
      </c>
      <c r="F109" s="318"/>
      <c r="G109" s="308">
        <v>0.1</v>
      </c>
    </row>
    <row r="110" spans="1:7">
      <c r="A110" s="317" t="s">
        <v>286</v>
      </c>
      <c r="B110" s="306" t="s">
        <v>2944</v>
      </c>
      <c r="C110" s="307">
        <v>0.1</v>
      </c>
      <c r="D110" s="307">
        <v>0.1</v>
      </c>
      <c r="E110" s="307">
        <v>0.1</v>
      </c>
      <c r="F110" s="318"/>
      <c r="G110" s="308">
        <v>0.1</v>
      </c>
    </row>
    <row r="111" spans="1:7">
      <c r="A111" s="317" t="s">
        <v>286</v>
      </c>
      <c r="B111" s="306" t="s">
        <v>2945</v>
      </c>
      <c r="C111" s="307">
        <v>0.1</v>
      </c>
      <c r="D111" s="307">
        <v>0.1</v>
      </c>
      <c r="E111" s="307">
        <v>9.5000000000000001E-2</v>
      </c>
      <c r="F111" s="318"/>
      <c r="G111" s="308">
        <v>0.1</v>
      </c>
    </row>
    <row r="112" spans="1:7">
      <c r="A112" s="317" t="s">
        <v>286</v>
      </c>
      <c r="B112" s="306" t="s">
        <v>2946</v>
      </c>
      <c r="C112" s="307">
        <v>9.7000000000000003E-2</v>
      </c>
      <c r="D112" s="307">
        <v>9.7000000000000003E-2</v>
      </c>
      <c r="E112" s="307">
        <v>0.05</v>
      </c>
      <c r="F112" s="318"/>
      <c r="G112" s="308">
        <v>9.8000000000000004E-2</v>
      </c>
    </row>
    <row r="113" spans="1:7">
      <c r="A113" s="317" t="s">
        <v>286</v>
      </c>
      <c r="B113" s="306" t="s">
        <v>2947</v>
      </c>
      <c r="C113" s="307">
        <v>0.1</v>
      </c>
      <c r="D113" s="307">
        <v>0.1</v>
      </c>
      <c r="E113" s="318"/>
      <c r="F113" s="318"/>
      <c r="G113" s="308">
        <v>0.1</v>
      </c>
    </row>
    <row r="114" spans="1:7">
      <c r="A114" s="317" t="s">
        <v>286</v>
      </c>
      <c r="B114" s="306" t="s">
        <v>2948</v>
      </c>
      <c r="C114" s="307">
        <v>9.7000000000000003E-2</v>
      </c>
      <c r="D114" s="307">
        <v>9.7000000000000003E-2</v>
      </c>
      <c r="E114" s="318"/>
      <c r="F114" s="318"/>
      <c r="G114" s="308">
        <v>9.9000000000000005E-2</v>
      </c>
    </row>
    <row r="115" spans="1:7">
      <c r="A115" s="317" t="s">
        <v>286</v>
      </c>
      <c r="B115" s="306" t="s">
        <v>2949</v>
      </c>
      <c r="C115" s="307">
        <v>0.1</v>
      </c>
      <c r="D115" s="307">
        <v>0.1</v>
      </c>
      <c r="E115" s="318"/>
      <c r="F115" s="318"/>
      <c r="G115" s="308">
        <v>0.1</v>
      </c>
    </row>
    <row r="116" spans="1:7">
      <c r="A116" s="317" t="s">
        <v>286</v>
      </c>
      <c r="B116" s="306" t="s">
        <v>2950</v>
      </c>
      <c r="C116" s="307">
        <v>0.1</v>
      </c>
      <c r="D116" s="307">
        <v>0.1</v>
      </c>
      <c r="E116" s="318"/>
      <c r="F116" s="318"/>
      <c r="G116" s="308">
        <v>0.1</v>
      </c>
    </row>
    <row r="117" spans="1:7">
      <c r="A117" s="317" t="s">
        <v>286</v>
      </c>
      <c r="B117" s="306" t="s">
        <v>2951</v>
      </c>
      <c r="C117" s="307">
        <v>9.7000000000000003E-2</v>
      </c>
      <c r="D117" s="307">
        <v>9.7000000000000003E-2</v>
      </c>
      <c r="E117" s="318"/>
      <c r="F117" s="318"/>
      <c r="G117" s="308">
        <v>9.7000000000000003E-2</v>
      </c>
    </row>
    <row r="118" spans="1:7">
      <c r="A118" s="317" t="s">
        <v>286</v>
      </c>
      <c r="B118" s="306" t="s">
        <v>2952</v>
      </c>
      <c r="C118" s="307">
        <v>0.1</v>
      </c>
      <c r="D118" s="307">
        <v>0.1</v>
      </c>
      <c r="E118" s="318"/>
      <c r="F118" s="318"/>
      <c r="G118" s="308">
        <v>0.1</v>
      </c>
    </row>
    <row r="119" spans="1:7">
      <c r="A119" s="317" t="s">
        <v>286</v>
      </c>
      <c r="B119" s="306" t="s">
        <v>2953</v>
      </c>
      <c r="C119" s="307">
        <v>5.0999999999999997E-2</v>
      </c>
      <c r="D119" s="307">
        <v>5.1999999999999998E-2</v>
      </c>
      <c r="E119" s="318"/>
      <c r="F119" s="323"/>
      <c r="G119" s="308">
        <v>0.06</v>
      </c>
    </row>
    <row r="120" spans="1:7">
      <c r="A120" s="317" t="s">
        <v>286</v>
      </c>
      <c r="B120" s="306" t="s">
        <v>2954</v>
      </c>
      <c r="C120" s="318"/>
      <c r="D120" s="318"/>
      <c r="E120" s="318"/>
      <c r="F120" s="307">
        <v>0.1</v>
      </c>
      <c r="G120" s="324"/>
    </row>
    <row r="121" spans="1:7">
      <c r="A121" s="317" t="s">
        <v>286</v>
      </c>
      <c r="B121" s="306" t="s">
        <v>2955</v>
      </c>
      <c r="C121" s="318"/>
      <c r="D121" s="318"/>
      <c r="E121" s="318"/>
      <c r="F121" s="307">
        <v>0.1</v>
      </c>
      <c r="G121" s="324"/>
    </row>
    <row r="122" spans="1:7">
      <c r="A122" s="317" t="s">
        <v>286</v>
      </c>
      <c r="B122" s="306" t="s">
        <v>2956</v>
      </c>
      <c r="C122" s="307">
        <v>0.1</v>
      </c>
      <c r="D122" s="307">
        <v>0.1</v>
      </c>
      <c r="E122" s="307">
        <v>9.8000000000000004E-2</v>
      </c>
      <c r="F122" s="307">
        <v>0.1</v>
      </c>
      <c r="G122" s="308">
        <v>0.1</v>
      </c>
    </row>
    <row r="123" spans="1:7">
      <c r="A123" s="317" t="s">
        <v>286</v>
      </c>
      <c r="B123" s="306" t="s">
        <v>2957</v>
      </c>
      <c r="C123" s="307">
        <v>0.1</v>
      </c>
      <c r="D123" s="307">
        <v>0.1</v>
      </c>
      <c r="E123" s="307">
        <v>9.8000000000000004E-2</v>
      </c>
      <c r="F123" s="307">
        <v>0.1</v>
      </c>
      <c r="G123" s="308">
        <v>0.1</v>
      </c>
    </row>
    <row r="124" spans="1:7">
      <c r="A124" s="317" t="s">
        <v>286</v>
      </c>
      <c r="B124" s="306" t="s">
        <v>2958</v>
      </c>
      <c r="C124" s="307">
        <v>0.1</v>
      </c>
      <c r="D124" s="307">
        <v>0.1</v>
      </c>
      <c r="E124" s="307">
        <v>9.8000000000000004E-2</v>
      </c>
      <c r="F124" s="323"/>
      <c r="G124" s="308">
        <v>0.1</v>
      </c>
    </row>
    <row r="125" spans="1:7">
      <c r="A125" s="317" t="s">
        <v>286</v>
      </c>
      <c r="B125" s="306" t="s">
        <v>2959</v>
      </c>
      <c r="C125" s="307">
        <v>9.8000000000000004E-2</v>
      </c>
      <c r="D125" s="307">
        <v>9.8000000000000004E-2</v>
      </c>
      <c r="E125" s="307">
        <v>9.6000000000000002E-2</v>
      </c>
      <c r="F125" s="323"/>
      <c r="G125" s="308">
        <v>0.1</v>
      </c>
    </row>
    <row r="126" spans="1:7">
      <c r="A126" s="320" t="s">
        <v>286</v>
      </c>
      <c r="B126" s="310" t="s">
        <v>2960</v>
      </c>
      <c r="C126" s="311">
        <v>0.1</v>
      </c>
      <c r="D126" s="311">
        <v>0.1</v>
      </c>
      <c r="E126" s="311">
        <v>9.8000000000000004E-2</v>
      </c>
      <c r="F126" s="311">
        <v>0.1</v>
      </c>
      <c r="G126" s="313">
        <v>0.1</v>
      </c>
    </row>
    <row r="127" spans="1:7">
      <c r="A127" s="316" t="s">
        <v>295</v>
      </c>
      <c r="B127" s="302" t="s">
        <v>2961</v>
      </c>
      <c r="C127" s="303">
        <v>0.121</v>
      </c>
      <c r="D127" s="303">
        <v>0.121</v>
      </c>
      <c r="E127" s="303">
        <v>0.107</v>
      </c>
      <c r="F127" s="303">
        <v>0.13</v>
      </c>
      <c r="G127" s="304">
        <v>0.122</v>
      </c>
    </row>
    <row r="128" spans="1:7">
      <c r="A128" s="317" t="s">
        <v>295</v>
      </c>
      <c r="B128" s="306" t="s">
        <v>2962</v>
      </c>
      <c r="C128" s="307">
        <v>0.11600000000000001</v>
      </c>
      <c r="D128" s="307">
        <v>0.11700000000000001</v>
      </c>
      <c r="E128" s="307">
        <v>0.104</v>
      </c>
      <c r="F128" s="307">
        <v>0.13</v>
      </c>
      <c r="G128" s="308">
        <v>0.11700000000000001</v>
      </c>
    </row>
    <row r="129" spans="1:7">
      <c r="A129" s="317" t="s">
        <v>295</v>
      </c>
      <c r="B129" s="306" t="s">
        <v>2963</v>
      </c>
      <c r="C129" s="307">
        <v>0.107</v>
      </c>
      <c r="D129" s="307">
        <v>0.108</v>
      </c>
      <c r="E129" s="307">
        <v>0.1</v>
      </c>
      <c r="F129" s="307">
        <v>0.13</v>
      </c>
      <c r="G129" s="308">
        <v>0.11700000000000001</v>
      </c>
    </row>
    <row r="130" spans="1:7">
      <c r="A130" s="317" t="s">
        <v>295</v>
      </c>
      <c r="B130" s="306" t="s">
        <v>2964</v>
      </c>
      <c r="C130" s="307">
        <v>0.13</v>
      </c>
      <c r="D130" s="307">
        <v>0.13</v>
      </c>
      <c r="E130" s="307">
        <v>0.126</v>
      </c>
      <c r="F130" s="307">
        <v>0.13</v>
      </c>
      <c r="G130" s="308">
        <v>0.13</v>
      </c>
    </row>
    <row r="131" spans="1:7">
      <c r="A131" s="317" t="s">
        <v>295</v>
      </c>
      <c r="B131" s="306" t="s">
        <v>2965</v>
      </c>
      <c r="C131" s="307">
        <v>0.13</v>
      </c>
      <c r="D131" s="307">
        <v>0.13</v>
      </c>
      <c r="E131" s="307">
        <v>0.13</v>
      </c>
      <c r="F131" s="307">
        <v>0.13</v>
      </c>
      <c r="G131" s="308">
        <v>0.13</v>
      </c>
    </row>
    <row r="132" spans="1:7">
      <c r="A132" s="317" t="s">
        <v>295</v>
      </c>
      <c r="B132" s="306" t="s">
        <v>2966</v>
      </c>
      <c r="C132" s="307">
        <v>0.13</v>
      </c>
      <c r="D132" s="307">
        <v>0.13</v>
      </c>
      <c r="E132" s="307">
        <v>0.126</v>
      </c>
      <c r="F132" s="307">
        <v>0.13</v>
      </c>
      <c r="G132" s="308">
        <v>0.13</v>
      </c>
    </row>
    <row r="133" spans="1:7">
      <c r="A133" s="317" t="s">
        <v>295</v>
      </c>
      <c r="B133" s="306" t="s">
        <v>2967</v>
      </c>
      <c r="C133" s="307">
        <v>0.111</v>
      </c>
      <c r="D133" s="307">
        <v>0.111</v>
      </c>
      <c r="E133" s="307">
        <v>0.10199999999999999</v>
      </c>
      <c r="F133" s="307">
        <v>0.13</v>
      </c>
      <c r="G133" s="308">
        <v>0.121</v>
      </c>
    </row>
    <row r="134" spans="1:7">
      <c r="A134" s="317" t="s">
        <v>295</v>
      </c>
      <c r="B134" s="306" t="s">
        <v>2968</v>
      </c>
      <c r="C134" s="307">
        <v>0.121</v>
      </c>
      <c r="D134" s="307">
        <v>0.121</v>
      </c>
      <c r="E134" s="307">
        <v>0.1</v>
      </c>
      <c r="F134" s="307">
        <v>0.13</v>
      </c>
      <c r="G134" s="308">
        <v>0.123</v>
      </c>
    </row>
    <row r="135" spans="1:7">
      <c r="A135" s="317" t="s">
        <v>295</v>
      </c>
      <c r="B135" s="306" t="s">
        <v>2969</v>
      </c>
      <c r="C135" s="307">
        <v>0.105</v>
      </c>
      <c r="D135" s="307">
        <v>0.106</v>
      </c>
      <c r="E135" s="307">
        <v>0.1</v>
      </c>
      <c r="F135" s="307">
        <v>0.13</v>
      </c>
      <c r="G135" s="308">
        <v>0.115</v>
      </c>
    </row>
    <row r="136" spans="1:7">
      <c r="A136" s="317" t="s">
        <v>295</v>
      </c>
      <c r="B136" s="306" t="s">
        <v>2970</v>
      </c>
      <c r="C136" s="307">
        <v>0.127</v>
      </c>
      <c r="D136" s="307">
        <v>0.127</v>
      </c>
      <c r="E136" s="307">
        <v>0.121</v>
      </c>
      <c r="F136" s="307">
        <v>0.123</v>
      </c>
      <c r="G136" s="308">
        <v>0.129</v>
      </c>
    </row>
    <row r="137" spans="1:7">
      <c r="A137" s="317" t="s">
        <v>295</v>
      </c>
      <c r="B137" s="306" t="s">
        <v>2971</v>
      </c>
      <c r="C137" s="307">
        <v>0.13</v>
      </c>
      <c r="D137" s="307">
        <v>0.13</v>
      </c>
      <c r="E137" s="307">
        <v>0.129</v>
      </c>
      <c r="F137" s="307">
        <v>0.13</v>
      </c>
      <c r="G137" s="308">
        <v>0.13</v>
      </c>
    </row>
    <row r="138" spans="1:7">
      <c r="A138" s="317" t="s">
        <v>295</v>
      </c>
      <c r="B138" s="306" t="s">
        <v>2972</v>
      </c>
      <c r="C138" s="307">
        <v>0.13</v>
      </c>
      <c r="D138" s="307">
        <v>0.13</v>
      </c>
      <c r="E138" s="307">
        <v>0.125</v>
      </c>
      <c r="F138" s="307">
        <v>0.13</v>
      </c>
      <c r="G138" s="308">
        <v>0.13</v>
      </c>
    </row>
    <row r="139" spans="1:7">
      <c r="A139" s="317" t="s">
        <v>295</v>
      </c>
      <c r="B139" s="306" t="s">
        <v>2973</v>
      </c>
      <c r="C139" s="307">
        <v>0.13</v>
      </c>
      <c r="D139" s="307">
        <v>0.13</v>
      </c>
      <c r="E139" s="307">
        <v>0.126</v>
      </c>
      <c r="F139" s="307">
        <v>0.13</v>
      </c>
      <c r="G139" s="308">
        <v>0.13</v>
      </c>
    </row>
    <row r="140" spans="1:7">
      <c r="A140" s="317" t="s">
        <v>295</v>
      </c>
      <c r="B140" s="306" t="s">
        <v>2974</v>
      </c>
      <c r="C140" s="307">
        <v>0.1</v>
      </c>
      <c r="D140" s="307">
        <v>0.1</v>
      </c>
      <c r="E140" s="307">
        <v>0.1</v>
      </c>
      <c r="F140" s="307">
        <v>0.123</v>
      </c>
      <c r="G140" s="308">
        <v>0.107</v>
      </c>
    </row>
    <row r="141" spans="1:7">
      <c r="A141" s="317" t="s">
        <v>295</v>
      </c>
      <c r="B141" s="306" t="s">
        <v>2975</v>
      </c>
      <c r="C141" s="307">
        <v>0.127</v>
      </c>
      <c r="D141" s="307">
        <v>0.127</v>
      </c>
      <c r="E141" s="307">
        <v>0.122</v>
      </c>
      <c r="F141" s="307">
        <v>0.1</v>
      </c>
      <c r="G141" s="308">
        <v>0.129</v>
      </c>
    </row>
    <row r="142" spans="1:7">
      <c r="A142" s="317" t="s">
        <v>295</v>
      </c>
      <c r="B142" s="306" t="s">
        <v>2976</v>
      </c>
      <c r="C142" s="307">
        <v>0.121</v>
      </c>
      <c r="D142" s="307">
        <v>0.122</v>
      </c>
      <c r="E142" s="307">
        <v>0.1</v>
      </c>
      <c r="F142" s="307">
        <v>0.123</v>
      </c>
      <c r="G142" s="308">
        <v>0.123</v>
      </c>
    </row>
    <row r="143" spans="1:7">
      <c r="A143" s="317" t="s">
        <v>295</v>
      </c>
      <c r="B143" s="306" t="s">
        <v>2977</v>
      </c>
      <c r="C143" s="307">
        <v>0.1</v>
      </c>
      <c r="D143" s="307">
        <v>0.1</v>
      </c>
      <c r="E143" s="307">
        <v>0.1</v>
      </c>
      <c r="F143" s="307">
        <v>0.13</v>
      </c>
      <c r="G143" s="308">
        <v>0.1</v>
      </c>
    </row>
    <row r="144" spans="1:7">
      <c r="A144" s="317" t="s">
        <v>295</v>
      </c>
      <c r="B144" s="306" t="s">
        <v>2978</v>
      </c>
      <c r="C144" s="307">
        <v>0.106</v>
      </c>
      <c r="D144" s="307">
        <v>0.105</v>
      </c>
      <c r="E144" s="307">
        <v>0.1</v>
      </c>
      <c r="F144" s="307">
        <v>0.13</v>
      </c>
      <c r="G144" s="308">
        <v>0.11799999999999999</v>
      </c>
    </row>
    <row r="145" spans="1:7">
      <c r="A145" s="317" t="s">
        <v>295</v>
      </c>
      <c r="B145" s="306" t="s">
        <v>2979</v>
      </c>
      <c r="C145" s="307">
        <v>0.123</v>
      </c>
      <c r="D145" s="307">
        <v>0.123</v>
      </c>
      <c r="E145" s="307">
        <v>0.11700000000000001</v>
      </c>
      <c r="F145" s="307">
        <v>0.13</v>
      </c>
      <c r="G145" s="308">
        <v>0.126</v>
      </c>
    </row>
    <row r="146" spans="1:7">
      <c r="A146" s="317" t="s">
        <v>295</v>
      </c>
      <c r="B146" s="306" t="s">
        <v>2980</v>
      </c>
      <c r="C146" s="307">
        <v>0.127</v>
      </c>
      <c r="D146" s="307">
        <v>0.127</v>
      </c>
      <c r="E146" s="307">
        <v>0.12</v>
      </c>
      <c r="F146" s="318"/>
      <c r="G146" s="308">
        <v>0.129</v>
      </c>
    </row>
    <row r="147" spans="1:7">
      <c r="A147" s="317" t="s">
        <v>295</v>
      </c>
      <c r="B147" s="306" t="s">
        <v>2981</v>
      </c>
      <c r="C147" s="307">
        <v>0.13</v>
      </c>
      <c r="D147" s="307">
        <v>0.13</v>
      </c>
      <c r="E147" s="307">
        <v>0.126</v>
      </c>
      <c r="F147" s="318"/>
      <c r="G147" s="308">
        <v>0.13</v>
      </c>
    </row>
    <row r="148" spans="1:7">
      <c r="A148" s="317" t="s">
        <v>295</v>
      </c>
      <c r="B148" s="306" t="s">
        <v>2982</v>
      </c>
      <c r="C148" s="307">
        <v>0.13</v>
      </c>
      <c r="D148" s="307">
        <v>0.13</v>
      </c>
      <c r="E148" s="307">
        <v>0.13</v>
      </c>
      <c r="F148" s="318"/>
      <c r="G148" s="308">
        <v>0.13</v>
      </c>
    </row>
    <row r="149" spans="1:7">
      <c r="A149" s="317" t="s">
        <v>295</v>
      </c>
      <c r="B149" s="306" t="s">
        <v>2983</v>
      </c>
      <c r="C149" s="307">
        <v>0.13</v>
      </c>
      <c r="D149" s="307">
        <v>0.13</v>
      </c>
      <c r="E149" s="307">
        <v>0.13</v>
      </c>
      <c r="F149" s="307">
        <v>0.13</v>
      </c>
      <c r="G149" s="308">
        <v>0.13</v>
      </c>
    </row>
    <row r="150" spans="1:7">
      <c r="A150" s="317" t="s">
        <v>295</v>
      </c>
      <c r="B150" s="306" t="s">
        <v>2984</v>
      </c>
      <c r="C150" s="307">
        <v>0.13</v>
      </c>
      <c r="D150" s="307">
        <v>0.13</v>
      </c>
      <c r="E150" s="307">
        <v>0.127</v>
      </c>
      <c r="F150" s="307">
        <v>0.13</v>
      </c>
      <c r="G150" s="308">
        <v>0.13</v>
      </c>
    </row>
    <row r="151" spans="1:7">
      <c r="A151" s="317" t="s">
        <v>295</v>
      </c>
      <c r="B151" s="306" t="s">
        <v>2985</v>
      </c>
      <c r="C151" s="307">
        <v>0.13</v>
      </c>
      <c r="D151" s="307">
        <v>0.13</v>
      </c>
      <c r="E151" s="307">
        <v>0.13</v>
      </c>
      <c r="F151" s="307">
        <v>0.13</v>
      </c>
      <c r="G151" s="308">
        <v>0.13</v>
      </c>
    </row>
    <row r="152" spans="1:7">
      <c r="A152" s="317" t="s">
        <v>295</v>
      </c>
      <c r="B152" s="306" t="s">
        <v>2986</v>
      </c>
      <c r="C152" s="307">
        <v>0.13</v>
      </c>
      <c r="D152" s="307">
        <v>0.13</v>
      </c>
      <c r="E152" s="307">
        <v>0.13</v>
      </c>
      <c r="F152" s="307">
        <v>0.13</v>
      </c>
      <c r="G152" s="308">
        <v>0.13</v>
      </c>
    </row>
    <row r="153" spans="1:7">
      <c r="A153" s="317" t="s">
        <v>295</v>
      </c>
      <c r="B153" s="306" t="s">
        <v>2987</v>
      </c>
      <c r="C153" s="307">
        <v>0.13</v>
      </c>
      <c r="D153" s="307">
        <v>0.13</v>
      </c>
      <c r="E153" s="307">
        <v>0.13</v>
      </c>
      <c r="F153" s="307">
        <v>0.13</v>
      </c>
      <c r="G153" s="308">
        <v>0.13</v>
      </c>
    </row>
    <row r="154" spans="1:7">
      <c r="A154" s="317" t="s">
        <v>295</v>
      </c>
      <c r="B154" s="306" t="s">
        <v>2988</v>
      </c>
      <c r="C154" s="307">
        <v>0.121</v>
      </c>
      <c r="D154" s="307">
        <v>0.121</v>
      </c>
      <c r="E154" s="307">
        <v>0.105</v>
      </c>
      <c r="F154" s="307">
        <v>0.121</v>
      </c>
      <c r="G154" s="308">
        <v>0.123</v>
      </c>
    </row>
    <row r="155" spans="1:7">
      <c r="A155" s="317" t="s">
        <v>295</v>
      </c>
      <c r="B155" s="306" t="s">
        <v>2989</v>
      </c>
      <c r="C155" s="307">
        <v>0.1</v>
      </c>
      <c r="D155" s="307">
        <v>0.1</v>
      </c>
      <c r="E155" s="307">
        <v>0.1</v>
      </c>
      <c r="F155" s="307">
        <v>0.1</v>
      </c>
      <c r="G155" s="308">
        <v>0.1</v>
      </c>
    </row>
    <row r="156" spans="1:7">
      <c r="A156" s="317" t="s">
        <v>295</v>
      </c>
      <c r="B156" s="306" t="s">
        <v>2990</v>
      </c>
      <c r="C156" s="307">
        <v>0.13</v>
      </c>
      <c r="D156" s="307">
        <v>0.13</v>
      </c>
      <c r="E156" s="307">
        <v>0.13</v>
      </c>
      <c r="F156" s="307">
        <v>0.13</v>
      </c>
      <c r="G156" s="308">
        <v>0.13</v>
      </c>
    </row>
    <row r="157" spans="1:7">
      <c r="A157" s="317" t="s">
        <v>295</v>
      </c>
      <c r="B157" s="306" t="s">
        <v>2991</v>
      </c>
      <c r="C157" s="307">
        <v>0.13</v>
      </c>
      <c r="D157" s="307">
        <v>0.13</v>
      </c>
      <c r="E157" s="307">
        <v>0.125</v>
      </c>
      <c r="F157" s="307">
        <v>0.13</v>
      </c>
      <c r="G157" s="308">
        <v>0.13</v>
      </c>
    </row>
    <row r="158" spans="1:7">
      <c r="A158" s="317" t="s">
        <v>295</v>
      </c>
      <c r="B158" s="306" t="s">
        <v>2992</v>
      </c>
      <c r="C158" s="307">
        <v>0.124</v>
      </c>
      <c r="D158" s="307">
        <v>0.124</v>
      </c>
      <c r="E158" s="307">
        <v>0.11700000000000001</v>
      </c>
      <c r="F158" s="307">
        <v>0.121</v>
      </c>
      <c r="G158" s="308">
        <v>0.124</v>
      </c>
    </row>
    <row r="159" spans="1:7">
      <c r="A159" s="317" t="s">
        <v>295</v>
      </c>
      <c r="B159" s="306" t="s">
        <v>2993</v>
      </c>
      <c r="C159" s="307">
        <v>0.127</v>
      </c>
      <c r="D159" s="307">
        <v>0.127</v>
      </c>
      <c r="E159" s="307">
        <v>0.122</v>
      </c>
      <c r="F159" s="307">
        <v>0.13</v>
      </c>
      <c r="G159" s="308">
        <v>0.129</v>
      </c>
    </row>
    <row r="160" spans="1:7">
      <c r="A160" s="317" t="s">
        <v>295</v>
      </c>
      <c r="B160" s="306" t="s">
        <v>2994</v>
      </c>
      <c r="C160" s="307">
        <v>0.13</v>
      </c>
      <c r="D160" s="307">
        <v>0.13</v>
      </c>
      <c r="E160" s="307">
        <v>0.124</v>
      </c>
      <c r="F160" s="307">
        <v>0.126</v>
      </c>
      <c r="G160" s="308">
        <v>0.13</v>
      </c>
    </row>
    <row r="161" spans="1:7">
      <c r="A161" s="317" t="s">
        <v>295</v>
      </c>
      <c r="B161" s="306" t="s">
        <v>2995</v>
      </c>
      <c r="C161" s="307">
        <v>0.13</v>
      </c>
      <c r="D161" s="307">
        <v>0.13</v>
      </c>
      <c r="E161" s="307">
        <v>0.124</v>
      </c>
      <c r="F161" s="307">
        <v>0.127</v>
      </c>
      <c r="G161" s="308">
        <v>0.13</v>
      </c>
    </row>
    <row r="162" spans="1:7">
      <c r="A162" s="317" t="s">
        <v>295</v>
      </c>
      <c r="B162" s="306" t="s">
        <v>2996</v>
      </c>
      <c r="C162" s="307">
        <v>0.1</v>
      </c>
      <c r="D162" s="307">
        <v>0.1</v>
      </c>
      <c r="E162" s="307">
        <v>0.1</v>
      </c>
      <c r="F162" s="307">
        <v>0.121</v>
      </c>
      <c r="G162" s="308">
        <v>0.105</v>
      </c>
    </row>
    <row r="163" spans="1:7">
      <c r="A163" s="317" t="s">
        <v>295</v>
      </c>
      <c r="B163" s="306" t="s">
        <v>2997</v>
      </c>
      <c r="C163" s="307">
        <v>0.1</v>
      </c>
      <c r="D163" s="307">
        <v>0.1</v>
      </c>
      <c r="E163" s="307">
        <v>0.1</v>
      </c>
      <c r="F163" s="307">
        <v>0.1</v>
      </c>
      <c r="G163" s="308">
        <v>0.1</v>
      </c>
    </row>
    <row r="164" spans="1:7">
      <c r="A164" s="317" t="s">
        <v>295</v>
      </c>
      <c r="B164" s="306" t="s">
        <v>2998</v>
      </c>
      <c r="C164" s="323"/>
      <c r="D164" s="323"/>
      <c r="E164" s="323"/>
      <c r="F164" s="307">
        <v>0.1</v>
      </c>
      <c r="G164" s="319"/>
    </row>
    <row r="165" spans="1:7">
      <c r="A165" s="317" t="s">
        <v>295</v>
      </c>
      <c r="B165" s="306" t="s">
        <v>2999</v>
      </c>
      <c r="C165" s="307">
        <v>0.126</v>
      </c>
      <c r="D165" s="307">
        <v>0.126</v>
      </c>
      <c r="E165" s="307">
        <v>0.11899999999999999</v>
      </c>
      <c r="F165" s="307">
        <v>0.13</v>
      </c>
      <c r="G165" s="308">
        <v>0.128</v>
      </c>
    </row>
    <row r="166" spans="1:7">
      <c r="A166" s="317" t="s">
        <v>295</v>
      </c>
      <c r="B166" s="306" t="s">
        <v>3000</v>
      </c>
      <c r="C166" s="307">
        <v>0.129</v>
      </c>
      <c r="D166" s="307">
        <v>0.129</v>
      </c>
      <c r="E166" s="307">
        <v>0.123</v>
      </c>
      <c r="F166" s="307">
        <v>0.128</v>
      </c>
      <c r="G166" s="308">
        <v>0.13</v>
      </c>
    </row>
    <row r="167" spans="1:7">
      <c r="A167" s="317" t="s">
        <v>295</v>
      </c>
      <c r="B167" s="306" t="s">
        <v>3001</v>
      </c>
      <c r="C167" s="307">
        <v>0.125</v>
      </c>
      <c r="D167" s="307">
        <v>0.125</v>
      </c>
      <c r="E167" s="307">
        <v>0.11700000000000001</v>
      </c>
      <c r="F167" s="307">
        <v>0.13</v>
      </c>
      <c r="G167" s="308">
        <v>0.126</v>
      </c>
    </row>
    <row r="168" spans="1:7">
      <c r="A168" s="317" t="s">
        <v>295</v>
      </c>
      <c r="B168" s="306" t="s">
        <v>3002</v>
      </c>
      <c r="C168" s="307">
        <v>0.128</v>
      </c>
      <c r="D168" s="307">
        <v>0.128</v>
      </c>
      <c r="E168" s="307">
        <v>0.123</v>
      </c>
      <c r="F168" s="318"/>
      <c r="G168" s="308">
        <v>0.13</v>
      </c>
    </row>
    <row r="169" spans="1:7">
      <c r="A169" s="317" t="s">
        <v>295</v>
      </c>
      <c r="B169" s="306" t="s">
        <v>3003</v>
      </c>
      <c r="C169" s="323"/>
      <c r="D169" s="323"/>
      <c r="E169" s="323"/>
      <c r="F169" s="307">
        <v>0.05</v>
      </c>
      <c r="G169" s="319"/>
    </row>
    <row r="170" spans="1:7">
      <c r="A170" s="317" t="s">
        <v>295</v>
      </c>
      <c r="B170" s="306" t="s">
        <v>3004</v>
      </c>
      <c r="C170" s="323"/>
      <c r="D170" s="323"/>
      <c r="E170" s="323"/>
      <c r="F170" s="307">
        <v>0.05</v>
      </c>
      <c r="G170" s="319"/>
    </row>
    <row r="171" spans="1:7">
      <c r="A171" s="317" t="s">
        <v>295</v>
      </c>
      <c r="B171" s="306" t="s">
        <v>3005</v>
      </c>
      <c r="C171" s="323"/>
      <c r="D171" s="323"/>
      <c r="E171" s="323"/>
      <c r="F171" s="307">
        <v>0.05</v>
      </c>
      <c r="G171" s="324"/>
    </row>
    <row r="172" spans="1:7">
      <c r="A172" s="317" t="s">
        <v>295</v>
      </c>
      <c r="B172" s="306" t="s">
        <v>3006</v>
      </c>
      <c r="C172" s="323"/>
      <c r="D172" s="323"/>
      <c r="E172" s="323"/>
      <c r="F172" s="307">
        <v>0.05</v>
      </c>
      <c r="G172" s="324"/>
    </row>
    <row r="173" spans="1:7">
      <c r="A173" s="317" t="s">
        <v>295</v>
      </c>
      <c r="B173" s="306" t="s">
        <v>3007</v>
      </c>
      <c r="C173" s="323"/>
      <c r="D173" s="323"/>
      <c r="E173" s="323"/>
      <c r="F173" s="307">
        <v>0.05</v>
      </c>
      <c r="G173" s="319"/>
    </row>
    <row r="174" spans="1:7">
      <c r="A174" s="317" t="s">
        <v>295</v>
      </c>
      <c r="B174" s="306" t="s">
        <v>3008</v>
      </c>
      <c r="C174" s="323"/>
      <c r="D174" s="323"/>
      <c r="E174" s="323"/>
      <c r="F174" s="307">
        <v>0.05</v>
      </c>
      <c r="G174" s="319"/>
    </row>
    <row r="175" spans="1:7">
      <c r="A175" s="317" t="s">
        <v>295</v>
      </c>
      <c r="B175" s="306" t="s">
        <v>3009</v>
      </c>
      <c r="C175" s="323"/>
      <c r="D175" s="323"/>
      <c r="E175" s="323"/>
      <c r="F175" s="307">
        <v>0.05</v>
      </c>
      <c r="G175" s="319"/>
    </row>
    <row r="176" spans="1:7">
      <c r="A176" s="317" t="s">
        <v>295</v>
      </c>
      <c r="B176" s="306" t="s">
        <v>3010</v>
      </c>
      <c r="C176" s="323"/>
      <c r="D176" s="323"/>
      <c r="E176" s="323"/>
      <c r="F176" s="307">
        <v>0.05</v>
      </c>
      <c r="G176" s="319"/>
    </row>
    <row r="177" spans="1:7">
      <c r="A177" s="317" t="s">
        <v>295</v>
      </c>
      <c r="B177" s="306" t="s">
        <v>3011</v>
      </c>
      <c r="C177" s="318"/>
      <c r="D177" s="318"/>
      <c r="E177" s="318"/>
      <c r="F177" s="307">
        <v>0.05</v>
      </c>
      <c r="G177" s="324"/>
    </row>
    <row r="178" spans="1:7">
      <c r="A178" s="317" t="s">
        <v>295</v>
      </c>
      <c r="B178" s="306" t="s">
        <v>3012</v>
      </c>
      <c r="C178" s="318"/>
      <c r="D178" s="318"/>
      <c r="E178" s="318"/>
      <c r="F178" s="307">
        <v>0.05</v>
      </c>
      <c r="G178" s="324"/>
    </row>
    <row r="179" spans="1:7">
      <c r="A179" s="317" t="s">
        <v>295</v>
      </c>
      <c r="B179" s="306" t="s">
        <v>3013</v>
      </c>
      <c r="C179" s="318"/>
      <c r="D179" s="318"/>
      <c r="E179" s="318"/>
      <c r="F179" s="307">
        <v>0.05</v>
      </c>
      <c r="G179" s="324"/>
    </row>
    <row r="180" spans="1:7">
      <c r="A180" s="317" t="s">
        <v>295</v>
      </c>
      <c r="B180" s="306" t="s">
        <v>3014</v>
      </c>
      <c r="C180" s="318"/>
      <c r="D180" s="318"/>
      <c r="E180" s="318"/>
      <c r="F180" s="307">
        <v>0.05</v>
      </c>
      <c r="G180" s="324"/>
    </row>
    <row r="181" spans="1:7">
      <c r="A181" s="317" t="s">
        <v>295</v>
      </c>
      <c r="B181" s="306" t="s">
        <v>3015</v>
      </c>
      <c r="C181" s="318"/>
      <c r="D181" s="318"/>
      <c r="E181" s="318"/>
      <c r="F181" s="307">
        <v>0.05</v>
      </c>
      <c r="G181" s="324"/>
    </row>
    <row r="182" spans="1:7">
      <c r="A182" s="317" t="s">
        <v>295</v>
      </c>
      <c r="B182" s="306" t="s">
        <v>3016</v>
      </c>
      <c r="C182" s="318"/>
      <c r="D182" s="318"/>
      <c r="E182" s="318"/>
      <c r="F182" s="307">
        <v>0.05</v>
      </c>
      <c r="G182" s="324"/>
    </row>
    <row r="183" spans="1:7">
      <c r="A183" s="317" t="s">
        <v>295</v>
      </c>
      <c r="B183" s="306" t="s">
        <v>3017</v>
      </c>
      <c r="C183" s="318"/>
      <c r="D183" s="318"/>
      <c r="E183" s="318"/>
      <c r="F183" s="307">
        <v>0.05</v>
      </c>
      <c r="G183" s="324"/>
    </row>
    <row r="184" spans="1:7">
      <c r="A184" s="317" t="s">
        <v>295</v>
      </c>
      <c r="B184" s="306" t="s">
        <v>3018</v>
      </c>
      <c r="C184" s="318"/>
      <c r="D184" s="318"/>
      <c r="E184" s="318"/>
      <c r="F184" s="307">
        <v>0.05</v>
      </c>
      <c r="G184" s="324"/>
    </row>
    <row r="185" spans="1:7">
      <c r="A185" s="317" t="s">
        <v>295</v>
      </c>
      <c r="B185" s="306" t="s">
        <v>3019</v>
      </c>
      <c r="C185" s="318"/>
      <c r="D185" s="318"/>
      <c r="E185" s="318"/>
      <c r="F185" s="307">
        <v>0.05</v>
      </c>
      <c r="G185" s="324"/>
    </row>
    <row r="186" spans="1:7">
      <c r="A186" s="317" t="s">
        <v>295</v>
      </c>
      <c r="B186" s="306" t="s">
        <v>3020</v>
      </c>
      <c r="C186" s="318"/>
      <c r="D186" s="318"/>
      <c r="E186" s="318"/>
      <c r="F186" s="307">
        <v>0.05</v>
      </c>
      <c r="G186" s="324"/>
    </row>
    <row r="187" spans="1:7">
      <c r="A187" s="317" t="s">
        <v>295</v>
      </c>
      <c r="B187" s="306" t="s">
        <v>3021</v>
      </c>
      <c r="C187" s="318"/>
      <c r="D187" s="318"/>
      <c r="E187" s="318"/>
      <c r="F187" s="307">
        <v>0.05</v>
      </c>
      <c r="G187" s="324"/>
    </row>
    <row r="188" spans="1:7">
      <c r="A188" s="317" t="s">
        <v>295</v>
      </c>
      <c r="B188" s="306" t="s">
        <v>3022</v>
      </c>
      <c r="C188" s="318"/>
      <c r="D188" s="318"/>
      <c r="E188" s="318"/>
      <c r="F188" s="307">
        <v>0.05</v>
      </c>
      <c r="G188" s="324"/>
    </row>
    <row r="189" spans="1:7">
      <c r="A189" s="320" t="s">
        <v>295</v>
      </c>
      <c r="B189" s="310" t="s">
        <v>3023</v>
      </c>
      <c r="C189" s="312"/>
      <c r="D189" s="312"/>
      <c r="E189" s="312"/>
      <c r="F189" s="311">
        <v>0.05</v>
      </c>
      <c r="G189" s="325"/>
    </row>
    <row r="190" spans="1:7">
      <c r="A190" s="316" t="s">
        <v>303</v>
      </c>
      <c r="B190" s="302" t="s">
        <v>3024</v>
      </c>
      <c r="C190" s="303">
        <v>0.124</v>
      </c>
      <c r="D190" s="303">
        <v>0.124</v>
      </c>
      <c r="E190" s="303">
        <v>0.129</v>
      </c>
      <c r="F190" s="303">
        <v>0.13</v>
      </c>
      <c r="G190" s="304">
        <v>0.127</v>
      </c>
    </row>
    <row r="191" spans="1:7">
      <c r="A191" s="317" t="s">
        <v>303</v>
      </c>
      <c r="B191" s="306" t="s">
        <v>3025</v>
      </c>
      <c r="C191" s="307">
        <v>0.13</v>
      </c>
      <c r="D191" s="307">
        <v>0.13</v>
      </c>
      <c r="E191" s="307">
        <v>0.13</v>
      </c>
      <c r="F191" s="307">
        <v>0.13</v>
      </c>
      <c r="G191" s="308">
        <v>0.13</v>
      </c>
    </row>
    <row r="192" spans="1:7">
      <c r="A192" s="317" t="s">
        <v>303</v>
      </c>
      <c r="B192" s="306" t="s">
        <v>3026</v>
      </c>
      <c r="C192" s="307">
        <v>0.13</v>
      </c>
      <c r="D192" s="307">
        <v>0.13</v>
      </c>
      <c r="E192" s="307">
        <v>0.13</v>
      </c>
      <c r="F192" s="307">
        <v>0.13</v>
      </c>
      <c r="G192" s="308">
        <v>0.13</v>
      </c>
    </row>
    <row r="193" spans="1:7">
      <c r="A193" s="317" t="s">
        <v>303</v>
      </c>
      <c r="B193" s="306" t="s">
        <v>3027</v>
      </c>
      <c r="C193" s="307">
        <v>0.13</v>
      </c>
      <c r="D193" s="307">
        <v>0.13</v>
      </c>
      <c r="E193" s="307">
        <v>0.13</v>
      </c>
      <c r="F193" s="307">
        <v>0.13</v>
      </c>
      <c r="G193" s="308">
        <v>0.13</v>
      </c>
    </row>
    <row r="194" spans="1:7">
      <c r="A194" s="317" t="s">
        <v>303</v>
      </c>
      <c r="B194" s="306" t="s">
        <v>3028</v>
      </c>
      <c r="C194" s="307">
        <v>0.123</v>
      </c>
      <c r="D194" s="307">
        <v>0.123</v>
      </c>
      <c r="E194" s="307">
        <v>0.128</v>
      </c>
      <c r="F194" s="307">
        <v>0.13</v>
      </c>
      <c r="G194" s="308">
        <v>0.126</v>
      </c>
    </row>
    <row r="195" spans="1:7">
      <c r="A195" s="317" t="s">
        <v>303</v>
      </c>
      <c r="B195" s="306" t="s">
        <v>3029</v>
      </c>
      <c r="C195" s="307">
        <v>0.127</v>
      </c>
      <c r="D195" s="307">
        <v>0.127</v>
      </c>
      <c r="E195" s="307">
        <v>0.121</v>
      </c>
      <c r="F195" s="307">
        <v>0.129</v>
      </c>
      <c r="G195" s="308">
        <v>0.129</v>
      </c>
    </row>
    <row r="196" spans="1:7">
      <c r="A196" s="317" t="s">
        <v>303</v>
      </c>
      <c r="B196" s="306" t="s">
        <v>3030</v>
      </c>
      <c r="C196" s="307">
        <v>0.127</v>
      </c>
      <c r="D196" s="307">
        <v>0.128</v>
      </c>
      <c r="E196" s="307">
        <v>0.122</v>
      </c>
      <c r="F196" s="307">
        <v>0.13</v>
      </c>
      <c r="G196" s="308">
        <v>0.129</v>
      </c>
    </row>
    <row r="197" spans="1:7">
      <c r="A197" s="317" t="s">
        <v>303</v>
      </c>
      <c r="B197" s="306" t="s">
        <v>3031</v>
      </c>
      <c r="C197" s="307">
        <v>0.126</v>
      </c>
      <c r="D197" s="307">
        <v>0.126</v>
      </c>
      <c r="E197" s="307">
        <v>0.11899999999999999</v>
      </c>
      <c r="F197" s="307">
        <v>0.13</v>
      </c>
      <c r="G197" s="308">
        <v>0.128</v>
      </c>
    </row>
    <row r="198" spans="1:7">
      <c r="A198" s="317" t="s">
        <v>303</v>
      </c>
      <c r="B198" s="306" t="s">
        <v>3032</v>
      </c>
      <c r="C198" s="307">
        <v>0.13</v>
      </c>
      <c r="D198" s="307">
        <v>0.13</v>
      </c>
      <c r="E198" s="307">
        <v>0.126</v>
      </c>
      <c r="F198" s="323"/>
      <c r="G198" s="308">
        <v>0.13</v>
      </c>
    </row>
    <row r="199" spans="1:7">
      <c r="A199" s="317" t="s">
        <v>303</v>
      </c>
      <c r="B199" s="306" t="s">
        <v>3033</v>
      </c>
      <c r="C199" s="307">
        <v>0.13</v>
      </c>
      <c r="D199" s="307">
        <v>0.13</v>
      </c>
      <c r="E199" s="307">
        <v>0.13</v>
      </c>
      <c r="F199" s="307">
        <v>0.13</v>
      </c>
      <c r="G199" s="308">
        <v>0.13</v>
      </c>
    </row>
    <row r="200" spans="1:7">
      <c r="A200" s="317" t="s">
        <v>303</v>
      </c>
      <c r="B200" s="306" t="s">
        <v>3034</v>
      </c>
      <c r="C200" s="323"/>
      <c r="D200" s="323"/>
      <c r="E200" s="323"/>
      <c r="F200" s="307">
        <v>0.13</v>
      </c>
      <c r="G200" s="319"/>
    </row>
    <row r="201" spans="1:7">
      <c r="A201" s="317" t="s">
        <v>303</v>
      </c>
      <c r="B201" s="306" t="s">
        <v>3035</v>
      </c>
      <c r="C201" s="307">
        <v>0.13</v>
      </c>
      <c r="D201" s="307">
        <v>0.13</v>
      </c>
      <c r="E201" s="307">
        <v>0.13</v>
      </c>
      <c r="F201" s="307">
        <v>0.129</v>
      </c>
      <c r="G201" s="308">
        <v>0.13</v>
      </c>
    </row>
    <row r="202" spans="1:7">
      <c r="A202" s="317" t="s">
        <v>303</v>
      </c>
      <c r="B202" s="306" t="s">
        <v>3036</v>
      </c>
      <c r="C202" s="307">
        <v>0.13</v>
      </c>
      <c r="D202" s="307">
        <v>0.13</v>
      </c>
      <c r="E202" s="307">
        <v>0.13</v>
      </c>
      <c r="F202" s="307">
        <v>0.13</v>
      </c>
      <c r="G202" s="308">
        <v>0.13</v>
      </c>
    </row>
    <row r="203" spans="1:7">
      <c r="A203" s="317" t="s">
        <v>303</v>
      </c>
      <c r="B203" s="306" t="s">
        <v>3037</v>
      </c>
      <c r="C203" s="307">
        <v>0.129</v>
      </c>
      <c r="D203" s="307">
        <v>0.129</v>
      </c>
      <c r="E203" s="307">
        <v>0.13</v>
      </c>
      <c r="F203" s="307">
        <v>0.13</v>
      </c>
      <c r="G203" s="308">
        <v>0.13</v>
      </c>
    </row>
    <row r="204" spans="1:7">
      <c r="A204" s="317" t="s">
        <v>303</v>
      </c>
      <c r="B204" s="306" t="s">
        <v>3038</v>
      </c>
      <c r="C204" s="307">
        <v>0.129</v>
      </c>
      <c r="D204" s="307">
        <v>0.129</v>
      </c>
      <c r="E204" s="307">
        <v>0.123</v>
      </c>
      <c r="F204" s="307">
        <v>0.13</v>
      </c>
      <c r="G204" s="308">
        <v>0.13</v>
      </c>
    </row>
    <row r="205" spans="1:7">
      <c r="A205" s="317" t="s">
        <v>303</v>
      </c>
      <c r="B205" s="306" t="s">
        <v>3039</v>
      </c>
      <c r="C205" s="307">
        <v>0.13</v>
      </c>
      <c r="D205" s="307">
        <v>0.13</v>
      </c>
      <c r="E205" s="307">
        <v>0.13</v>
      </c>
      <c r="F205" s="307">
        <v>0.13</v>
      </c>
      <c r="G205" s="308">
        <v>0.13</v>
      </c>
    </row>
    <row r="206" spans="1:7">
      <c r="A206" s="317" t="s">
        <v>303</v>
      </c>
      <c r="B206" s="306" t="s">
        <v>3040</v>
      </c>
      <c r="C206" s="307">
        <v>0.13</v>
      </c>
      <c r="D206" s="307">
        <v>0.13</v>
      </c>
      <c r="E206" s="307">
        <v>0.13</v>
      </c>
      <c r="F206" s="307">
        <v>0.128</v>
      </c>
      <c r="G206" s="308">
        <v>0.13</v>
      </c>
    </row>
    <row r="207" spans="1:7">
      <c r="A207" s="317" t="s">
        <v>303</v>
      </c>
      <c r="B207" s="306" t="s">
        <v>3041</v>
      </c>
      <c r="C207" s="307">
        <v>0.13</v>
      </c>
      <c r="D207" s="307">
        <v>0.13</v>
      </c>
      <c r="E207" s="307">
        <v>0.13</v>
      </c>
      <c r="F207" s="307">
        <v>0.13</v>
      </c>
      <c r="G207" s="308">
        <v>0.13</v>
      </c>
    </row>
    <row r="208" spans="1:7">
      <c r="A208" s="317" t="s">
        <v>303</v>
      </c>
      <c r="B208" s="306" t="s">
        <v>3042</v>
      </c>
      <c r="C208" s="307">
        <v>0.13</v>
      </c>
      <c r="D208" s="307">
        <v>0.13</v>
      </c>
      <c r="E208" s="307">
        <v>0.13</v>
      </c>
      <c r="F208" s="307">
        <v>0.13</v>
      </c>
      <c r="G208" s="308">
        <v>0.13</v>
      </c>
    </row>
    <row r="209" spans="1:7">
      <c r="A209" s="317" t="s">
        <v>303</v>
      </c>
      <c r="B209" s="306" t="s">
        <v>3043</v>
      </c>
      <c r="C209" s="307">
        <v>0.13</v>
      </c>
      <c r="D209" s="307">
        <v>0.13</v>
      </c>
      <c r="E209" s="307">
        <v>0.13</v>
      </c>
      <c r="F209" s="307">
        <v>0.13</v>
      </c>
      <c r="G209" s="308">
        <v>0.13</v>
      </c>
    </row>
    <row r="210" spans="1:7">
      <c r="A210" s="317" t="s">
        <v>303</v>
      </c>
      <c r="B210" s="306" t="s">
        <v>3044</v>
      </c>
      <c r="C210" s="307">
        <v>0.121</v>
      </c>
      <c r="D210" s="307">
        <v>0.121</v>
      </c>
      <c r="E210" s="307">
        <v>0.125</v>
      </c>
      <c r="F210" s="307">
        <v>0.13</v>
      </c>
      <c r="G210" s="308">
        <v>0.123</v>
      </c>
    </row>
    <row r="211" spans="1:7">
      <c r="A211" s="317" t="s">
        <v>303</v>
      </c>
      <c r="B211" s="306" t="s">
        <v>3045</v>
      </c>
      <c r="C211" s="307">
        <v>0.123</v>
      </c>
      <c r="D211" s="307">
        <v>0.123</v>
      </c>
      <c r="E211" s="307">
        <v>0.127</v>
      </c>
      <c r="F211" s="307">
        <v>0.115</v>
      </c>
      <c r="G211" s="308">
        <v>0.126</v>
      </c>
    </row>
    <row r="212" spans="1:7">
      <c r="A212" s="317" t="s">
        <v>303</v>
      </c>
      <c r="B212" s="306" t="s">
        <v>3046</v>
      </c>
      <c r="C212" s="307">
        <v>0.126</v>
      </c>
      <c r="D212" s="307">
        <v>0.126</v>
      </c>
      <c r="E212" s="307">
        <v>0.13</v>
      </c>
      <c r="F212" s="307">
        <v>0.13</v>
      </c>
      <c r="G212" s="308">
        <v>0.129</v>
      </c>
    </row>
    <row r="213" spans="1:7">
      <c r="A213" s="317" t="s">
        <v>303</v>
      </c>
      <c r="B213" s="306" t="s">
        <v>3047</v>
      </c>
      <c r="C213" s="307">
        <v>0.129</v>
      </c>
      <c r="D213" s="307">
        <v>0.13</v>
      </c>
      <c r="E213" s="307">
        <v>0.127</v>
      </c>
      <c r="F213" s="307">
        <v>0.13</v>
      </c>
      <c r="G213" s="308">
        <v>0.13</v>
      </c>
    </row>
    <row r="214" spans="1:7">
      <c r="A214" s="317" t="s">
        <v>303</v>
      </c>
      <c r="B214" s="306" t="s">
        <v>3048</v>
      </c>
      <c r="C214" s="307">
        <v>0.128</v>
      </c>
      <c r="D214" s="307">
        <v>0.128</v>
      </c>
      <c r="E214" s="307">
        <v>0.13</v>
      </c>
      <c r="F214" s="307">
        <v>0.13</v>
      </c>
      <c r="G214" s="308">
        <v>0.13</v>
      </c>
    </row>
    <row r="215" spans="1:7">
      <c r="A215" s="317" t="s">
        <v>303</v>
      </c>
      <c r="B215" s="306" t="s">
        <v>3049</v>
      </c>
      <c r="C215" s="307">
        <v>0.13</v>
      </c>
      <c r="D215" s="307">
        <v>0.13</v>
      </c>
      <c r="E215" s="307">
        <v>0.13</v>
      </c>
      <c r="F215" s="307">
        <v>0.129</v>
      </c>
      <c r="G215" s="308">
        <v>0.13</v>
      </c>
    </row>
    <row r="216" spans="1:7">
      <c r="A216" s="317" t="s">
        <v>303</v>
      </c>
      <c r="B216" s="306" t="s">
        <v>3050</v>
      </c>
      <c r="C216" s="307">
        <v>0.13</v>
      </c>
      <c r="D216" s="307">
        <v>0.13</v>
      </c>
      <c r="E216" s="307">
        <v>0.13</v>
      </c>
      <c r="F216" s="307">
        <v>0.13</v>
      </c>
      <c r="G216" s="308">
        <v>0.13</v>
      </c>
    </row>
    <row r="217" spans="1:7">
      <c r="A217" s="317" t="s">
        <v>303</v>
      </c>
      <c r="B217" s="306" t="s">
        <v>3051</v>
      </c>
      <c r="C217" s="307">
        <v>0.129</v>
      </c>
      <c r="D217" s="307">
        <v>0.129</v>
      </c>
      <c r="E217" s="307">
        <v>0.13</v>
      </c>
      <c r="F217" s="307">
        <v>0.13</v>
      </c>
      <c r="G217" s="308">
        <v>0.13</v>
      </c>
    </row>
    <row r="218" spans="1:7">
      <c r="A218" s="317" t="s">
        <v>303</v>
      </c>
      <c r="B218" s="306" t="s">
        <v>3052</v>
      </c>
      <c r="C218" s="318"/>
      <c r="D218" s="318"/>
      <c r="E218" s="318"/>
      <c r="F218" s="307">
        <v>0.05</v>
      </c>
      <c r="G218" s="324"/>
    </row>
    <row r="219" spans="1:7">
      <c r="A219" s="317" t="s">
        <v>303</v>
      </c>
      <c r="B219" s="306" t="s">
        <v>3053</v>
      </c>
      <c r="C219" s="318"/>
      <c r="D219" s="318"/>
      <c r="E219" s="318"/>
      <c r="F219" s="307">
        <v>0.05</v>
      </c>
      <c r="G219" s="324"/>
    </row>
    <row r="220" spans="1:7">
      <c r="A220" s="317" t="s">
        <v>303</v>
      </c>
      <c r="B220" s="306" t="s">
        <v>3054</v>
      </c>
      <c r="C220" s="318"/>
      <c r="D220" s="318"/>
      <c r="E220" s="318"/>
      <c r="F220" s="307">
        <v>0.05</v>
      </c>
      <c r="G220" s="324"/>
    </row>
    <row r="221" spans="1:7">
      <c r="A221" s="317" t="s">
        <v>303</v>
      </c>
      <c r="B221" s="306" t="s">
        <v>3055</v>
      </c>
      <c r="C221" s="318"/>
      <c r="D221" s="318"/>
      <c r="E221" s="318"/>
      <c r="F221" s="307">
        <v>0.05</v>
      </c>
      <c r="G221" s="324"/>
    </row>
    <row r="222" spans="1:7">
      <c r="A222" s="317" t="s">
        <v>303</v>
      </c>
      <c r="B222" s="306" t="s">
        <v>3056</v>
      </c>
      <c r="C222" s="318"/>
      <c r="D222" s="318"/>
      <c r="E222" s="318"/>
      <c r="F222" s="307">
        <v>0.05</v>
      </c>
      <c r="G222" s="324"/>
    </row>
    <row r="223" spans="1:7">
      <c r="A223" s="317" t="s">
        <v>303</v>
      </c>
      <c r="B223" s="306" t="s">
        <v>3057</v>
      </c>
      <c r="C223" s="318"/>
      <c r="D223" s="318"/>
      <c r="E223" s="318"/>
      <c r="F223" s="307">
        <v>0.05</v>
      </c>
      <c r="G223" s="324"/>
    </row>
    <row r="224" spans="1:7">
      <c r="A224" s="317" t="s">
        <v>303</v>
      </c>
      <c r="B224" s="306" t="s">
        <v>3058</v>
      </c>
      <c r="C224" s="318"/>
      <c r="D224" s="318"/>
      <c r="E224" s="318"/>
      <c r="F224" s="307">
        <v>0.05</v>
      </c>
      <c r="G224" s="324"/>
    </row>
    <row r="225" spans="1:7">
      <c r="A225" s="317" t="s">
        <v>303</v>
      </c>
      <c r="B225" s="306" t="s">
        <v>3059</v>
      </c>
      <c r="C225" s="318"/>
      <c r="D225" s="318"/>
      <c r="E225" s="318"/>
      <c r="F225" s="307">
        <v>0.05</v>
      </c>
      <c r="G225" s="324"/>
    </row>
    <row r="226" spans="1:7">
      <c r="A226" s="317" t="s">
        <v>303</v>
      </c>
      <c r="B226" s="306" t="s">
        <v>3060</v>
      </c>
      <c r="C226" s="318"/>
      <c r="D226" s="318"/>
      <c r="E226" s="318"/>
      <c r="F226" s="307">
        <v>0.05</v>
      </c>
      <c r="G226" s="324"/>
    </row>
    <row r="227" spans="1:7">
      <c r="A227" s="317" t="s">
        <v>303</v>
      </c>
      <c r="B227" s="306" t="s">
        <v>3061</v>
      </c>
      <c r="C227" s="318"/>
      <c r="D227" s="318"/>
      <c r="E227" s="318"/>
      <c r="F227" s="307">
        <v>0.05</v>
      </c>
      <c r="G227" s="324"/>
    </row>
    <row r="228" spans="1:7">
      <c r="A228" s="317" t="s">
        <v>303</v>
      </c>
      <c r="B228" s="306" t="s">
        <v>3062</v>
      </c>
      <c r="C228" s="318"/>
      <c r="D228" s="318"/>
      <c r="E228" s="318"/>
      <c r="F228" s="307">
        <v>0.05</v>
      </c>
      <c r="G228" s="324"/>
    </row>
    <row r="229" spans="1:7">
      <c r="A229" s="317" t="s">
        <v>303</v>
      </c>
      <c r="B229" s="306" t="s">
        <v>3063</v>
      </c>
      <c r="C229" s="318"/>
      <c r="D229" s="318"/>
      <c r="E229" s="318"/>
      <c r="F229" s="307">
        <v>0.05</v>
      </c>
      <c r="G229" s="324"/>
    </row>
    <row r="230" spans="1:7">
      <c r="A230" s="317" t="s">
        <v>303</v>
      </c>
      <c r="B230" s="306" t="s">
        <v>3064</v>
      </c>
      <c r="C230" s="318"/>
      <c r="D230" s="318"/>
      <c r="E230" s="318"/>
      <c r="F230" s="307">
        <v>0.05</v>
      </c>
      <c r="G230" s="324"/>
    </row>
    <row r="231" spans="1:7">
      <c r="A231" s="317" t="s">
        <v>303</v>
      </c>
      <c r="B231" s="306" t="s">
        <v>3065</v>
      </c>
      <c r="C231" s="318"/>
      <c r="D231" s="318"/>
      <c r="E231" s="318"/>
      <c r="F231" s="307">
        <v>0.05</v>
      </c>
      <c r="G231" s="324"/>
    </row>
    <row r="232" spans="1:7">
      <c r="A232" s="317" t="s">
        <v>303</v>
      </c>
      <c r="B232" s="306" t="s">
        <v>3066</v>
      </c>
      <c r="C232" s="318"/>
      <c r="D232" s="318"/>
      <c r="E232" s="318"/>
      <c r="F232" s="307">
        <v>0.05</v>
      </c>
      <c r="G232" s="324"/>
    </row>
    <row r="233" spans="1:7">
      <c r="A233" s="320" t="s">
        <v>303</v>
      </c>
      <c r="B233" s="310" t="s">
        <v>3067</v>
      </c>
      <c r="C233" s="312"/>
      <c r="D233" s="312"/>
      <c r="E233" s="312"/>
      <c r="F233" s="311">
        <v>0.05</v>
      </c>
      <c r="G233" s="325"/>
    </row>
    <row r="234" spans="1:7">
      <c r="A234" s="316" t="s">
        <v>311</v>
      </c>
      <c r="B234" s="302" t="s">
        <v>3068</v>
      </c>
      <c r="C234" s="303">
        <v>0.13</v>
      </c>
      <c r="D234" s="303">
        <v>0.128</v>
      </c>
      <c r="E234" s="303">
        <v>0.14199999999999999</v>
      </c>
      <c r="F234" s="303">
        <v>0.14699999999999999</v>
      </c>
      <c r="G234" s="304">
        <v>0.14000000000000001</v>
      </c>
    </row>
    <row r="235" spans="1:7">
      <c r="A235" s="317" t="s">
        <v>311</v>
      </c>
      <c r="B235" s="306" t="s">
        <v>3069</v>
      </c>
      <c r="C235" s="307">
        <v>0.13600000000000001</v>
      </c>
      <c r="D235" s="307">
        <v>0.13800000000000001</v>
      </c>
      <c r="E235" s="307">
        <v>0.14499999999999999</v>
      </c>
      <c r="F235" s="307">
        <v>0.14299999999999999</v>
      </c>
      <c r="G235" s="308">
        <v>0.14099999999999999</v>
      </c>
    </row>
    <row r="236" spans="1:7">
      <c r="A236" s="317" t="s">
        <v>311</v>
      </c>
      <c r="B236" s="306" t="s">
        <v>3070</v>
      </c>
      <c r="C236" s="307">
        <v>0.15</v>
      </c>
      <c r="D236" s="307">
        <v>0.15</v>
      </c>
      <c r="E236" s="307">
        <v>0.15</v>
      </c>
      <c r="F236" s="307">
        <v>0.15</v>
      </c>
      <c r="G236" s="308">
        <v>0.15</v>
      </c>
    </row>
    <row r="237" spans="1:7">
      <c r="A237" s="317" t="s">
        <v>311</v>
      </c>
      <c r="B237" s="306" t="s">
        <v>3071</v>
      </c>
      <c r="C237" s="307">
        <v>0.15</v>
      </c>
      <c r="D237" s="307">
        <v>0.15</v>
      </c>
      <c r="E237" s="307">
        <v>0.15</v>
      </c>
      <c r="F237" s="307">
        <v>0.15</v>
      </c>
      <c r="G237" s="308">
        <v>0.15</v>
      </c>
    </row>
    <row r="238" spans="1:7">
      <c r="A238" s="317" t="s">
        <v>311</v>
      </c>
      <c r="B238" s="306" t="s">
        <v>3072</v>
      </c>
      <c r="C238" s="307">
        <v>0.14899999999999999</v>
      </c>
      <c r="D238" s="307">
        <v>0.14899999999999999</v>
      </c>
      <c r="E238" s="307">
        <v>0.15</v>
      </c>
      <c r="F238" s="307">
        <v>0.15</v>
      </c>
      <c r="G238" s="308">
        <v>0.15</v>
      </c>
    </row>
    <row r="239" spans="1:7">
      <c r="A239" s="317" t="s">
        <v>311</v>
      </c>
      <c r="B239" s="306" t="s">
        <v>3073</v>
      </c>
      <c r="C239" s="307">
        <v>0.15</v>
      </c>
      <c r="D239" s="307">
        <v>0.15</v>
      </c>
      <c r="E239" s="307">
        <v>0.15</v>
      </c>
      <c r="F239" s="307">
        <v>0.15</v>
      </c>
      <c r="G239" s="308">
        <v>0.15</v>
      </c>
    </row>
    <row r="240" spans="1:7">
      <c r="A240" s="317" t="s">
        <v>311</v>
      </c>
      <c r="B240" s="306" t="s">
        <v>3074</v>
      </c>
      <c r="C240" s="307">
        <v>0.15</v>
      </c>
      <c r="D240" s="307">
        <v>0.15</v>
      </c>
      <c r="E240" s="307">
        <v>0.15</v>
      </c>
      <c r="F240" s="307">
        <v>0.15</v>
      </c>
      <c r="G240" s="308">
        <v>0.15</v>
      </c>
    </row>
    <row r="241" spans="1:7">
      <c r="A241" s="317" t="s">
        <v>311</v>
      </c>
      <c r="B241" s="306" t="s">
        <v>3075</v>
      </c>
      <c r="C241" s="307">
        <v>0.14099999999999999</v>
      </c>
      <c r="D241" s="307">
        <v>0.14199999999999999</v>
      </c>
      <c r="E241" s="307">
        <v>0.14899999999999999</v>
      </c>
      <c r="F241" s="307">
        <v>0.15</v>
      </c>
      <c r="G241" s="308">
        <v>0.14399999999999999</v>
      </c>
    </row>
    <row r="242" spans="1:7">
      <c r="A242" s="317" t="s">
        <v>311</v>
      </c>
      <c r="B242" s="306" t="s">
        <v>3076</v>
      </c>
      <c r="C242" s="307">
        <v>0.14099999999999999</v>
      </c>
      <c r="D242" s="307">
        <v>0.14199999999999999</v>
      </c>
      <c r="E242" s="307">
        <v>0.14799999999999999</v>
      </c>
      <c r="F242" s="307">
        <v>0.127</v>
      </c>
      <c r="G242" s="308">
        <v>0.14399999999999999</v>
      </c>
    </row>
    <row r="243" spans="1:7">
      <c r="A243" s="317" t="s">
        <v>311</v>
      </c>
      <c r="B243" s="306" t="s">
        <v>3077</v>
      </c>
      <c r="C243" s="307">
        <v>0.14699999999999999</v>
      </c>
      <c r="D243" s="307">
        <v>0.14699999999999999</v>
      </c>
      <c r="E243" s="307">
        <v>0.15</v>
      </c>
      <c r="F243" s="307">
        <v>0.15</v>
      </c>
      <c r="G243" s="308">
        <v>0.14899999999999999</v>
      </c>
    </row>
    <row r="244" spans="1:7">
      <c r="A244" s="317" t="s">
        <v>311</v>
      </c>
      <c r="B244" s="306" t="s">
        <v>3078</v>
      </c>
      <c r="C244" s="307">
        <v>0.15</v>
      </c>
      <c r="D244" s="307">
        <v>0.15</v>
      </c>
      <c r="E244" s="307">
        <v>0.15</v>
      </c>
      <c r="F244" s="307">
        <v>0.15</v>
      </c>
      <c r="G244" s="308">
        <v>0.15</v>
      </c>
    </row>
    <row r="245" spans="1:7">
      <c r="A245" s="317" t="s">
        <v>311</v>
      </c>
      <c r="B245" s="306" t="s">
        <v>3079</v>
      </c>
      <c r="C245" s="307">
        <v>0.14199999999999999</v>
      </c>
      <c r="D245" s="307">
        <v>0.14199999999999999</v>
      </c>
      <c r="E245" s="307">
        <v>0.15</v>
      </c>
      <c r="F245" s="307">
        <v>0.15</v>
      </c>
      <c r="G245" s="308">
        <v>0.14499999999999999</v>
      </c>
    </row>
    <row r="246" spans="1:7">
      <c r="A246" s="317" t="s">
        <v>311</v>
      </c>
      <c r="B246" s="306" t="s">
        <v>3080</v>
      </c>
      <c r="C246" s="307">
        <v>0.14199999999999999</v>
      </c>
      <c r="D246" s="307">
        <v>0.14299999999999999</v>
      </c>
      <c r="E246" s="307">
        <v>0.15</v>
      </c>
      <c r="F246" s="307">
        <v>0.14199999999999999</v>
      </c>
      <c r="G246" s="308">
        <v>0.14399999999999999</v>
      </c>
    </row>
    <row r="247" spans="1:7">
      <c r="A247" s="317" t="s">
        <v>311</v>
      </c>
      <c r="B247" s="306" t="s">
        <v>3081</v>
      </c>
      <c r="C247" s="307">
        <v>0.14899999999999999</v>
      </c>
      <c r="D247" s="307">
        <v>0.14899999999999999</v>
      </c>
      <c r="E247" s="307">
        <v>0.15</v>
      </c>
      <c r="F247" s="307">
        <v>0.15</v>
      </c>
      <c r="G247" s="308">
        <v>0.15</v>
      </c>
    </row>
    <row r="248" spans="1:7">
      <c r="A248" s="317" t="s">
        <v>311</v>
      </c>
      <c r="B248" s="306" t="s">
        <v>3082</v>
      </c>
      <c r="C248" s="307">
        <v>0.14399999999999999</v>
      </c>
      <c r="D248" s="307">
        <v>0.14399999999999999</v>
      </c>
      <c r="E248" s="307">
        <v>0.14899999999999999</v>
      </c>
      <c r="F248" s="307">
        <v>0.14799999999999999</v>
      </c>
      <c r="G248" s="308">
        <v>0.14599999999999999</v>
      </c>
    </row>
    <row r="249" spans="1:7">
      <c r="A249" s="317" t="s">
        <v>311</v>
      </c>
      <c r="B249" s="306" t="s">
        <v>3083</v>
      </c>
      <c r="C249" s="307">
        <v>0.14000000000000001</v>
      </c>
      <c r="D249" s="307">
        <v>0.14000000000000001</v>
      </c>
      <c r="E249" s="307">
        <v>0.14699999999999999</v>
      </c>
      <c r="F249" s="307">
        <v>0.14899999999999999</v>
      </c>
      <c r="G249" s="308">
        <v>0.14199999999999999</v>
      </c>
    </row>
    <row r="250" spans="1:7">
      <c r="A250" s="317" t="s">
        <v>311</v>
      </c>
      <c r="B250" s="306" t="s">
        <v>3084</v>
      </c>
      <c r="C250" s="307">
        <v>0.14399999999999999</v>
      </c>
      <c r="D250" s="307">
        <v>0.14299999999999999</v>
      </c>
      <c r="E250" s="307">
        <v>0.14899999999999999</v>
      </c>
      <c r="F250" s="307">
        <v>0.15</v>
      </c>
      <c r="G250" s="308">
        <v>0.14599999999999999</v>
      </c>
    </row>
    <row r="251" spans="1:7">
      <c r="A251" s="317" t="s">
        <v>311</v>
      </c>
      <c r="B251" s="306" t="s">
        <v>3085</v>
      </c>
      <c r="C251" s="323"/>
      <c r="D251" s="318"/>
      <c r="E251" s="318"/>
      <c r="F251" s="307">
        <v>0.1</v>
      </c>
      <c r="G251" s="324"/>
    </row>
    <row r="252" spans="1:7">
      <c r="A252" s="317" t="s">
        <v>311</v>
      </c>
      <c r="B252" s="306" t="s">
        <v>3086</v>
      </c>
      <c r="C252" s="307">
        <v>0.14399999999999999</v>
      </c>
      <c r="D252" s="307">
        <v>0.14399999999999999</v>
      </c>
      <c r="E252" s="307">
        <v>0.15</v>
      </c>
      <c r="F252" s="307">
        <v>0.14899999999999999</v>
      </c>
      <c r="G252" s="308">
        <v>0.14599999999999999</v>
      </c>
    </row>
    <row r="253" spans="1:7">
      <c r="A253" s="317" t="s">
        <v>311</v>
      </c>
      <c r="B253" s="306" t="s">
        <v>3087</v>
      </c>
      <c r="C253" s="307">
        <v>0.14199999999999999</v>
      </c>
      <c r="D253" s="307">
        <v>0.14199999999999999</v>
      </c>
      <c r="E253" s="307">
        <v>0.14599999999999999</v>
      </c>
      <c r="F253" s="307">
        <v>0.14799999999999999</v>
      </c>
      <c r="G253" s="308">
        <v>0.14499999999999999</v>
      </c>
    </row>
    <row r="254" spans="1:7">
      <c r="A254" s="317" t="s">
        <v>311</v>
      </c>
      <c r="B254" s="306" t="s">
        <v>3088</v>
      </c>
      <c r="C254" s="307">
        <v>0.15</v>
      </c>
      <c r="D254" s="307">
        <v>0.15</v>
      </c>
      <c r="E254" s="307">
        <v>0.15</v>
      </c>
      <c r="F254" s="307">
        <v>0.15</v>
      </c>
      <c r="G254" s="308">
        <v>0.15</v>
      </c>
    </row>
    <row r="255" spans="1:7">
      <c r="A255" s="317" t="s">
        <v>311</v>
      </c>
      <c r="B255" s="306" t="s">
        <v>3089</v>
      </c>
      <c r="C255" s="307">
        <v>0.14299999999999999</v>
      </c>
      <c r="D255" s="307">
        <v>0.14299999999999999</v>
      </c>
      <c r="E255" s="307">
        <v>0.15</v>
      </c>
      <c r="F255" s="307">
        <v>0.15</v>
      </c>
      <c r="G255" s="308">
        <v>0.14499999999999999</v>
      </c>
    </row>
    <row r="256" spans="1:7">
      <c r="A256" s="317" t="s">
        <v>311</v>
      </c>
      <c r="B256" s="306" t="s">
        <v>3090</v>
      </c>
      <c r="C256" s="307">
        <v>0.15</v>
      </c>
      <c r="D256" s="307">
        <v>0.15</v>
      </c>
      <c r="E256" s="307">
        <v>0.15</v>
      </c>
      <c r="F256" s="307">
        <v>0.14599999999999999</v>
      </c>
      <c r="G256" s="308">
        <v>0.15</v>
      </c>
    </row>
    <row r="257" spans="1:7">
      <c r="A257" s="317" t="s">
        <v>311</v>
      </c>
      <c r="B257" s="306" t="s">
        <v>3091</v>
      </c>
      <c r="C257" s="307">
        <v>0.14199999999999999</v>
      </c>
      <c r="D257" s="307">
        <v>0.14299999999999999</v>
      </c>
      <c r="E257" s="307">
        <v>0.14799999999999999</v>
      </c>
      <c r="F257" s="307">
        <v>0.15</v>
      </c>
      <c r="G257" s="308">
        <v>0.14499999999999999</v>
      </c>
    </row>
    <row r="258" spans="1:7">
      <c r="A258" s="317" t="s">
        <v>311</v>
      </c>
      <c r="B258" s="306" t="s">
        <v>3092</v>
      </c>
      <c r="C258" s="307">
        <v>0.14299999999999999</v>
      </c>
      <c r="D258" s="307">
        <v>0.14299999999999999</v>
      </c>
      <c r="E258" s="307">
        <v>0.15</v>
      </c>
      <c r="F258" s="307">
        <v>0.14799999999999999</v>
      </c>
      <c r="G258" s="308">
        <v>0.14599999999999999</v>
      </c>
    </row>
    <row r="259" spans="1:7">
      <c r="A259" s="317" t="s">
        <v>311</v>
      </c>
      <c r="B259" s="306" t="s">
        <v>3093</v>
      </c>
      <c r="C259" s="307">
        <v>0.14399999999999999</v>
      </c>
      <c r="D259" s="307">
        <v>0.14399999999999999</v>
      </c>
      <c r="E259" s="307">
        <v>0.14899999999999999</v>
      </c>
      <c r="F259" s="307">
        <v>0.14699999999999999</v>
      </c>
      <c r="G259" s="308">
        <v>0.14599999999999999</v>
      </c>
    </row>
    <row r="260" spans="1:7">
      <c r="A260" s="317" t="s">
        <v>311</v>
      </c>
      <c r="B260" s="306" t="s">
        <v>3094</v>
      </c>
      <c r="C260" s="307">
        <v>0.109</v>
      </c>
      <c r="D260" s="307">
        <v>0.111</v>
      </c>
      <c r="E260" s="307">
        <v>0.13100000000000001</v>
      </c>
      <c r="F260" s="307">
        <v>0.126</v>
      </c>
      <c r="G260" s="308">
        <v>0.11899999999999999</v>
      </c>
    </row>
    <row r="261" spans="1:7">
      <c r="A261" s="317" t="s">
        <v>311</v>
      </c>
      <c r="B261" s="306" t="s">
        <v>3095</v>
      </c>
      <c r="C261" s="307">
        <v>0.1</v>
      </c>
      <c r="D261" s="307">
        <v>0.1</v>
      </c>
      <c r="E261" s="307">
        <v>0.11799999999999999</v>
      </c>
      <c r="F261" s="307">
        <v>0.108</v>
      </c>
      <c r="G261" s="308">
        <v>0.107</v>
      </c>
    </row>
    <row r="262" spans="1:7">
      <c r="A262" s="317" t="s">
        <v>311</v>
      </c>
      <c r="B262" s="306" t="s">
        <v>3096</v>
      </c>
      <c r="C262" s="307">
        <v>0.1</v>
      </c>
      <c r="D262" s="307">
        <v>0.1</v>
      </c>
      <c r="E262" s="307">
        <v>0.1</v>
      </c>
      <c r="F262" s="307">
        <v>0.14099999999999999</v>
      </c>
      <c r="G262" s="308">
        <v>0.1</v>
      </c>
    </row>
    <row r="263" spans="1:7">
      <c r="A263" s="317" t="s">
        <v>311</v>
      </c>
      <c r="B263" s="306" t="s">
        <v>3097</v>
      </c>
      <c r="C263" s="307">
        <v>0.14799999999999999</v>
      </c>
      <c r="D263" s="307">
        <v>0.14799999999999999</v>
      </c>
      <c r="E263" s="307">
        <v>0.15</v>
      </c>
      <c r="F263" s="307">
        <v>0.14699999999999999</v>
      </c>
      <c r="G263" s="308">
        <v>0.15</v>
      </c>
    </row>
    <row r="264" spans="1:7">
      <c r="A264" s="317" t="s">
        <v>311</v>
      </c>
      <c r="B264" s="306" t="s">
        <v>3098</v>
      </c>
      <c r="C264" s="307">
        <v>0.14299999999999999</v>
      </c>
      <c r="D264" s="307">
        <v>0.14299999999999999</v>
      </c>
      <c r="E264" s="307">
        <v>0.15</v>
      </c>
      <c r="F264" s="307">
        <v>0.14899999999999999</v>
      </c>
      <c r="G264" s="308">
        <v>0.14599999999999999</v>
      </c>
    </row>
    <row r="265" spans="1:7">
      <c r="A265" s="317" t="s">
        <v>311</v>
      </c>
      <c r="B265" s="306" t="s">
        <v>3099</v>
      </c>
      <c r="C265" s="318"/>
      <c r="D265" s="318"/>
      <c r="E265" s="318"/>
      <c r="F265" s="307">
        <v>0.05</v>
      </c>
      <c r="G265" s="324"/>
    </row>
    <row r="266" spans="1:7">
      <c r="A266" s="317" t="s">
        <v>311</v>
      </c>
      <c r="B266" s="306" t="s">
        <v>3100</v>
      </c>
      <c r="C266" s="318"/>
      <c r="D266" s="318"/>
      <c r="E266" s="318"/>
      <c r="F266" s="307">
        <v>0.05</v>
      </c>
      <c r="G266" s="324"/>
    </row>
    <row r="267" spans="1:7">
      <c r="A267" s="317" t="s">
        <v>311</v>
      </c>
      <c r="B267" s="306" t="s">
        <v>3101</v>
      </c>
      <c r="C267" s="318"/>
      <c r="D267" s="318"/>
      <c r="E267" s="318"/>
      <c r="F267" s="307">
        <v>0.05</v>
      </c>
      <c r="G267" s="324"/>
    </row>
    <row r="268" spans="1:7">
      <c r="A268" s="317" t="s">
        <v>311</v>
      </c>
      <c r="B268" s="306" t="s">
        <v>3102</v>
      </c>
      <c r="C268" s="318"/>
      <c r="D268" s="318"/>
      <c r="E268" s="318"/>
      <c r="F268" s="307">
        <v>0.05</v>
      </c>
      <c r="G268" s="324"/>
    </row>
    <row r="269" spans="1:7">
      <c r="A269" s="317" t="s">
        <v>311</v>
      </c>
      <c r="B269" s="306" t="s">
        <v>3103</v>
      </c>
      <c r="C269" s="318"/>
      <c r="D269" s="318"/>
      <c r="E269" s="318"/>
      <c r="F269" s="307">
        <v>0.05</v>
      </c>
      <c r="G269" s="324"/>
    </row>
    <row r="270" spans="1:7">
      <c r="A270" s="317" t="s">
        <v>311</v>
      </c>
      <c r="B270" s="306" t="s">
        <v>3104</v>
      </c>
      <c r="C270" s="318"/>
      <c r="D270" s="318"/>
      <c r="E270" s="318"/>
      <c r="F270" s="307">
        <v>0.05</v>
      </c>
      <c r="G270" s="324"/>
    </row>
    <row r="271" spans="1:7">
      <c r="A271" s="317" t="s">
        <v>311</v>
      </c>
      <c r="B271" s="306" t="s">
        <v>3105</v>
      </c>
      <c r="C271" s="318"/>
      <c r="D271" s="318"/>
      <c r="E271" s="318"/>
      <c r="F271" s="307">
        <v>0.05</v>
      </c>
      <c r="G271" s="324"/>
    </row>
    <row r="272" spans="1:7">
      <c r="A272" s="317" t="s">
        <v>311</v>
      </c>
      <c r="B272" s="306" t="s">
        <v>3106</v>
      </c>
      <c r="C272" s="318"/>
      <c r="D272" s="318"/>
      <c r="E272" s="318"/>
      <c r="F272" s="307">
        <v>0.05</v>
      </c>
      <c r="G272" s="324"/>
    </row>
    <row r="273" spans="1:7">
      <c r="A273" s="317" t="s">
        <v>311</v>
      </c>
      <c r="B273" s="306" t="s">
        <v>3107</v>
      </c>
      <c r="C273" s="318"/>
      <c r="D273" s="318"/>
      <c r="E273" s="318"/>
      <c r="F273" s="307">
        <v>0.05</v>
      </c>
      <c r="G273" s="324"/>
    </row>
    <row r="274" spans="1:7">
      <c r="A274" s="317" t="s">
        <v>311</v>
      </c>
      <c r="B274" s="306" t="s">
        <v>3108</v>
      </c>
      <c r="C274" s="318"/>
      <c r="D274" s="318"/>
      <c r="E274" s="318"/>
      <c r="F274" s="307">
        <v>0.05</v>
      </c>
      <c r="G274" s="324"/>
    </row>
    <row r="275" spans="1:7">
      <c r="A275" s="317" t="s">
        <v>311</v>
      </c>
      <c r="B275" s="306" t="s">
        <v>3109</v>
      </c>
      <c r="C275" s="318"/>
      <c r="D275" s="318"/>
      <c r="E275" s="318"/>
      <c r="F275" s="307">
        <v>0.05</v>
      </c>
      <c r="G275" s="324"/>
    </row>
    <row r="276" spans="1:7">
      <c r="A276" s="320" t="s">
        <v>311</v>
      </c>
      <c r="B276" s="310" t="s">
        <v>3110</v>
      </c>
      <c r="C276" s="312"/>
      <c r="D276" s="312"/>
      <c r="E276" s="312"/>
      <c r="F276" s="311">
        <v>0.05</v>
      </c>
      <c r="G276" s="325"/>
    </row>
    <row r="277" spans="1:7">
      <c r="A277" s="316" t="s">
        <v>318</v>
      </c>
      <c r="B277" s="302" t="s">
        <v>3111</v>
      </c>
      <c r="C277" s="303">
        <v>0.15</v>
      </c>
      <c r="D277" s="303">
        <v>0.15</v>
      </c>
      <c r="E277" s="303">
        <v>0.15</v>
      </c>
      <c r="F277" s="303">
        <v>0.15</v>
      </c>
      <c r="G277" s="304">
        <v>0.15</v>
      </c>
    </row>
    <row r="278" spans="1:7">
      <c r="A278" s="317" t="s">
        <v>318</v>
      </c>
      <c r="B278" s="306" t="s">
        <v>3112</v>
      </c>
      <c r="C278" s="307">
        <v>0.15</v>
      </c>
      <c r="D278" s="307">
        <v>0.15</v>
      </c>
      <c r="E278" s="307">
        <v>0.15</v>
      </c>
      <c r="F278" s="307">
        <v>0.15</v>
      </c>
      <c r="G278" s="308">
        <v>0.15</v>
      </c>
    </row>
    <row r="279" spans="1:7">
      <c r="A279" s="317" t="s">
        <v>318</v>
      </c>
      <c r="B279" s="306" t="s">
        <v>3113</v>
      </c>
      <c r="C279" s="307">
        <v>0.15</v>
      </c>
      <c r="D279" s="307">
        <v>0.15</v>
      </c>
      <c r="E279" s="307">
        <v>0.15</v>
      </c>
      <c r="F279" s="307">
        <v>0.15</v>
      </c>
      <c r="G279" s="308">
        <v>0.15</v>
      </c>
    </row>
    <row r="280" spans="1:7">
      <c r="A280" s="317" t="s">
        <v>318</v>
      </c>
      <c r="B280" s="306" t="s">
        <v>3114</v>
      </c>
      <c r="C280" s="307">
        <v>0.15</v>
      </c>
      <c r="D280" s="307">
        <v>0.15</v>
      </c>
      <c r="E280" s="307">
        <v>0.15</v>
      </c>
      <c r="F280" s="307">
        <v>0.15</v>
      </c>
      <c r="G280" s="308">
        <v>0.15</v>
      </c>
    </row>
    <row r="281" spans="1:7">
      <c r="A281" s="317" t="s">
        <v>318</v>
      </c>
      <c r="B281" s="306" t="s">
        <v>3115</v>
      </c>
      <c r="C281" s="307">
        <v>0.15</v>
      </c>
      <c r="D281" s="307">
        <v>0.15</v>
      </c>
      <c r="E281" s="307">
        <v>0.15</v>
      </c>
      <c r="F281" s="307">
        <v>0.15</v>
      </c>
      <c r="G281" s="308">
        <v>0.15</v>
      </c>
    </row>
    <row r="282" spans="1:7">
      <c r="A282" s="317" t="s">
        <v>318</v>
      </c>
      <c r="B282" s="306" t="s">
        <v>3116</v>
      </c>
      <c r="C282" s="307">
        <v>0.15</v>
      </c>
      <c r="D282" s="307">
        <v>0.15</v>
      </c>
      <c r="E282" s="307">
        <v>0.15</v>
      </c>
      <c r="F282" s="307">
        <v>0.14499999999999999</v>
      </c>
      <c r="G282" s="308">
        <v>0.15</v>
      </c>
    </row>
    <row r="283" spans="1:7">
      <c r="A283" s="317" t="s">
        <v>318</v>
      </c>
      <c r="B283" s="306" t="s">
        <v>3117</v>
      </c>
      <c r="C283" s="307">
        <v>0.15</v>
      </c>
      <c r="D283" s="307">
        <v>0.15</v>
      </c>
      <c r="E283" s="307">
        <v>0.15</v>
      </c>
      <c r="F283" s="307">
        <v>0.14199999999999999</v>
      </c>
      <c r="G283" s="308">
        <v>0.15</v>
      </c>
    </row>
    <row r="284" spans="1:7">
      <c r="A284" s="317" t="s">
        <v>318</v>
      </c>
      <c r="B284" s="306" t="s">
        <v>3118</v>
      </c>
      <c r="C284" s="307">
        <v>0.15</v>
      </c>
      <c r="D284" s="307">
        <v>0.15</v>
      </c>
      <c r="E284" s="307">
        <v>0.15</v>
      </c>
      <c r="F284" s="307">
        <v>0.15</v>
      </c>
      <c r="G284" s="308">
        <v>0.15</v>
      </c>
    </row>
    <row r="285" spans="1:7">
      <c r="A285" s="317" t="s">
        <v>318</v>
      </c>
      <c r="B285" s="306" t="s">
        <v>3119</v>
      </c>
      <c r="C285" s="307">
        <v>0.15</v>
      </c>
      <c r="D285" s="307">
        <v>0.15</v>
      </c>
      <c r="E285" s="307">
        <v>0.15</v>
      </c>
      <c r="F285" s="307">
        <v>0.15</v>
      </c>
      <c r="G285" s="308">
        <v>0.15</v>
      </c>
    </row>
    <row r="286" spans="1:7">
      <c r="A286" s="317" t="s">
        <v>318</v>
      </c>
      <c r="B286" s="306" t="s">
        <v>3120</v>
      </c>
      <c r="C286" s="307">
        <v>0.14499999999999999</v>
      </c>
      <c r="D286" s="307">
        <v>0.14499999999999999</v>
      </c>
      <c r="E286" s="307">
        <v>0.15</v>
      </c>
      <c r="F286" s="307">
        <v>0.14099999999999999</v>
      </c>
      <c r="G286" s="308">
        <v>0.14499999999999999</v>
      </c>
    </row>
    <row r="287" spans="1:7">
      <c r="A287" s="317" t="s">
        <v>318</v>
      </c>
      <c r="B287" s="306" t="s">
        <v>3121</v>
      </c>
      <c r="C287" s="307">
        <v>0.11</v>
      </c>
      <c r="D287" s="307">
        <v>0.111</v>
      </c>
      <c r="E287" s="307">
        <v>0.14099999999999999</v>
      </c>
      <c r="F287" s="307">
        <v>0.11</v>
      </c>
      <c r="G287" s="308">
        <v>0.12</v>
      </c>
    </row>
    <row r="288" spans="1:7">
      <c r="A288" s="317" t="s">
        <v>318</v>
      </c>
      <c r="B288" s="306" t="s">
        <v>3122</v>
      </c>
      <c r="C288" s="307">
        <v>0.14199999999999999</v>
      </c>
      <c r="D288" s="307">
        <v>0.14299999999999999</v>
      </c>
      <c r="E288" s="307">
        <v>0.15</v>
      </c>
      <c r="F288" s="307">
        <v>0.14199999999999999</v>
      </c>
      <c r="G288" s="308">
        <v>0.14399999999999999</v>
      </c>
    </row>
    <row r="289" spans="1:7">
      <c r="A289" s="317" t="s">
        <v>318</v>
      </c>
      <c r="B289" s="306" t="s">
        <v>3123</v>
      </c>
      <c r="C289" s="307">
        <v>0.14299999999999999</v>
      </c>
      <c r="D289" s="307">
        <v>0.14299999999999999</v>
      </c>
      <c r="E289" s="307">
        <v>0.14799999999999999</v>
      </c>
      <c r="F289" s="307">
        <v>0.14399999999999999</v>
      </c>
      <c r="G289" s="308">
        <v>0.14399999999999999</v>
      </c>
    </row>
    <row r="290" spans="1:7">
      <c r="A290" s="317" t="s">
        <v>318</v>
      </c>
      <c r="B290" s="306" t="s">
        <v>3124</v>
      </c>
      <c r="C290" s="307">
        <v>0.14799999999999999</v>
      </c>
      <c r="D290" s="307">
        <v>0.14899999999999999</v>
      </c>
      <c r="E290" s="307">
        <v>0.15</v>
      </c>
      <c r="F290" s="307">
        <v>0.127</v>
      </c>
      <c r="G290" s="308">
        <v>0.15</v>
      </c>
    </row>
    <row r="291" spans="1:7">
      <c r="A291" s="317" t="s">
        <v>318</v>
      </c>
      <c r="B291" s="306" t="s">
        <v>3125</v>
      </c>
      <c r="C291" s="307">
        <v>0.15</v>
      </c>
      <c r="D291" s="307">
        <v>0.15</v>
      </c>
      <c r="E291" s="307">
        <v>0.15</v>
      </c>
      <c r="F291" s="307">
        <v>0.14899999999999999</v>
      </c>
      <c r="G291" s="308">
        <v>0.15</v>
      </c>
    </row>
    <row r="292" spans="1:7">
      <c r="A292" s="317" t="s">
        <v>318</v>
      </c>
      <c r="B292" s="306" t="s">
        <v>3126</v>
      </c>
      <c r="C292" s="307">
        <v>0.15</v>
      </c>
      <c r="D292" s="307">
        <v>0.15</v>
      </c>
      <c r="E292" s="307">
        <v>0.15</v>
      </c>
      <c r="F292" s="307">
        <v>0.14399999999999999</v>
      </c>
      <c r="G292" s="308">
        <v>0.15</v>
      </c>
    </row>
    <row r="293" spans="1:7">
      <c r="A293" s="317" t="s">
        <v>318</v>
      </c>
      <c r="B293" s="306" t="s">
        <v>3127</v>
      </c>
      <c r="C293" s="307">
        <v>0.15</v>
      </c>
      <c r="D293" s="307">
        <v>0.15</v>
      </c>
      <c r="E293" s="307">
        <v>0.15</v>
      </c>
      <c r="F293" s="307">
        <v>0.14499999999999999</v>
      </c>
      <c r="G293" s="308">
        <v>0.15</v>
      </c>
    </row>
    <row r="294" spans="1:7">
      <c r="A294" s="317" t="s">
        <v>318</v>
      </c>
      <c r="B294" s="306" t="s">
        <v>3128</v>
      </c>
      <c r="C294" s="307">
        <v>0.15</v>
      </c>
      <c r="D294" s="307">
        <v>0.15</v>
      </c>
      <c r="E294" s="307">
        <v>0.15</v>
      </c>
      <c r="F294" s="307">
        <v>0.14899999999999999</v>
      </c>
      <c r="G294" s="308">
        <v>0.15</v>
      </c>
    </row>
    <row r="295" spans="1:7">
      <c r="A295" s="317" t="s">
        <v>318</v>
      </c>
      <c r="B295" s="306" t="s">
        <v>3129</v>
      </c>
      <c r="C295" s="307">
        <v>0.15</v>
      </c>
      <c r="D295" s="307">
        <v>0.15</v>
      </c>
      <c r="E295" s="307">
        <v>0.15</v>
      </c>
      <c r="F295" s="307">
        <v>0.14799999999999999</v>
      </c>
      <c r="G295" s="308">
        <v>0.15</v>
      </c>
    </row>
    <row r="296" spans="1:7">
      <c r="A296" s="317" t="s">
        <v>318</v>
      </c>
      <c r="B296" s="306" t="s">
        <v>3130</v>
      </c>
      <c r="C296" s="307">
        <v>0.15</v>
      </c>
      <c r="D296" s="307">
        <v>0.15</v>
      </c>
      <c r="E296" s="307">
        <v>0.15</v>
      </c>
      <c r="F296" s="307">
        <v>0.14399999999999999</v>
      </c>
      <c r="G296" s="308">
        <v>0.15</v>
      </c>
    </row>
    <row r="297" spans="1:7">
      <c r="A297" s="317" t="s">
        <v>318</v>
      </c>
      <c r="B297" s="306" t="s">
        <v>3131</v>
      </c>
      <c r="C297" s="307">
        <v>0.15</v>
      </c>
      <c r="D297" s="307">
        <v>0.15</v>
      </c>
      <c r="E297" s="307">
        <v>0.15</v>
      </c>
      <c r="F297" s="307">
        <v>0.14499999999999999</v>
      </c>
      <c r="G297" s="308">
        <v>0.15</v>
      </c>
    </row>
    <row r="298" spans="1:7">
      <c r="A298" s="317" t="s">
        <v>318</v>
      </c>
      <c r="B298" s="306" t="s">
        <v>3132</v>
      </c>
      <c r="C298" s="307">
        <v>0.15</v>
      </c>
      <c r="D298" s="307">
        <v>0.15</v>
      </c>
      <c r="E298" s="307">
        <v>0.15</v>
      </c>
      <c r="F298" s="307">
        <v>0.15</v>
      </c>
      <c r="G298" s="308">
        <v>0.15</v>
      </c>
    </row>
    <row r="299" spans="1:7">
      <c r="A299" s="317" t="s">
        <v>318</v>
      </c>
      <c r="B299" s="326" t="s">
        <v>3133</v>
      </c>
      <c r="C299" s="307">
        <v>0.15</v>
      </c>
      <c r="D299" s="307">
        <v>0.15</v>
      </c>
      <c r="E299" s="307">
        <v>0.15</v>
      </c>
      <c r="F299" s="307">
        <v>0.14499999999999999</v>
      </c>
      <c r="G299" s="308">
        <v>0.15</v>
      </c>
    </row>
    <row r="300" spans="1:7">
      <c r="A300" s="317" t="s">
        <v>318</v>
      </c>
      <c r="B300" s="326" t="s">
        <v>3134</v>
      </c>
      <c r="C300" s="307">
        <v>0.15</v>
      </c>
      <c r="D300" s="307">
        <v>0.15</v>
      </c>
      <c r="E300" s="307">
        <v>0.15</v>
      </c>
      <c r="F300" s="307">
        <v>0.14599999999999999</v>
      </c>
      <c r="G300" s="308">
        <v>0.15</v>
      </c>
    </row>
    <row r="301" spans="1:7">
      <c r="A301" s="317" t="s">
        <v>318</v>
      </c>
      <c r="B301" s="326" t="s">
        <v>3135</v>
      </c>
      <c r="C301" s="307">
        <v>0.126</v>
      </c>
      <c r="D301" s="307">
        <v>0.124</v>
      </c>
      <c r="E301" s="307">
        <v>0.14099999999999999</v>
      </c>
      <c r="F301" s="307">
        <v>0.14399999999999999</v>
      </c>
      <c r="G301" s="308">
        <v>0.13</v>
      </c>
    </row>
    <row r="302" spans="1:7">
      <c r="A302" s="317" t="s">
        <v>318</v>
      </c>
      <c r="B302" s="306" t="s">
        <v>3136</v>
      </c>
      <c r="C302" s="307">
        <v>0.15</v>
      </c>
      <c r="D302" s="307">
        <v>0.15</v>
      </c>
      <c r="E302" s="307">
        <v>0.15</v>
      </c>
      <c r="F302" s="307">
        <v>0.14699999999999999</v>
      </c>
      <c r="G302" s="308">
        <v>0.15</v>
      </c>
    </row>
    <row r="303" spans="1:7">
      <c r="A303" s="317" t="s">
        <v>318</v>
      </c>
      <c r="B303" s="306" t="s">
        <v>3137</v>
      </c>
      <c r="C303" s="307">
        <v>0.15</v>
      </c>
      <c r="D303" s="307">
        <v>0.15</v>
      </c>
      <c r="E303" s="307">
        <v>0.15</v>
      </c>
      <c r="F303" s="307">
        <v>0.14199999999999999</v>
      </c>
      <c r="G303" s="308">
        <v>0.15</v>
      </c>
    </row>
    <row r="304" spans="1:7">
      <c r="A304" s="317" t="s">
        <v>318</v>
      </c>
      <c r="B304" s="306" t="s">
        <v>3138</v>
      </c>
      <c r="C304" s="307">
        <v>0.15</v>
      </c>
      <c r="D304" s="307">
        <v>0.15</v>
      </c>
      <c r="E304" s="307">
        <v>0.15</v>
      </c>
      <c r="F304" s="307">
        <v>0.14499999999999999</v>
      </c>
      <c r="G304" s="308">
        <v>0.15</v>
      </c>
    </row>
    <row r="305" spans="1:7">
      <c r="A305" s="317" t="s">
        <v>318</v>
      </c>
      <c r="B305" s="306" t="s">
        <v>3139</v>
      </c>
      <c r="C305" s="307">
        <v>0.15</v>
      </c>
      <c r="D305" s="307">
        <v>0.15</v>
      </c>
      <c r="E305" s="307">
        <v>0.15</v>
      </c>
      <c r="F305" s="307">
        <v>0.111</v>
      </c>
      <c r="G305" s="308">
        <v>0.15</v>
      </c>
    </row>
    <row r="306" spans="1:7">
      <c r="A306" s="317" t="s">
        <v>318</v>
      </c>
      <c r="B306" s="306" t="s">
        <v>3140</v>
      </c>
      <c r="C306" s="307">
        <v>0.15</v>
      </c>
      <c r="D306" s="307">
        <v>0.15</v>
      </c>
      <c r="E306" s="307">
        <v>0.15</v>
      </c>
      <c r="F306" s="307">
        <v>0.126</v>
      </c>
      <c r="G306" s="308">
        <v>0.15</v>
      </c>
    </row>
    <row r="307" spans="1:7">
      <c r="A307" s="317" t="s">
        <v>318</v>
      </c>
      <c r="B307" s="306" t="s">
        <v>3141</v>
      </c>
      <c r="C307" s="307">
        <v>0.15</v>
      </c>
      <c r="D307" s="307">
        <v>0.15</v>
      </c>
      <c r="E307" s="307">
        <v>0.15</v>
      </c>
      <c r="F307" s="307">
        <v>0.12</v>
      </c>
      <c r="G307" s="308">
        <v>0.15</v>
      </c>
    </row>
    <row r="308" spans="1:7">
      <c r="A308" s="317" t="s">
        <v>318</v>
      </c>
      <c r="B308" s="306" t="s">
        <v>3142</v>
      </c>
      <c r="C308" s="307">
        <v>0.15</v>
      </c>
      <c r="D308" s="307">
        <v>0.15</v>
      </c>
      <c r="E308" s="307">
        <v>0.15</v>
      </c>
      <c r="F308" s="307">
        <v>0.13</v>
      </c>
      <c r="G308" s="308">
        <v>0.15</v>
      </c>
    </row>
    <row r="309" spans="1:7">
      <c r="A309" s="317" t="s">
        <v>318</v>
      </c>
      <c r="B309" s="306" t="s">
        <v>3143</v>
      </c>
      <c r="C309" s="307">
        <v>0.15</v>
      </c>
      <c r="D309" s="307">
        <v>0.15</v>
      </c>
      <c r="E309" s="307">
        <v>0.15</v>
      </c>
      <c r="F309" s="307">
        <v>0.14099999999999999</v>
      </c>
      <c r="G309" s="308">
        <v>0.15</v>
      </c>
    </row>
    <row r="310" spans="1:7">
      <c r="A310" s="317" t="s">
        <v>318</v>
      </c>
      <c r="B310" s="306" t="s">
        <v>3144</v>
      </c>
      <c r="C310" s="307">
        <v>0.15</v>
      </c>
      <c r="D310" s="307">
        <v>0.15</v>
      </c>
      <c r="E310" s="307">
        <v>0.15</v>
      </c>
      <c r="F310" s="307">
        <v>0.15</v>
      </c>
      <c r="G310" s="308">
        <v>0.15</v>
      </c>
    </row>
    <row r="311" spans="1:7">
      <c r="A311" s="317" t="s">
        <v>318</v>
      </c>
      <c r="B311" s="306" t="s">
        <v>3145</v>
      </c>
      <c r="C311" s="307">
        <v>0.13200000000000001</v>
      </c>
      <c r="D311" s="307">
        <v>0.13300000000000001</v>
      </c>
      <c r="E311" s="307">
        <v>0.14499999999999999</v>
      </c>
      <c r="F311" s="307">
        <v>0.14199999999999999</v>
      </c>
      <c r="G311" s="308">
        <v>0.14000000000000001</v>
      </c>
    </row>
    <row r="312" spans="1:7">
      <c r="A312" s="317" t="s">
        <v>318</v>
      </c>
      <c r="B312" s="306" t="s">
        <v>3146</v>
      </c>
      <c r="C312" s="307">
        <v>0.13800000000000001</v>
      </c>
      <c r="D312" s="307">
        <v>0.14000000000000001</v>
      </c>
      <c r="E312" s="307">
        <v>0.14599999999999999</v>
      </c>
      <c r="F312" s="307">
        <v>0.14899999999999999</v>
      </c>
      <c r="G312" s="308">
        <v>0.14199999999999999</v>
      </c>
    </row>
    <row r="313" spans="1:7">
      <c r="A313" s="317" t="s">
        <v>318</v>
      </c>
      <c r="B313" s="306" t="s">
        <v>3147</v>
      </c>
      <c r="C313" s="307">
        <v>0.125</v>
      </c>
      <c r="D313" s="307">
        <v>0.127</v>
      </c>
      <c r="E313" s="307">
        <v>0.14399999999999999</v>
      </c>
      <c r="F313" s="307">
        <v>0.115</v>
      </c>
      <c r="G313" s="308">
        <v>0.13600000000000001</v>
      </c>
    </row>
    <row r="314" spans="1:7">
      <c r="A314" s="317" t="s">
        <v>318</v>
      </c>
      <c r="B314" s="306" t="s">
        <v>3148</v>
      </c>
      <c r="C314" s="323"/>
      <c r="D314" s="323"/>
      <c r="E314" s="323"/>
      <c r="F314" s="307">
        <v>0.05</v>
      </c>
      <c r="G314" s="324"/>
    </row>
    <row r="315" spans="1:7">
      <c r="A315" s="317" t="s">
        <v>318</v>
      </c>
      <c r="B315" s="306" t="s">
        <v>3149</v>
      </c>
      <c r="C315" s="323"/>
      <c r="D315" s="323"/>
      <c r="E315" s="323"/>
      <c r="F315" s="307">
        <v>0.05</v>
      </c>
      <c r="G315" s="324"/>
    </row>
    <row r="316" spans="1:7">
      <c r="A316" s="317" t="s">
        <v>318</v>
      </c>
      <c r="B316" s="306" t="s">
        <v>3150</v>
      </c>
      <c r="C316" s="318"/>
      <c r="D316" s="318"/>
      <c r="E316" s="318"/>
      <c r="F316" s="307">
        <v>0.05</v>
      </c>
      <c r="G316" s="324"/>
    </row>
    <row r="317" spans="1:7">
      <c r="A317" s="317" t="s">
        <v>318</v>
      </c>
      <c r="B317" s="306" t="s">
        <v>3151</v>
      </c>
      <c r="C317" s="318"/>
      <c r="D317" s="318"/>
      <c r="E317" s="318"/>
      <c r="F317" s="307">
        <v>0.05</v>
      </c>
      <c r="G317" s="324"/>
    </row>
    <row r="318" spans="1:7">
      <c r="A318" s="317" t="s">
        <v>318</v>
      </c>
      <c r="B318" s="306" t="s">
        <v>3152</v>
      </c>
      <c r="C318" s="318"/>
      <c r="D318" s="318"/>
      <c r="E318" s="318"/>
      <c r="F318" s="307">
        <v>0.05</v>
      </c>
      <c r="G318" s="324"/>
    </row>
    <row r="319" spans="1:7">
      <c r="A319" s="317" t="s">
        <v>318</v>
      </c>
      <c r="B319" s="306" t="s">
        <v>3153</v>
      </c>
      <c r="C319" s="318"/>
      <c r="D319" s="318"/>
      <c r="E319" s="318"/>
      <c r="F319" s="307">
        <v>0.05</v>
      </c>
      <c r="G319" s="324"/>
    </row>
    <row r="320" spans="1:7">
      <c r="A320" s="317" t="s">
        <v>318</v>
      </c>
      <c r="B320" s="306" t="s">
        <v>3154</v>
      </c>
      <c r="C320" s="318"/>
      <c r="D320" s="318"/>
      <c r="E320" s="318"/>
      <c r="F320" s="307">
        <v>0.05</v>
      </c>
      <c r="G320" s="324"/>
    </row>
    <row r="321" spans="1:7">
      <c r="A321" s="317" t="s">
        <v>318</v>
      </c>
      <c r="B321" s="306" t="s">
        <v>3155</v>
      </c>
      <c r="C321" s="318"/>
      <c r="D321" s="318"/>
      <c r="E321" s="318"/>
      <c r="F321" s="307">
        <v>0.05</v>
      </c>
      <c r="G321" s="324"/>
    </row>
    <row r="322" spans="1:7">
      <c r="A322" s="317" t="s">
        <v>318</v>
      </c>
      <c r="B322" s="306" t="s">
        <v>3156</v>
      </c>
      <c r="C322" s="318"/>
      <c r="D322" s="318"/>
      <c r="E322" s="318"/>
      <c r="F322" s="307">
        <v>0.05</v>
      </c>
      <c r="G322" s="324"/>
    </row>
    <row r="323" spans="1:7">
      <c r="A323" s="317" t="s">
        <v>318</v>
      </c>
      <c r="B323" s="306" t="s">
        <v>3157</v>
      </c>
      <c r="C323" s="318"/>
      <c r="D323" s="318"/>
      <c r="E323" s="318"/>
      <c r="F323" s="307">
        <v>0.05</v>
      </c>
      <c r="G323" s="324"/>
    </row>
    <row r="324" spans="1:7">
      <c r="A324" s="317" t="s">
        <v>318</v>
      </c>
      <c r="B324" s="306" t="s">
        <v>3158</v>
      </c>
      <c r="C324" s="318"/>
      <c r="D324" s="318"/>
      <c r="E324" s="318"/>
      <c r="F324" s="307">
        <v>0.05</v>
      </c>
      <c r="G324" s="324"/>
    </row>
    <row r="325" spans="1:7">
      <c r="A325" s="317" t="s">
        <v>318</v>
      </c>
      <c r="B325" s="306" t="s">
        <v>3159</v>
      </c>
      <c r="C325" s="318"/>
      <c r="D325" s="318"/>
      <c r="E325" s="318"/>
      <c r="F325" s="307">
        <v>0.05</v>
      </c>
      <c r="G325" s="324"/>
    </row>
    <row r="326" spans="1:7">
      <c r="A326" s="320" t="s">
        <v>318</v>
      </c>
      <c r="B326" s="310" t="s">
        <v>3160</v>
      </c>
      <c r="C326" s="312"/>
      <c r="D326" s="312"/>
      <c r="E326" s="312"/>
      <c r="F326" s="311">
        <v>0.05</v>
      </c>
      <c r="G326" s="325"/>
    </row>
    <row r="327" spans="1:7">
      <c r="A327" s="316" t="s">
        <v>324</v>
      </c>
      <c r="B327" s="302" t="s">
        <v>3161</v>
      </c>
      <c r="C327" s="303">
        <v>0.15</v>
      </c>
      <c r="D327" s="303">
        <v>0.15</v>
      </c>
      <c r="E327" s="303">
        <v>0.15</v>
      </c>
      <c r="F327" s="303">
        <v>0.15</v>
      </c>
      <c r="G327" s="304">
        <v>0.15</v>
      </c>
    </row>
    <row r="328" spans="1:7">
      <c r="A328" s="317" t="s">
        <v>324</v>
      </c>
      <c r="B328" s="306" t="s">
        <v>3162</v>
      </c>
      <c r="C328" s="307">
        <v>0.15</v>
      </c>
      <c r="D328" s="307">
        <v>0.15</v>
      </c>
      <c r="E328" s="307">
        <v>0.15</v>
      </c>
      <c r="F328" s="307">
        <v>0.126</v>
      </c>
      <c r="G328" s="308">
        <v>0.15</v>
      </c>
    </row>
    <row r="329" spans="1:7">
      <c r="A329" s="317" t="s">
        <v>324</v>
      </c>
      <c r="B329" s="306" t="s">
        <v>3163</v>
      </c>
      <c r="C329" s="307">
        <v>0.15</v>
      </c>
      <c r="D329" s="307">
        <v>0.15</v>
      </c>
      <c r="E329" s="307">
        <v>0.15</v>
      </c>
      <c r="F329" s="307">
        <v>0.15</v>
      </c>
      <c r="G329" s="308">
        <v>0.15</v>
      </c>
    </row>
    <row r="330" spans="1:7">
      <c r="A330" s="317" t="s">
        <v>324</v>
      </c>
      <c r="B330" s="306" t="s">
        <v>3164</v>
      </c>
      <c r="C330" s="307">
        <v>0.15</v>
      </c>
      <c r="D330" s="307">
        <v>0.15</v>
      </c>
      <c r="E330" s="307">
        <v>0.15</v>
      </c>
      <c r="F330" s="307">
        <v>0.15</v>
      </c>
      <c r="G330" s="308">
        <v>0.15</v>
      </c>
    </row>
    <row r="331" spans="1:7">
      <c r="A331" s="317" t="s">
        <v>324</v>
      </c>
      <c r="B331" s="306" t="s">
        <v>3165</v>
      </c>
      <c r="C331" s="307">
        <v>0.15</v>
      </c>
      <c r="D331" s="307">
        <v>0.15</v>
      </c>
      <c r="E331" s="307">
        <v>0.15</v>
      </c>
      <c r="F331" s="307">
        <v>0.15</v>
      </c>
      <c r="G331" s="308">
        <v>0.15</v>
      </c>
    </row>
    <row r="332" spans="1:7">
      <c r="A332" s="317" t="s">
        <v>324</v>
      </c>
      <c r="B332" s="306" t="s">
        <v>3166</v>
      </c>
      <c r="C332" s="307">
        <v>0.15</v>
      </c>
      <c r="D332" s="307">
        <v>0.15</v>
      </c>
      <c r="E332" s="307">
        <v>0.15</v>
      </c>
      <c r="F332" s="307">
        <v>0.15</v>
      </c>
      <c r="G332" s="308">
        <v>0.15</v>
      </c>
    </row>
    <row r="333" spans="1:7">
      <c r="A333" s="317" t="s">
        <v>324</v>
      </c>
      <c r="B333" s="306" t="s">
        <v>3167</v>
      </c>
      <c r="C333" s="307">
        <v>0.14899999999999999</v>
      </c>
      <c r="D333" s="307">
        <v>0.14899999999999999</v>
      </c>
      <c r="E333" s="307">
        <v>0.15</v>
      </c>
      <c r="F333" s="307">
        <v>0.11600000000000001</v>
      </c>
      <c r="G333" s="308">
        <v>0.15</v>
      </c>
    </row>
    <row r="334" spans="1:7">
      <c r="A334" s="317" t="s">
        <v>324</v>
      </c>
      <c r="B334" s="306" t="s">
        <v>3168</v>
      </c>
      <c r="C334" s="307">
        <v>0.15</v>
      </c>
      <c r="D334" s="307">
        <v>0.15</v>
      </c>
      <c r="E334" s="307">
        <v>0.15</v>
      </c>
      <c r="F334" s="307">
        <v>0.13</v>
      </c>
      <c r="G334" s="308">
        <v>0.15</v>
      </c>
    </row>
    <row r="335" spans="1:7">
      <c r="A335" s="317" t="s">
        <v>324</v>
      </c>
      <c r="B335" s="306" t="s">
        <v>3169</v>
      </c>
      <c r="C335" s="307">
        <v>0.15</v>
      </c>
      <c r="D335" s="307">
        <v>0.15</v>
      </c>
      <c r="E335" s="307">
        <v>0.15</v>
      </c>
      <c r="F335" s="307">
        <v>0.14399999999999999</v>
      </c>
      <c r="G335" s="308">
        <v>0.15</v>
      </c>
    </row>
    <row r="336" spans="1:7">
      <c r="A336" s="317" t="s">
        <v>324</v>
      </c>
      <c r="B336" s="306" t="s">
        <v>3170</v>
      </c>
      <c r="C336" s="307">
        <v>0.15</v>
      </c>
      <c r="D336" s="307">
        <v>0.15</v>
      </c>
      <c r="E336" s="307">
        <v>0.15</v>
      </c>
      <c r="F336" s="307">
        <v>0.14199999999999999</v>
      </c>
      <c r="G336" s="308">
        <v>0.15</v>
      </c>
    </row>
    <row r="337" spans="1:7">
      <c r="A337" s="317" t="s">
        <v>324</v>
      </c>
      <c r="B337" s="306" t="s">
        <v>3171</v>
      </c>
      <c r="C337" s="307">
        <v>0.15</v>
      </c>
      <c r="D337" s="307">
        <v>0.15</v>
      </c>
      <c r="E337" s="307">
        <v>0.15</v>
      </c>
      <c r="F337" s="307">
        <v>0.14499999999999999</v>
      </c>
      <c r="G337" s="308">
        <v>0.15</v>
      </c>
    </row>
    <row r="338" spans="1:7">
      <c r="A338" s="317" t="s">
        <v>324</v>
      </c>
      <c r="B338" s="306" t="s">
        <v>3172</v>
      </c>
      <c r="C338" s="307">
        <v>0.15</v>
      </c>
      <c r="D338" s="307">
        <v>0.15</v>
      </c>
      <c r="E338" s="307">
        <v>0.15</v>
      </c>
      <c r="F338" s="307">
        <v>0.15</v>
      </c>
      <c r="G338" s="308">
        <v>0.15</v>
      </c>
    </row>
    <row r="339" spans="1:7">
      <c r="A339" s="317" t="s">
        <v>324</v>
      </c>
      <c r="B339" s="306" t="s">
        <v>3173</v>
      </c>
      <c r="C339" s="307">
        <v>0.15</v>
      </c>
      <c r="D339" s="307">
        <v>0.15</v>
      </c>
      <c r="E339" s="307">
        <v>0.15</v>
      </c>
      <c r="F339" s="307">
        <v>0.14699999999999999</v>
      </c>
      <c r="G339" s="308">
        <v>0.15</v>
      </c>
    </row>
    <row r="340" spans="1:7">
      <c r="A340" s="317" t="s">
        <v>324</v>
      </c>
      <c r="B340" s="306" t="s">
        <v>3174</v>
      </c>
      <c r="C340" s="307">
        <v>0.14599999999999999</v>
      </c>
      <c r="D340" s="307">
        <v>0.14599999999999999</v>
      </c>
      <c r="E340" s="307">
        <v>0.15</v>
      </c>
      <c r="F340" s="307">
        <v>0.14099999999999999</v>
      </c>
      <c r="G340" s="308">
        <v>0.14699999999999999</v>
      </c>
    </row>
    <row r="341" spans="1:7">
      <c r="A341" s="317" t="s">
        <v>324</v>
      </c>
      <c r="B341" s="306" t="s">
        <v>3175</v>
      </c>
      <c r="C341" s="307">
        <v>0.126</v>
      </c>
      <c r="D341" s="307">
        <v>0.124</v>
      </c>
      <c r="E341" s="307">
        <v>0.14099999999999999</v>
      </c>
      <c r="F341" s="307">
        <v>0.14399999999999999</v>
      </c>
      <c r="G341" s="308">
        <v>0.13</v>
      </c>
    </row>
    <row r="342" spans="1:7">
      <c r="A342" s="317" t="s">
        <v>324</v>
      </c>
      <c r="B342" s="306" t="s">
        <v>3176</v>
      </c>
      <c r="C342" s="307">
        <v>0.15</v>
      </c>
      <c r="D342" s="307">
        <v>0.15</v>
      </c>
      <c r="E342" s="307">
        <v>0.15</v>
      </c>
      <c r="F342" s="307">
        <v>0.14399999999999999</v>
      </c>
      <c r="G342" s="308">
        <v>0.15</v>
      </c>
    </row>
    <row r="343" spans="1:7">
      <c r="A343" s="317" t="s">
        <v>324</v>
      </c>
      <c r="B343" s="306" t="s">
        <v>3177</v>
      </c>
      <c r="C343" s="307">
        <v>0.15</v>
      </c>
      <c r="D343" s="307">
        <v>0.15</v>
      </c>
      <c r="E343" s="307">
        <v>0.15</v>
      </c>
      <c r="F343" s="307">
        <v>0.128</v>
      </c>
      <c r="G343" s="308">
        <v>0.15</v>
      </c>
    </row>
    <row r="344" spans="1:7">
      <c r="A344" s="317" t="s">
        <v>324</v>
      </c>
      <c r="B344" s="306" t="s">
        <v>3178</v>
      </c>
      <c r="C344" s="307">
        <v>0.15</v>
      </c>
      <c r="D344" s="307">
        <v>0.15</v>
      </c>
      <c r="E344" s="307">
        <v>0.15</v>
      </c>
      <c r="F344" s="307">
        <v>0.14799999999999999</v>
      </c>
      <c r="G344" s="308">
        <v>0.15</v>
      </c>
    </row>
    <row r="345" spans="1:7">
      <c r="A345" s="317" t="s">
        <v>324</v>
      </c>
      <c r="B345" s="306" t="s">
        <v>3179</v>
      </c>
      <c r="C345" s="307">
        <v>0.15</v>
      </c>
      <c r="D345" s="307">
        <v>0.15</v>
      </c>
      <c r="E345" s="307">
        <v>0.15</v>
      </c>
      <c r="F345" s="307">
        <v>0.13800000000000001</v>
      </c>
      <c r="G345" s="308">
        <v>0.15</v>
      </c>
    </row>
    <row r="346" spans="1:7">
      <c r="A346" s="317" t="s">
        <v>324</v>
      </c>
      <c r="B346" s="306" t="s">
        <v>3180</v>
      </c>
      <c r="C346" s="307">
        <v>0.15</v>
      </c>
      <c r="D346" s="307">
        <v>0.15</v>
      </c>
      <c r="E346" s="307">
        <v>0.15</v>
      </c>
      <c r="F346" s="307">
        <v>0.14399999999999999</v>
      </c>
      <c r="G346" s="308">
        <v>0.15</v>
      </c>
    </row>
    <row r="347" spans="1:7">
      <c r="A347" s="317" t="s">
        <v>324</v>
      </c>
      <c r="B347" s="306" t="s">
        <v>3181</v>
      </c>
      <c r="C347" s="307">
        <v>0.15</v>
      </c>
      <c r="D347" s="307">
        <v>0.15</v>
      </c>
      <c r="E347" s="307">
        <v>0.15</v>
      </c>
      <c r="F347" s="307">
        <v>0.14599999999999999</v>
      </c>
      <c r="G347" s="308">
        <v>0.15</v>
      </c>
    </row>
    <row r="348" spans="1:7">
      <c r="A348" s="317" t="s">
        <v>324</v>
      </c>
      <c r="B348" s="306" t="s">
        <v>3182</v>
      </c>
      <c r="C348" s="307">
        <v>0.15</v>
      </c>
      <c r="D348" s="307">
        <v>0.15</v>
      </c>
      <c r="E348" s="307">
        <v>0.15</v>
      </c>
      <c r="F348" s="307">
        <v>0.14399999999999999</v>
      </c>
      <c r="G348" s="308">
        <v>0.15</v>
      </c>
    </row>
    <row r="349" spans="1:7">
      <c r="A349" s="317" t="s">
        <v>324</v>
      </c>
      <c r="B349" s="306" t="s">
        <v>3183</v>
      </c>
      <c r="C349" s="307">
        <v>0.15</v>
      </c>
      <c r="D349" s="307">
        <v>0.15</v>
      </c>
      <c r="E349" s="307">
        <v>0.15</v>
      </c>
      <c r="F349" s="307">
        <v>0.15</v>
      </c>
      <c r="G349" s="308">
        <v>0.15</v>
      </c>
    </row>
    <row r="350" spans="1:7">
      <c r="A350" s="317" t="s">
        <v>324</v>
      </c>
      <c r="B350" s="306" t="s">
        <v>3184</v>
      </c>
      <c r="C350" s="307">
        <v>0.15</v>
      </c>
      <c r="D350" s="307">
        <v>0.15</v>
      </c>
      <c r="E350" s="307">
        <v>0.15</v>
      </c>
      <c r="F350" s="307">
        <v>0.14699999999999999</v>
      </c>
      <c r="G350" s="308">
        <v>0.15</v>
      </c>
    </row>
    <row r="351" spans="1:7">
      <c r="A351" s="317" t="s">
        <v>324</v>
      </c>
      <c r="B351" s="306" t="s">
        <v>3185</v>
      </c>
      <c r="C351" s="307">
        <v>0.15</v>
      </c>
      <c r="D351" s="307">
        <v>0.15</v>
      </c>
      <c r="E351" s="307">
        <v>0.15</v>
      </c>
      <c r="F351" s="307">
        <v>0.13</v>
      </c>
      <c r="G351" s="308">
        <v>0.15</v>
      </c>
    </row>
    <row r="352" spans="1:7">
      <c r="A352" s="317" t="s">
        <v>324</v>
      </c>
      <c r="B352" s="306" t="s">
        <v>3186</v>
      </c>
      <c r="C352" s="307">
        <v>0.15</v>
      </c>
      <c r="D352" s="307">
        <v>0.15</v>
      </c>
      <c r="E352" s="307">
        <v>0.15</v>
      </c>
      <c r="F352" s="307">
        <v>0.14599999999999999</v>
      </c>
      <c r="G352" s="308">
        <v>0.15</v>
      </c>
    </row>
    <row r="353" spans="1:7">
      <c r="A353" s="317" t="s">
        <v>324</v>
      </c>
      <c r="B353" s="306" t="s">
        <v>3187</v>
      </c>
      <c r="C353" s="307">
        <v>0.15</v>
      </c>
      <c r="D353" s="307">
        <v>0.15</v>
      </c>
      <c r="E353" s="307">
        <v>0.15</v>
      </c>
      <c r="F353" s="307">
        <v>0.14499999999999999</v>
      </c>
      <c r="G353" s="308">
        <v>0.15</v>
      </c>
    </row>
    <row r="354" spans="1:7">
      <c r="A354" s="317" t="s">
        <v>324</v>
      </c>
      <c r="B354" s="306" t="s">
        <v>3188</v>
      </c>
      <c r="C354" s="307">
        <v>0.15</v>
      </c>
      <c r="D354" s="307">
        <v>0.15</v>
      </c>
      <c r="E354" s="307">
        <v>0.15</v>
      </c>
      <c r="F354" s="307">
        <v>0.14099999999999999</v>
      </c>
      <c r="G354" s="308">
        <v>0.15</v>
      </c>
    </row>
    <row r="355" spans="1:7">
      <c r="A355" s="317" t="s">
        <v>324</v>
      </c>
      <c r="B355" s="306" t="s">
        <v>3189</v>
      </c>
      <c r="C355" s="307">
        <v>0.15</v>
      </c>
      <c r="D355" s="307">
        <v>0.15</v>
      </c>
      <c r="E355" s="307">
        <v>0.15</v>
      </c>
      <c r="F355" s="307">
        <v>0.15</v>
      </c>
      <c r="G355" s="308">
        <v>0.15</v>
      </c>
    </row>
    <row r="356" spans="1:7">
      <c r="A356" s="317" t="s">
        <v>324</v>
      </c>
      <c r="B356" s="306" t="s">
        <v>3190</v>
      </c>
      <c r="C356" s="307">
        <v>0.15</v>
      </c>
      <c r="D356" s="307">
        <v>0.15</v>
      </c>
      <c r="E356" s="307">
        <v>0.15</v>
      </c>
      <c r="F356" s="307">
        <v>0.15</v>
      </c>
      <c r="G356" s="308">
        <v>0.15</v>
      </c>
    </row>
    <row r="357" spans="1:7">
      <c r="A357" s="320" t="s">
        <v>324</v>
      </c>
      <c r="B357" s="310" t="s">
        <v>3191</v>
      </c>
      <c r="C357" s="311">
        <v>0.126</v>
      </c>
      <c r="D357" s="311">
        <v>0.127</v>
      </c>
      <c r="E357" s="311">
        <v>0.14299999999999999</v>
      </c>
      <c r="F357" s="311">
        <v>0.125</v>
      </c>
      <c r="G357" s="313">
        <v>0.129</v>
      </c>
    </row>
    <row r="358" spans="1:7">
      <c r="A358" s="316" t="s">
        <v>330</v>
      </c>
      <c r="B358" s="302" t="s">
        <v>3192</v>
      </c>
      <c r="C358" s="303">
        <v>0.15</v>
      </c>
      <c r="D358" s="303">
        <v>0.15</v>
      </c>
      <c r="E358" s="303">
        <v>0.15</v>
      </c>
      <c r="F358" s="303">
        <v>0.15</v>
      </c>
      <c r="G358" s="304">
        <v>0.15</v>
      </c>
    </row>
    <row r="359" spans="1:7">
      <c r="A359" s="317" t="s">
        <v>330</v>
      </c>
      <c r="B359" s="306" t="s">
        <v>3193</v>
      </c>
      <c r="C359" s="307">
        <v>0.1</v>
      </c>
      <c r="D359" s="307">
        <v>0.1</v>
      </c>
      <c r="E359" s="307">
        <v>0.1</v>
      </c>
      <c r="F359" s="307">
        <v>0.1</v>
      </c>
      <c r="G359" s="308">
        <v>0.1</v>
      </c>
    </row>
    <row r="360" spans="1:7">
      <c r="A360" s="317" t="s">
        <v>330</v>
      </c>
      <c r="B360" s="306" t="s">
        <v>3194</v>
      </c>
      <c r="C360" s="307">
        <v>0.15</v>
      </c>
      <c r="D360" s="307">
        <v>0.15</v>
      </c>
      <c r="E360" s="307">
        <v>0.15</v>
      </c>
      <c r="F360" s="307">
        <v>0.14899999999999999</v>
      </c>
      <c r="G360" s="308">
        <v>0.15</v>
      </c>
    </row>
    <row r="361" spans="1:7">
      <c r="A361" s="317" t="s">
        <v>330</v>
      </c>
      <c r="B361" s="306" t="s">
        <v>3195</v>
      </c>
      <c r="C361" s="307">
        <v>0.15</v>
      </c>
      <c r="D361" s="307">
        <v>0.15</v>
      </c>
      <c r="E361" s="307">
        <v>0.15</v>
      </c>
      <c r="F361" s="307">
        <v>0.115</v>
      </c>
      <c r="G361" s="308">
        <v>0.15</v>
      </c>
    </row>
    <row r="362" spans="1:7">
      <c r="A362" s="317" t="s">
        <v>330</v>
      </c>
      <c r="B362" s="306" t="s">
        <v>3196</v>
      </c>
      <c r="C362" s="307">
        <v>0.15</v>
      </c>
      <c r="D362" s="307">
        <v>0.15</v>
      </c>
      <c r="E362" s="307">
        <v>0.15</v>
      </c>
      <c r="F362" s="307">
        <v>0.106</v>
      </c>
      <c r="G362" s="308">
        <v>0.15</v>
      </c>
    </row>
    <row r="363" spans="1:7">
      <c r="A363" s="317" t="s">
        <v>330</v>
      </c>
      <c r="B363" s="306" t="s">
        <v>3197</v>
      </c>
      <c r="C363" s="307">
        <v>0.15</v>
      </c>
      <c r="D363" s="307">
        <v>0.15</v>
      </c>
      <c r="E363" s="307">
        <v>0.15</v>
      </c>
      <c r="F363" s="307">
        <v>0.14699999999999999</v>
      </c>
      <c r="G363" s="308">
        <v>0.15</v>
      </c>
    </row>
    <row r="364" spans="1:7">
      <c r="A364" s="317" t="s">
        <v>330</v>
      </c>
      <c r="B364" s="306" t="s">
        <v>3198</v>
      </c>
      <c r="C364" s="307">
        <v>0.15</v>
      </c>
      <c r="D364" s="307">
        <v>0.15</v>
      </c>
      <c r="E364" s="307">
        <v>0.15</v>
      </c>
      <c r="F364" s="307">
        <v>0.14799999999999999</v>
      </c>
      <c r="G364" s="308">
        <v>0.15</v>
      </c>
    </row>
    <row r="365" spans="1:7">
      <c r="A365" s="317" t="s">
        <v>330</v>
      </c>
      <c r="B365" s="306" t="s">
        <v>3199</v>
      </c>
      <c r="C365" s="307">
        <v>0.15</v>
      </c>
      <c r="D365" s="307">
        <v>0.15</v>
      </c>
      <c r="E365" s="307">
        <v>0.15</v>
      </c>
      <c r="F365" s="307">
        <v>0.15</v>
      </c>
      <c r="G365" s="308">
        <v>0.15</v>
      </c>
    </row>
    <row r="366" spans="1:7">
      <c r="A366" s="317" t="s">
        <v>330</v>
      </c>
      <c r="B366" s="306" t="s">
        <v>3200</v>
      </c>
      <c r="C366" s="307">
        <v>0.15</v>
      </c>
      <c r="D366" s="307">
        <v>0.15</v>
      </c>
      <c r="E366" s="307">
        <v>0.15</v>
      </c>
      <c r="F366" s="307">
        <v>0.15</v>
      </c>
      <c r="G366" s="308">
        <v>0.15</v>
      </c>
    </row>
    <row r="367" spans="1:7">
      <c r="A367" s="317" t="s">
        <v>330</v>
      </c>
      <c r="B367" s="306" t="s">
        <v>3201</v>
      </c>
      <c r="C367" s="307">
        <v>0.15</v>
      </c>
      <c r="D367" s="307">
        <v>0.15</v>
      </c>
      <c r="E367" s="307">
        <v>0.15</v>
      </c>
      <c r="F367" s="307">
        <v>0.14699999999999999</v>
      </c>
      <c r="G367" s="308">
        <v>0.15</v>
      </c>
    </row>
    <row r="368" spans="1:7">
      <c r="A368" s="317" t="s">
        <v>330</v>
      </c>
      <c r="B368" s="306" t="s">
        <v>3202</v>
      </c>
      <c r="C368" s="307">
        <v>0.15</v>
      </c>
      <c r="D368" s="307">
        <v>0.15</v>
      </c>
      <c r="E368" s="307">
        <v>0.15</v>
      </c>
      <c r="F368" s="307">
        <v>0.13600000000000001</v>
      </c>
      <c r="G368" s="308">
        <v>0.15</v>
      </c>
    </row>
    <row r="369" spans="1:7">
      <c r="A369" s="317" t="s">
        <v>330</v>
      </c>
      <c r="B369" s="306" t="s">
        <v>3203</v>
      </c>
      <c r="C369" s="307">
        <v>0.15</v>
      </c>
      <c r="D369" s="307">
        <v>0.15</v>
      </c>
      <c r="E369" s="307">
        <v>0.15</v>
      </c>
      <c r="F369" s="307">
        <v>0.14399999999999999</v>
      </c>
      <c r="G369" s="308">
        <v>0.15</v>
      </c>
    </row>
    <row r="370" spans="1:7">
      <c r="A370" s="317" t="s">
        <v>330</v>
      </c>
      <c r="B370" s="306" t="s">
        <v>3204</v>
      </c>
      <c r="C370" s="307">
        <v>0.15</v>
      </c>
      <c r="D370" s="307">
        <v>0.15</v>
      </c>
      <c r="E370" s="307">
        <v>0.15</v>
      </c>
      <c r="F370" s="307">
        <v>0.14599999999999999</v>
      </c>
      <c r="G370" s="308">
        <v>0.15</v>
      </c>
    </row>
    <row r="371" spans="1:7">
      <c r="A371" s="317" t="s">
        <v>330</v>
      </c>
      <c r="B371" s="306" t="s">
        <v>3205</v>
      </c>
      <c r="C371" s="307">
        <v>0.15</v>
      </c>
      <c r="D371" s="307">
        <v>0.15</v>
      </c>
      <c r="E371" s="307">
        <v>0.15</v>
      </c>
      <c r="F371" s="307">
        <v>0.12</v>
      </c>
      <c r="G371" s="308">
        <v>0.15</v>
      </c>
    </row>
    <row r="372" spans="1:7">
      <c r="A372" s="317" t="s">
        <v>330</v>
      </c>
      <c r="B372" s="306" t="s">
        <v>3206</v>
      </c>
      <c r="C372" s="307">
        <v>0.15</v>
      </c>
      <c r="D372" s="307">
        <v>0.15</v>
      </c>
      <c r="E372" s="307">
        <v>0.15</v>
      </c>
      <c r="F372" s="307">
        <v>0.14299999999999999</v>
      </c>
      <c r="G372" s="308">
        <v>0.15</v>
      </c>
    </row>
    <row r="373" spans="1:7">
      <c r="A373" s="317" t="s">
        <v>330</v>
      </c>
      <c r="B373" s="306" t="s">
        <v>3207</v>
      </c>
      <c r="C373" s="307">
        <v>0.15</v>
      </c>
      <c r="D373" s="307">
        <v>0.15</v>
      </c>
      <c r="E373" s="307">
        <v>0.15</v>
      </c>
      <c r="F373" s="307">
        <v>0.14599999999999999</v>
      </c>
      <c r="G373" s="308">
        <v>0.15</v>
      </c>
    </row>
    <row r="374" spans="1:7">
      <c r="A374" s="317" t="s">
        <v>330</v>
      </c>
      <c r="B374" s="306" t="s">
        <v>3208</v>
      </c>
      <c r="C374" s="307">
        <v>0.15</v>
      </c>
      <c r="D374" s="307">
        <v>0.15</v>
      </c>
      <c r="E374" s="307">
        <v>0.15</v>
      </c>
      <c r="F374" s="307">
        <v>0.14399999999999999</v>
      </c>
      <c r="G374" s="308">
        <v>0.15</v>
      </c>
    </row>
    <row r="375" spans="1:7">
      <c r="A375" s="317" t="s">
        <v>330</v>
      </c>
      <c r="B375" s="306" t="s">
        <v>3209</v>
      </c>
      <c r="C375" s="307">
        <v>0.15</v>
      </c>
      <c r="D375" s="307">
        <v>0.15</v>
      </c>
      <c r="E375" s="307">
        <v>0.15</v>
      </c>
      <c r="F375" s="307">
        <v>0.13</v>
      </c>
      <c r="G375" s="308">
        <v>0.15</v>
      </c>
    </row>
    <row r="376" spans="1:7">
      <c r="A376" s="317" t="s">
        <v>330</v>
      </c>
      <c r="B376" s="306" t="s">
        <v>3210</v>
      </c>
      <c r="C376" s="307">
        <v>0.15</v>
      </c>
      <c r="D376" s="307">
        <v>0.15</v>
      </c>
      <c r="E376" s="307">
        <v>0.15</v>
      </c>
      <c r="F376" s="307">
        <v>0.14199999999999999</v>
      </c>
      <c r="G376" s="308">
        <v>0.15</v>
      </c>
    </row>
    <row r="377" spans="1:7">
      <c r="A377" s="320" t="s">
        <v>330</v>
      </c>
      <c r="B377" s="310" t="s">
        <v>3211</v>
      </c>
      <c r="C377" s="311">
        <v>0.15</v>
      </c>
      <c r="D377" s="311">
        <v>0.15</v>
      </c>
      <c r="E377" s="311">
        <v>0.15</v>
      </c>
      <c r="F377" s="311">
        <v>0.14000000000000001</v>
      </c>
      <c r="G377" s="313">
        <v>0.15</v>
      </c>
    </row>
    <row r="378" spans="1:7">
      <c r="A378" s="316" t="s">
        <v>336</v>
      </c>
      <c r="B378" s="302" t="s">
        <v>3212</v>
      </c>
      <c r="C378" s="303">
        <v>0.15</v>
      </c>
      <c r="D378" s="303">
        <v>0.15</v>
      </c>
      <c r="E378" s="303">
        <v>0.15</v>
      </c>
      <c r="F378" s="303">
        <v>0.107</v>
      </c>
      <c r="G378" s="304">
        <v>0.15</v>
      </c>
    </row>
    <row r="379" spans="1:7">
      <c r="A379" s="317" t="s">
        <v>336</v>
      </c>
      <c r="B379" s="306" t="s">
        <v>3213</v>
      </c>
      <c r="C379" s="307">
        <v>0.15</v>
      </c>
      <c r="D379" s="307">
        <v>0.15</v>
      </c>
      <c r="E379" s="307">
        <v>0.15</v>
      </c>
      <c r="F379" s="307">
        <v>0.115</v>
      </c>
      <c r="G379" s="308">
        <v>0.14899999999999999</v>
      </c>
    </row>
    <row r="380" spans="1:7">
      <c r="A380" s="317" t="s">
        <v>336</v>
      </c>
      <c r="B380" s="306" t="s">
        <v>3214</v>
      </c>
      <c r="C380" s="307">
        <v>0.15</v>
      </c>
      <c r="D380" s="307">
        <v>0.15</v>
      </c>
      <c r="E380" s="307">
        <v>0.15</v>
      </c>
      <c r="F380" s="307">
        <v>0.1</v>
      </c>
      <c r="G380" s="308">
        <v>0.14799999999999999</v>
      </c>
    </row>
    <row r="381" spans="1:7">
      <c r="A381" s="317" t="s">
        <v>336</v>
      </c>
      <c r="B381" s="306" t="s">
        <v>3215</v>
      </c>
      <c r="C381" s="307">
        <v>0.15</v>
      </c>
      <c r="D381" s="307">
        <v>0.15</v>
      </c>
      <c r="E381" s="307">
        <v>0.15</v>
      </c>
      <c r="F381" s="307">
        <v>0.126</v>
      </c>
      <c r="G381" s="308">
        <v>0.15</v>
      </c>
    </row>
    <row r="382" spans="1:7">
      <c r="A382" s="317" t="s">
        <v>336</v>
      </c>
      <c r="B382" s="306" t="s">
        <v>3216</v>
      </c>
      <c r="C382" s="307">
        <v>0.15</v>
      </c>
      <c r="D382" s="307">
        <v>0.15</v>
      </c>
      <c r="E382" s="307">
        <v>0.15</v>
      </c>
      <c r="F382" s="307">
        <v>0.15</v>
      </c>
      <c r="G382" s="308">
        <v>0.15</v>
      </c>
    </row>
    <row r="383" spans="1:7">
      <c r="A383" s="317" t="s">
        <v>336</v>
      </c>
      <c r="B383" s="306" t="s">
        <v>3217</v>
      </c>
      <c r="C383" s="307">
        <v>0.15</v>
      </c>
      <c r="D383" s="307">
        <v>0.15</v>
      </c>
      <c r="E383" s="307">
        <v>0.15</v>
      </c>
      <c r="F383" s="307">
        <v>0.14699999999999999</v>
      </c>
      <c r="G383" s="308">
        <v>0.15</v>
      </c>
    </row>
    <row r="384" spans="1:7">
      <c r="A384" s="327" t="s">
        <v>336</v>
      </c>
      <c r="B384" s="328" t="s">
        <v>3218</v>
      </c>
      <c r="C384" s="329">
        <v>0.15</v>
      </c>
      <c r="D384" s="329">
        <v>0.15</v>
      </c>
      <c r="E384" s="329">
        <v>0.15</v>
      </c>
      <c r="F384" s="329">
        <v>0.15</v>
      </c>
      <c r="G384" s="330">
        <v>0.15</v>
      </c>
    </row>
  </sheetData>
  <sheetProtection password="CEE9" sheet="1" objects="1" scenarios="1"/>
  <mergeCells count="1">
    <mergeCell ref="A1:B1"/>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F17"/>
  <sheetViews>
    <sheetView workbookViewId="0">
      <selection sqref="A1:XFD1048576"/>
    </sheetView>
  </sheetViews>
  <sheetFormatPr defaultColWidth="13.25" defaultRowHeight="13.5"/>
  <cols>
    <col min="1" max="16384" width="13.25" style="289"/>
  </cols>
  <sheetData>
    <row r="1" spans="1:6">
      <c r="A1" s="3566" t="s">
        <v>3219</v>
      </c>
      <c r="B1" s="3566"/>
      <c r="C1" s="3566"/>
      <c r="D1" s="3566"/>
      <c r="E1" s="3566"/>
      <c r="F1" s="3567"/>
    </row>
    <row r="2" spans="1:6">
      <c r="A2" s="290" t="s">
        <v>3220</v>
      </c>
    </row>
    <row r="3" spans="1:6">
      <c r="A3" s="290" t="s">
        <v>3221</v>
      </c>
      <c r="F3" s="291" t="s">
        <v>3222</v>
      </c>
    </row>
    <row r="4" spans="1:6">
      <c r="A4" s="292" t="s">
        <v>445</v>
      </c>
      <c r="B4" s="292" t="s">
        <v>229</v>
      </c>
      <c r="C4" s="292" t="s">
        <v>230</v>
      </c>
      <c r="D4" s="292" t="s">
        <v>3223</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45882</v>
      </c>
      <c r="B1" s="226" t="s">
        <v>3224</v>
      </c>
      <c r="C1" s="227"/>
      <c r="D1" s="227"/>
      <c r="E1" s="227"/>
      <c r="F1" s="227"/>
      <c r="G1" s="227"/>
      <c r="H1" s="227"/>
      <c r="I1" s="227"/>
      <c r="J1" s="245"/>
      <c r="K1" s="227" t="s">
        <v>3225</v>
      </c>
      <c r="L1" s="227"/>
      <c r="M1" s="227"/>
      <c r="N1" s="227"/>
      <c r="O1" s="227"/>
      <c r="P1" s="227"/>
      <c r="Q1" s="245"/>
      <c r="R1" s="3568" t="s">
        <v>3226</v>
      </c>
      <c r="S1" s="3569"/>
      <c r="T1" s="3569"/>
      <c r="U1" s="3569"/>
      <c r="V1" s="3569"/>
      <c r="W1" s="3569"/>
      <c r="X1" s="245"/>
      <c r="Y1" s="3568" t="s">
        <v>3227</v>
      </c>
      <c r="Z1" s="3569"/>
      <c r="AA1" s="3569"/>
      <c r="AB1" s="3569"/>
      <c r="AC1" s="3569"/>
      <c r="AD1" s="3569"/>
    </row>
    <row r="2" spans="1:44" s="103" customFormat="1">
      <c r="B2" s="228"/>
      <c r="C2" s="229"/>
      <c r="D2" s="112" t="s">
        <v>3228</v>
      </c>
      <c r="E2" s="113" t="s">
        <v>229</v>
      </c>
      <c r="F2" s="113" t="s">
        <v>230</v>
      </c>
      <c r="G2" s="113" t="s">
        <v>232</v>
      </c>
      <c r="H2" s="113" t="s">
        <v>233</v>
      </c>
      <c r="I2" s="113" t="s">
        <v>231</v>
      </c>
      <c r="J2" s="246"/>
      <c r="K2" s="112" t="s">
        <v>3228</v>
      </c>
      <c r="L2" s="113" t="s">
        <v>229</v>
      </c>
      <c r="M2" s="113" t="s">
        <v>230</v>
      </c>
      <c r="N2" s="113" t="s">
        <v>232</v>
      </c>
      <c r="O2" s="113" t="s">
        <v>233</v>
      </c>
      <c r="P2" s="113" t="s">
        <v>231</v>
      </c>
      <c r="Q2" s="246"/>
      <c r="R2" s="112" t="s">
        <v>3228</v>
      </c>
      <c r="S2" s="113" t="s">
        <v>229</v>
      </c>
      <c r="T2" s="113" t="s">
        <v>230</v>
      </c>
      <c r="U2" s="113" t="s">
        <v>232</v>
      </c>
      <c r="V2" s="113" t="s">
        <v>233</v>
      </c>
      <c r="W2" s="113" t="s">
        <v>231</v>
      </c>
      <c r="X2" s="246"/>
      <c r="Y2" s="112" t="s">
        <v>3228</v>
      </c>
      <c r="Z2" s="113" t="s">
        <v>229</v>
      </c>
      <c r="AA2" s="113" t="s">
        <v>230</v>
      </c>
      <c r="AB2" s="113" t="s">
        <v>232</v>
      </c>
      <c r="AC2" s="113" t="s">
        <v>233</v>
      </c>
      <c r="AD2" s="113" t="s">
        <v>231</v>
      </c>
      <c r="AF2" t="s">
        <v>3228</v>
      </c>
      <c r="AG2" t="s">
        <v>229</v>
      </c>
      <c r="AH2" t="s">
        <v>230</v>
      </c>
      <c r="AI2" t="s">
        <v>232</v>
      </c>
      <c r="AJ2" t="s">
        <v>233</v>
      </c>
      <c r="AK2" t="s">
        <v>231</v>
      </c>
      <c r="AM2" t="s">
        <v>3228</v>
      </c>
      <c r="AN2" t="s">
        <v>229</v>
      </c>
      <c r="AO2" t="s">
        <v>230</v>
      </c>
      <c r="AP2" t="s">
        <v>232</v>
      </c>
      <c r="AQ2" t="s">
        <v>233</v>
      </c>
      <c r="AR2" t="s">
        <v>231</v>
      </c>
    </row>
    <row r="3" spans="1:44" s="222" customFormat="1" ht="12.75">
      <c r="A3" s="230" t="s">
        <v>3229</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3230</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3231</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3232</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3233</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3234</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3235</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3236</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3237</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3238</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3239</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3240</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3241</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3242</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3243</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3244</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3245</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3246</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3247</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3248</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3249</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3250</v>
      </c>
    </row>
    <row r="27" spans="1:44">
      <c r="I27" t="s">
        <v>2175</v>
      </c>
    </row>
    <row r="29" spans="1:44" s="102" customFormat="1" ht="12.75">
      <c r="B29" s="226" t="s">
        <v>3251</v>
      </c>
      <c r="C29" s="227"/>
      <c r="D29" s="227"/>
      <c r="E29" s="227"/>
      <c r="F29" s="227"/>
      <c r="G29" s="227"/>
      <c r="H29" s="227"/>
      <c r="I29" s="227"/>
      <c r="J29" s="245"/>
      <c r="K29" s="227" t="s">
        <v>3225</v>
      </c>
      <c r="L29" s="227"/>
      <c r="M29" s="227"/>
      <c r="N29" s="227"/>
      <c r="O29" s="227"/>
      <c r="P29" s="227"/>
      <c r="Q29" s="245"/>
      <c r="R29" s="3568" t="s">
        <v>3226</v>
      </c>
      <c r="S29" s="3569"/>
      <c r="T29" s="3569"/>
      <c r="U29" s="3569"/>
      <c r="V29" s="3569"/>
      <c r="W29" s="3569"/>
      <c r="X29" s="245"/>
      <c r="Y29" s="3568" t="s">
        <v>3227</v>
      </c>
      <c r="Z29" s="3569"/>
      <c r="AA29" s="3569"/>
      <c r="AB29" s="3569"/>
      <c r="AC29" s="3569"/>
      <c r="AD29" s="3569"/>
    </row>
    <row r="30" spans="1:44" s="103" customFormat="1">
      <c r="B30" s="228"/>
      <c r="C30" s="229"/>
      <c r="D30" s="112" t="s">
        <v>3228</v>
      </c>
      <c r="E30" s="113" t="s">
        <v>229</v>
      </c>
      <c r="F30" s="113" t="s">
        <v>230</v>
      </c>
      <c r="G30" s="113" t="s">
        <v>232</v>
      </c>
      <c r="H30" s="113"/>
      <c r="I30" s="113" t="s">
        <v>231</v>
      </c>
      <c r="J30" s="246"/>
      <c r="K30" s="112" t="s">
        <v>3228</v>
      </c>
      <c r="L30" s="113" t="s">
        <v>229</v>
      </c>
      <c r="M30" s="113" t="s">
        <v>230</v>
      </c>
      <c r="N30" s="113" t="s">
        <v>232</v>
      </c>
      <c r="O30" s="113"/>
      <c r="P30" s="113" t="s">
        <v>231</v>
      </c>
      <c r="Q30" s="246"/>
      <c r="R30" s="112" t="s">
        <v>3228</v>
      </c>
      <c r="S30" s="113" t="s">
        <v>229</v>
      </c>
      <c r="T30" s="113" t="s">
        <v>230</v>
      </c>
      <c r="U30" s="113" t="s">
        <v>232</v>
      </c>
      <c r="V30" s="113"/>
      <c r="W30" s="113" t="s">
        <v>231</v>
      </c>
      <c r="X30" s="246"/>
      <c r="Y30" s="112" t="s">
        <v>3228</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3229</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3230</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3231</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3232</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3233</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3234</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3235</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3236</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3237</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3238</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3239</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3240</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3241</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3242</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3243</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3244</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3245</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3246</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3247</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3248</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3249</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3252</v>
      </c>
    </row>
  </sheetData>
  <sheetProtection formatCells="0" formatColumns="0" formatRows="0"/>
  <mergeCells count="4">
    <mergeCell ref="R1:W1"/>
    <mergeCell ref="Y1:AD1"/>
    <mergeCell ref="R29:W29"/>
    <mergeCell ref="Y29:AD29"/>
  </mergeCells>
  <phoneticPr fontId="22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78" t="s">
        <v>3253</v>
      </c>
      <c r="C1" s="3578"/>
      <c r="D1" s="3578"/>
      <c r="E1" s="3578"/>
      <c r="F1" s="3578"/>
      <c r="G1" s="3569" t="s">
        <v>3254</v>
      </c>
      <c r="H1" s="3569"/>
      <c r="I1" s="3569"/>
      <c r="J1" s="3569"/>
      <c r="K1" s="3569"/>
      <c r="L1" s="3569"/>
      <c r="N1" s="3569" t="s">
        <v>3225</v>
      </c>
      <c r="O1" s="3569"/>
      <c r="P1" s="3569"/>
      <c r="Q1" s="3569"/>
      <c r="S1" s="3569" t="s">
        <v>3255</v>
      </c>
      <c r="T1" s="3569"/>
      <c r="U1" s="3569"/>
      <c r="V1" s="3569"/>
      <c r="X1" s="3568" t="s">
        <v>3226</v>
      </c>
      <c r="Y1" s="3569"/>
      <c r="Z1" s="3569"/>
      <c r="AA1" s="3569"/>
      <c r="AB1" s="3569"/>
      <c r="AD1" s="3568" t="s">
        <v>3227</v>
      </c>
      <c r="AE1" s="3569"/>
      <c r="AF1" s="3569"/>
      <c r="AG1" s="3569"/>
      <c r="AH1" s="3569"/>
    </row>
    <row r="2" spans="1:34" s="103" customFormat="1" ht="13.5">
      <c r="B2" s="112" t="s">
        <v>474</v>
      </c>
      <c r="C2" s="112" t="s">
        <v>3256</v>
      </c>
      <c r="D2" s="113" t="s">
        <v>230</v>
      </c>
      <c r="E2" s="113" t="s">
        <v>232</v>
      </c>
      <c r="F2" s="112" t="s">
        <v>3257</v>
      </c>
      <c r="G2" s="114"/>
      <c r="I2" s="112" t="s">
        <v>474</v>
      </c>
      <c r="J2" s="113" t="s">
        <v>2561</v>
      </c>
      <c r="K2" s="113" t="s">
        <v>232</v>
      </c>
      <c r="L2" s="112" t="s">
        <v>3257</v>
      </c>
      <c r="N2" s="112" t="s">
        <v>474</v>
      </c>
      <c r="O2" s="113" t="s">
        <v>2561</v>
      </c>
      <c r="P2" s="113" t="s">
        <v>232</v>
      </c>
      <c r="Q2" s="112" t="s">
        <v>3257</v>
      </c>
      <c r="S2" s="112" t="s">
        <v>474</v>
      </c>
      <c r="T2" s="113" t="s">
        <v>2561</v>
      </c>
      <c r="U2" s="113" t="s">
        <v>232</v>
      </c>
      <c r="V2" s="112" t="s">
        <v>3257</v>
      </c>
      <c r="X2" s="112" t="s">
        <v>474</v>
      </c>
      <c r="Y2" s="112" t="s">
        <v>3256</v>
      </c>
      <c r="Z2" s="113" t="s">
        <v>230</v>
      </c>
      <c r="AA2" s="113" t="s">
        <v>232</v>
      </c>
      <c r="AB2" s="112" t="s">
        <v>3257</v>
      </c>
      <c r="AD2" s="112" t="s">
        <v>474</v>
      </c>
      <c r="AE2" s="112" t="s">
        <v>3256</v>
      </c>
      <c r="AF2" s="113" t="s">
        <v>230</v>
      </c>
      <c r="AG2" s="113" t="s">
        <v>232</v>
      </c>
      <c r="AH2" s="112" t="s">
        <v>3257</v>
      </c>
    </row>
    <row r="3" spans="1:34" s="104" customFormat="1" ht="14.25">
      <c r="A3" s="115" t="s">
        <v>3229</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3242</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3243</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3258</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3244</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3245</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3246</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3247</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3248</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3249</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3259</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3260</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3261</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3262</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3263</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3264</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3265</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3266</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3267</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71">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3268</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71"/>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3269</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71"/>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3270</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76"/>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3271</v>
      </c>
      <c r="B25" s="130">
        <v>439</v>
      </c>
      <c r="C25" s="130">
        <v>327</v>
      </c>
      <c r="D25" s="130">
        <f t="shared" si="217"/>
        <v>327</v>
      </c>
      <c r="E25" s="130">
        <v>627</v>
      </c>
      <c r="F25" s="131">
        <v>283</v>
      </c>
      <c r="G25" s="3577">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3272</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71"/>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3273</v>
      </c>
      <c r="B27" s="123">
        <f t="shared" si="232"/>
        <v>419.31181600000002</v>
      </c>
      <c r="C27" s="123">
        <f t="shared" si="233"/>
        <v>313.95436800000004</v>
      </c>
      <c r="D27" s="123">
        <f t="shared" si="234"/>
        <v>313.95436800000004</v>
      </c>
      <c r="E27" s="123">
        <f t="shared" si="235"/>
        <v>596.63028431999999</v>
      </c>
      <c r="F27" s="123">
        <f t="shared" si="236"/>
        <v>274.74220703999998</v>
      </c>
      <c r="G27" s="3571"/>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3274</v>
      </c>
      <c r="B28" s="123">
        <f t="shared" si="232"/>
        <v>405.524</v>
      </c>
      <c r="C28" s="123">
        <f t="shared" si="233"/>
        <v>307.79840000000002</v>
      </c>
      <c r="D28" s="123">
        <f t="shared" si="234"/>
        <v>307.79840000000002</v>
      </c>
      <c r="E28" s="123">
        <f t="shared" si="235"/>
        <v>574.67759999999998</v>
      </c>
      <c r="F28" s="123">
        <f t="shared" si="236"/>
        <v>270.20280000000002</v>
      </c>
      <c r="G28" s="3576"/>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3275</v>
      </c>
      <c r="B29" s="130">
        <v>392</v>
      </c>
      <c r="C29" s="130">
        <v>302</v>
      </c>
      <c r="D29" s="130">
        <f t="shared" si="234"/>
        <v>302</v>
      </c>
      <c r="E29" s="130">
        <v>553</v>
      </c>
      <c r="F29" s="131">
        <v>266</v>
      </c>
      <c r="G29" s="3577">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3276</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71"/>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3277</v>
      </c>
      <c r="B31" s="123">
        <f t="shared" si="245"/>
        <v>360.06949782209392</v>
      </c>
      <c r="C31" s="123">
        <f t="shared" si="245"/>
        <v>289.84672674747821</v>
      </c>
      <c r="D31" s="123">
        <f t="shared" si="246"/>
        <v>289.84672674747821</v>
      </c>
      <c r="E31" s="123">
        <f t="shared" si="247"/>
        <v>501.06543001181495</v>
      </c>
      <c r="F31" s="123">
        <f t="shared" si="247"/>
        <v>256.82882500744967</v>
      </c>
      <c r="G31" s="3571"/>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3278</v>
      </c>
      <c r="B32" s="123">
        <f t="shared" si="245"/>
        <v>346.720748986128</v>
      </c>
      <c r="C32" s="123">
        <f t="shared" si="245"/>
        <v>284.30282172386285</v>
      </c>
      <c r="D32" s="123">
        <f t="shared" si="246"/>
        <v>284.30282172386285</v>
      </c>
      <c r="E32" s="123">
        <f t="shared" si="247"/>
        <v>479.58023546306947</v>
      </c>
      <c r="F32" s="123">
        <f t="shared" si="247"/>
        <v>253.25788877571213</v>
      </c>
      <c r="G32" s="3572"/>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3279</v>
      </c>
      <c r="B33" s="130">
        <v>333</v>
      </c>
      <c r="C33" s="130">
        <v>277</v>
      </c>
      <c r="D33" s="130">
        <f t="shared" si="246"/>
        <v>277</v>
      </c>
      <c r="E33" s="130">
        <v>459</v>
      </c>
      <c r="F33" s="131">
        <v>249</v>
      </c>
      <c r="G33" s="3570">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3280</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71"/>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3281</v>
      </c>
      <c r="B35" s="123">
        <f t="shared" si="249"/>
        <v>322.34053690220776</v>
      </c>
      <c r="C35" s="123">
        <f t="shared" si="249"/>
        <v>271.46160770422546</v>
      </c>
      <c r="D35" s="123">
        <f t="shared" si="246"/>
        <v>271.46160770422546</v>
      </c>
      <c r="E35" s="123">
        <f t="shared" si="250"/>
        <v>442.69434542172456</v>
      </c>
      <c r="F35" s="123">
        <f t="shared" si="250"/>
        <v>241.34030753190925</v>
      </c>
      <c r="G35" s="3571"/>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3282</v>
      </c>
      <c r="B36" s="123">
        <f t="shared" si="249"/>
        <v>319.87748030386797</v>
      </c>
      <c r="C36" s="123">
        <f t="shared" si="249"/>
        <v>269.60135833173649</v>
      </c>
      <c r="D36" s="123">
        <f t="shared" si="246"/>
        <v>269.60135833173649</v>
      </c>
      <c r="E36" s="123">
        <f t="shared" si="250"/>
        <v>439.18089823583784</v>
      </c>
      <c r="F36" s="123">
        <f t="shared" si="250"/>
        <v>239.23503918706311</v>
      </c>
      <c r="G36" s="357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3283</v>
      </c>
      <c r="B37" s="135">
        <v>318</v>
      </c>
      <c r="C37" s="135">
        <v>268</v>
      </c>
      <c r="D37" s="135">
        <f t="shared" si="246"/>
        <v>268</v>
      </c>
      <c r="E37" s="135">
        <v>437</v>
      </c>
      <c r="F37" s="136">
        <v>237</v>
      </c>
      <c r="G37" s="3570">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3284</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71"/>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3285</v>
      </c>
      <c r="B39" s="123">
        <f t="shared" si="251"/>
        <v>314.72141172386546</v>
      </c>
      <c r="C39" s="123">
        <f t="shared" si="251"/>
        <v>263.03901319069001</v>
      </c>
      <c r="D39" s="123">
        <f t="shared" si="246"/>
        <v>263.03901319069001</v>
      </c>
      <c r="E39" s="123">
        <f t="shared" si="252"/>
        <v>433.65745506782821</v>
      </c>
      <c r="F39" s="123">
        <f t="shared" si="252"/>
        <v>233.23005080045735</v>
      </c>
      <c r="G39" s="3571"/>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3286</v>
      </c>
      <c r="B40" s="139">
        <f t="shared" si="251"/>
        <v>307.34512863658733</v>
      </c>
      <c r="C40" s="139">
        <f t="shared" si="251"/>
        <v>257.80556031626975</v>
      </c>
      <c r="D40" s="139">
        <f t="shared" si="246"/>
        <v>257.80556031626975</v>
      </c>
      <c r="E40" s="139">
        <f t="shared" si="252"/>
        <v>422.70928459677179</v>
      </c>
      <c r="F40" s="139">
        <f t="shared" si="252"/>
        <v>229.73803270336617</v>
      </c>
      <c r="G40" s="3572"/>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3287</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3288</v>
      </c>
      <c r="B41" s="130">
        <v>299</v>
      </c>
      <c r="C41" s="130">
        <v>252</v>
      </c>
      <c r="D41" s="130">
        <f t="shared" si="246"/>
        <v>252</v>
      </c>
      <c r="E41" s="130">
        <v>409</v>
      </c>
      <c r="F41" s="131">
        <v>227</v>
      </c>
      <c r="G41" s="3573">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3289</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74"/>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3290</v>
      </c>
      <c r="B43" s="123">
        <f t="shared" si="255"/>
        <v>288.2649053828776</v>
      </c>
      <c r="C43" s="123">
        <f t="shared" si="255"/>
        <v>243.64564425013293</v>
      </c>
      <c r="D43" s="123">
        <f t="shared" si="246"/>
        <v>243.64564425013293</v>
      </c>
      <c r="E43" s="123">
        <f t="shared" si="256"/>
        <v>393.31080825986544</v>
      </c>
      <c r="F43" s="123">
        <f t="shared" si="256"/>
        <v>223.07903790551154</v>
      </c>
      <c r="G43" s="3574"/>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3291</v>
      </c>
      <c r="B44" s="123">
        <f t="shared" si="255"/>
        <v>282.50186729015837</v>
      </c>
      <c r="C44" s="123">
        <f t="shared" si="255"/>
        <v>238.09796174155468</v>
      </c>
      <c r="D44" s="123">
        <f t="shared" si="246"/>
        <v>238.09796174155468</v>
      </c>
      <c r="E44" s="123">
        <f t="shared" si="256"/>
        <v>385.33438646014054</v>
      </c>
      <c r="F44" s="123">
        <f t="shared" si="256"/>
        <v>221.55034055567739</v>
      </c>
      <c r="G44" s="3575"/>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3292</v>
      </c>
      <c r="B45" s="142">
        <v>278</v>
      </c>
      <c r="C45" s="142">
        <v>234</v>
      </c>
      <c r="D45" s="142">
        <f t="shared" si="246"/>
        <v>234</v>
      </c>
      <c r="E45" s="142">
        <v>379</v>
      </c>
      <c r="F45" s="143">
        <v>220</v>
      </c>
      <c r="G45" s="3570">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3293</v>
      </c>
      <c r="B46" s="123">
        <f>B45/(1+N45)</f>
        <v>275.49301357645425</v>
      </c>
      <c r="C46" s="123">
        <f>C45/(1+O45)</f>
        <v>232.41954707985698</v>
      </c>
      <c r="D46" s="123">
        <f t="shared" si="246"/>
        <v>232.41954707985698</v>
      </c>
      <c r="E46" s="123">
        <f t="shared" ref="E46:F48" si="257">E45/(1+P45)</f>
        <v>375.32184591008121</v>
      </c>
      <c r="F46" s="123">
        <f t="shared" si="257"/>
        <v>218.03766105054513</v>
      </c>
      <c r="G46" s="3571"/>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3294</v>
      </c>
      <c r="B47" s="123">
        <f>B46/(1+N46)</f>
        <v>275.24529281292263</v>
      </c>
      <c r="C47" s="123">
        <f>C46/(1+O46)</f>
        <v>231.74747938962707</v>
      </c>
      <c r="D47" s="123">
        <f t="shared" si="246"/>
        <v>231.74747938962707</v>
      </c>
      <c r="E47" s="123">
        <f t="shared" si="257"/>
        <v>375.35938184826603</v>
      </c>
      <c r="F47" s="123">
        <f t="shared" si="257"/>
        <v>216.78033510692495</v>
      </c>
      <c r="G47" s="3571"/>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3295</v>
      </c>
      <c r="B48" s="123">
        <f>B47/(1+N47)</f>
        <v>275.19025476197027</v>
      </c>
      <c r="C48" s="144">
        <v>232</v>
      </c>
      <c r="D48" s="144">
        <f t="shared" si="246"/>
        <v>232</v>
      </c>
      <c r="E48" s="123">
        <f t="shared" si="257"/>
        <v>375.65990977608692</v>
      </c>
      <c r="F48" s="123">
        <f t="shared" si="257"/>
        <v>214.12518283971252</v>
      </c>
      <c r="G48" s="357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3296</v>
      </c>
      <c r="B49" s="130">
        <v>275</v>
      </c>
      <c r="C49" s="130">
        <v>232</v>
      </c>
      <c r="D49" s="130">
        <f t="shared" si="246"/>
        <v>232</v>
      </c>
      <c r="E49" s="130">
        <v>376</v>
      </c>
      <c r="F49" s="131">
        <v>213</v>
      </c>
      <c r="G49" s="3570">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3297</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71">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3298</v>
      </c>
      <c r="B51" s="123">
        <f t="shared" si="258"/>
        <v>275.19335084830601</v>
      </c>
      <c r="C51" s="123">
        <f t="shared" si="258"/>
        <v>230.18088050139744</v>
      </c>
      <c r="D51" s="123">
        <f t="shared" si="246"/>
        <v>230.18088050139744</v>
      </c>
      <c r="E51" s="123">
        <f t="shared" si="259"/>
        <v>377.58482925212331</v>
      </c>
      <c r="F51" s="123">
        <f t="shared" si="259"/>
        <v>210.90687997847917</v>
      </c>
      <c r="G51" s="3571">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3299</v>
      </c>
      <c r="B52" s="123">
        <f t="shared" si="258"/>
        <v>276.29854502841971</v>
      </c>
      <c r="C52" s="123">
        <f t="shared" si="258"/>
        <v>229.79023709833027</v>
      </c>
      <c r="D52" s="123">
        <f t="shared" si="246"/>
        <v>229.79023709833027</v>
      </c>
      <c r="E52" s="123">
        <f t="shared" si="259"/>
        <v>379.78759731655936</v>
      </c>
      <c r="F52" s="123">
        <f t="shared" si="259"/>
        <v>211.32953905659235</v>
      </c>
      <c r="G52" s="3572">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3300</v>
      </c>
      <c r="B53" s="130">
        <v>269</v>
      </c>
      <c r="C53" s="130">
        <v>221</v>
      </c>
      <c r="D53" s="130">
        <f t="shared" si="246"/>
        <v>221</v>
      </c>
      <c r="E53" s="130">
        <v>373</v>
      </c>
      <c r="F53" s="131">
        <v>196</v>
      </c>
      <c r="G53" s="3570">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3301</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71">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3302</v>
      </c>
      <c r="B55" s="123">
        <f t="shared" si="260"/>
        <v>242.95398227588385</v>
      </c>
      <c r="C55" s="123">
        <f t="shared" si="260"/>
        <v>199.59137053614126</v>
      </c>
      <c r="D55" s="123">
        <f t="shared" si="246"/>
        <v>199.59137053614126</v>
      </c>
      <c r="E55" s="123">
        <f t="shared" si="261"/>
        <v>335.92189522342125</v>
      </c>
      <c r="F55" s="123">
        <f t="shared" si="261"/>
        <v>183.10139991109489</v>
      </c>
      <c r="G55" s="3571">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3303</v>
      </c>
      <c r="B56" s="123">
        <f t="shared" si="260"/>
        <v>232.06990378821649</v>
      </c>
      <c r="C56" s="123">
        <f t="shared" si="260"/>
        <v>192.74878854286936</v>
      </c>
      <c r="D56" s="123">
        <f t="shared" si="246"/>
        <v>192.74878854286936</v>
      </c>
      <c r="E56" s="123">
        <f t="shared" si="261"/>
        <v>319.71247284992984</v>
      </c>
      <c r="F56" s="123">
        <f t="shared" si="261"/>
        <v>175.67053622862409</v>
      </c>
      <c r="G56" s="3572">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3304</v>
      </c>
      <c r="B57" s="130">
        <v>220</v>
      </c>
      <c r="C57" s="130">
        <v>187</v>
      </c>
      <c r="D57" s="130">
        <f t="shared" si="246"/>
        <v>187</v>
      </c>
      <c r="E57" s="130">
        <v>301</v>
      </c>
      <c r="F57" s="131">
        <v>168</v>
      </c>
      <c r="G57" s="3570">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3305</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71">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3306</v>
      </c>
      <c r="B59" s="123">
        <f t="shared" si="262"/>
        <v>210.630522469011</v>
      </c>
      <c r="C59" s="123">
        <f t="shared" si="262"/>
        <v>181.69567812247232</v>
      </c>
      <c r="D59" s="123">
        <f t="shared" si="246"/>
        <v>181.69567812247232</v>
      </c>
      <c r="E59" s="123">
        <f t="shared" si="263"/>
        <v>286.13517466736738</v>
      </c>
      <c r="F59" s="123">
        <f t="shared" si="263"/>
        <v>165.47535084591149</v>
      </c>
      <c r="G59" s="3571">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3307</v>
      </c>
      <c r="B60" s="123">
        <f t="shared" si="262"/>
        <v>208.83454537875372</v>
      </c>
      <c r="C60" s="123">
        <f t="shared" si="262"/>
        <v>183.77230517090351</v>
      </c>
      <c r="D60" s="123">
        <f t="shared" si="246"/>
        <v>183.77230517090351</v>
      </c>
      <c r="E60" s="123">
        <f t="shared" si="263"/>
        <v>281.10342338870947</v>
      </c>
      <c r="F60" s="123">
        <f t="shared" si="263"/>
        <v>168.97309388942256</v>
      </c>
      <c r="G60" s="357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3308</v>
      </c>
      <c r="B61" s="142">
        <v>214</v>
      </c>
      <c r="C61" s="142">
        <v>188</v>
      </c>
      <c r="D61" s="142">
        <f t="shared" si="246"/>
        <v>188</v>
      </c>
      <c r="E61" s="142">
        <v>289</v>
      </c>
      <c r="F61" s="143">
        <v>166</v>
      </c>
      <c r="G61" s="3570">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3309</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71">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3310</v>
      </c>
      <c r="B63" s="123">
        <f t="shared" si="264"/>
        <v>206.31694671589116</v>
      </c>
      <c r="C63" s="123">
        <f t="shared" si="264"/>
        <v>183.61041121036101</v>
      </c>
      <c r="D63" s="123">
        <f t="shared" si="246"/>
        <v>183.61041121036101</v>
      </c>
      <c r="E63" s="123">
        <f t="shared" si="265"/>
        <v>276.66850301795557</v>
      </c>
      <c r="F63" s="123">
        <f t="shared" si="265"/>
        <v>165.1360938278614</v>
      </c>
      <c r="G63" s="3571">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3311</v>
      </c>
      <c r="B64" s="145">
        <f t="shared" si="264"/>
        <v>196.62341248059772</v>
      </c>
      <c r="C64" s="145">
        <f t="shared" si="264"/>
        <v>170.99125648199012</v>
      </c>
      <c r="D64" s="145">
        <f t="shared" si="246"/>
        <v>170.99125648199012</v>
      </c>
      <c r="E64" s="145">
        <f t="shared" si="265"/>
        <v>266.07857570490052</v>
      </c>
      <c r="F64" s="145">
        <f t="shared" si="265"/>
        <v>154.53499328828505</v>
      </c>
      <c r="G64" s="357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3312</v>
      </c>
      <c r="B65" s="130">
        <v>188</v>
      </c>
      <c r="C65" s="130">
        <v>165</v>
      </c>
      <c r="D65" s="130">
        <f t="shared" si="246"/>
        <v>165</v>
      </c>
      <c r="E65" s="130">
        <v>254</v>
      </c>
      <c r="F65" s="131">
        <v>148</v>
      </c>
      <c r="G65" s="3570">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3313</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71">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3314</v>
      </c>
      <c r="B67" s="123">
        <f t="shared" si="268"/>
        <v>168.82017748715555</v>
      </c>
      <c r="C67" s="123">
        <f t="shared" si="268"/>
        <v>148.06267029972753</v>
      </c>
      <c r="D67" s="123">
        <f t="shared" si="246"/>
        <v>148.06267029972753</v>
      </c>
      <c r="E67" s="123">
        <f t="shared" si="269"/>
        <v>216.46288379323747</v>
      </c>
      <c r="F67" s="123">
        <f t="shared" si="269"/>
        <v>134.23529411764704</v>
      </c>
      <c r="G67" s="3571">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3315</v>
      </c>
      <c r="B68" s="123">
        <f t="shared" si="268"/>
        <v>163.84913591779542</v>
      </c>
      <c r="C68" s="123">
        <f t="shared" si="268"/>
        <v>145.0283378746594</v>
      </c>
      <c r="D68" s="123">
        <f t="shared" si="246"/>
        <v>145.0283378746594</v>
      </c>
      <c r="E68" s="123">
        <f t="shared" si="269"/>
        <v>204.95180722891567</v>
      </c>
      <c r="F68" s="123">
        <f t="shared" si="269"/>
        <v>125.95920303605313</v>
      </c>
      <c r="G68" s="3572">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3316</v>
      </c>
      <c r="B69" s="135">
        <v>159</v>
      </c>
      <c r="C69" s="135">
        <v>141</v>
      </c>
      <c r="D69" s="135">
        <f t="shared" si="246"/>
        <v>141</v>
      </c>
      <c r="E69" s="135">
        <v>195</v>
      </c>
      <c r="F69" s="136">
        <v>122</v>
      </c>
      <c r="G69" s="3570">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3317</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71">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3318</v>
      </c>
      <c r="B71" s="123">
        <f t="shared" si="272"/>
        <v>146.57412060301507</v>
      </c>
      <c r="C71" s="123">
        <f t="shared" si="272"/>
        <v>136.46831955922866</v>
      </c>
      <c r="D71" s="123">
        <f t="shared" si="246"/>
        <v>136.46831955922866</v>
      </c>
      <c r="E71" s="123">
        <f t="shared" si="273"/>
        <v>166.73864894795128</v>
      </c>
      <c r="F71" s="123">
        <f t="shared" si="273"/>
        <v>115.05882352941177</v>
      </c>
      <c r="G71" s="3571">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3319</v>
      </c>
      <c r="B72" s="123">
        <f t="shared" si="272"/>
        <v>144.04145728643215</v>
      </c>
      <c r="C72" s="123">
        <f t="shared" si="272"/>
        <v>136.12396694214877</v>
      </c>
      <c r="D72" s="123">
        <f t="shared" si="246"/>
        <v>136.12396694214877</v>
      </c>
      <c r="E72" s="123">
        <f t="shared" si="273"/>
        <v>158.32225913621264</v>
      </c>
      <c r="F72" s="123">
        <f t="shared" si="273"/>
        <v>114.04278074866311</v>
      </c>
      <c r="G72" s="3572">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3320</v>
      </c>
      <c r="B73" s="135">
        <v>138</v>
      </c>
      <c r="C73" s="135">
        <v>131</v>
      </c>
      <c r="D73" s="135">
        <f t="shared" si="246"/>
        <v>131</v>
      </c>
      <c r="E73" s="135">
        <v>155</v>
      </c>
      <c r="F73" s="136">
        <v>114</v>
      </c>
      <c r="G73" s="3570">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3321</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71">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3322</v>
      </c>
      <c r="B75" s="123">
        <f t="shared" si="276"/>
        <v>124.29032258064517</v>
      </c>
      <c r="C75" s="123">
        <f t="shared" si="276"/>
        <v>123.8968609865471</v>
      </c>
      <c r="D75" s="123">
        <f t="shared" si="246"/>
        <v>123.8968609865471</v>
      </c>
      <c r="E75" s="123">
        <f t="shared" si="277"/>
        <v>138.00507614213197</v>
      </c>
      <c r="F75" s="123">
        <f t="shared" si="277"/>
        <v>107.96106557377048</v>
      </c>
      <c r="G75" s="3571">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3323</v>
      </c>
      <c r="B76" s="123">
        <f t="shared" si="276"/>
        <v>122.57204301075269</v>
      </c>
      <c r="C76" s="123">
        <f t="shared" si="276"/>
        <v>123.4932735426009</v>
      </c>
      <c r="D76" s="123">
        <f t="shared" si="246"/>
        <v>123.4932735426009</v>
      </c>
      <c r="E76" s="123">
        <f t="shared" si="277"/>
        <v>129.82233502538071</v>
      </c>
      <c r="F76" s="123">
        <f t="shared" si="277"/>
        <v>107.39446721311475</v>
      </c>
      <c r="G76" s="3572">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3324</v>
      </c>
      <c r="B77" s="142">
        <v>121</v>
      </c>
      <c r="C77" s="142">
        <v>122</v>
      </c>
      <c r="D77" s="142">
        <f t="shared" si="246"/>
        <v>122</v>
      </c>
      <c r="E77" s="142">
        <v>124</v>
      </c>
      <c r="F77" s="143">
        <v>107</v>
      </c>
      <c r="G77" s="3570">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3325</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71">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3326</v>
      </c>
      <c r="B79" s="123">
        <f t="shared" si="280"/>
        <v>116.99099099099099</v>
      </c>
      <c r="C79" s="123">
        <f t="shared" si="280"/>
        <v>118.84848484848486</v>
      </c>
      <c r="D79" s="123">
        <f t="shared" si="246"/>
        <v>118.84848484848486</v>
      </c>
      <c r="E79" s="123">
        <f t="shared" si="281"/>
        <v>117.60960960960961</v>
      </c>
      <c r="F79" s="123">
        <f t="shared" si="281"/>
        <v>104</v>
      </c>
      <c r="G79" s="3571">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3327</v>
      </c>
      <c r="B80" s="145">
        <f t="shared" si="280"/>
        <v>112.48648648648648</v>
      </c>
      <c r="C80" s="145">
        <f t="shared" si="280"/>
        <v>115.21212121212122</v>
      </c>
      <c r="D80" s="145">
        <f t="shared" si="246"/>
        <v>115.21212121212122</v>
      </c>
      <c r="E80" s="145">
        <f t="shared" si="281"/>
        <v>110.4024024024024</v>
      </c>
      <c r="F80" s="145">
        <f t="shared" si="281"/>
        <v>104</v>
      </c>
      <c r="G80" s="3572">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3328</v>
      </c>
      <c r="B81" s="190">
        <v>111</v>
      </c>
      <c r="C81" s="190">
        <v>114</v>
      </c>
      <c r="D81" s="190">
        <f t="shared" si="246"/>
        <v>114</v>
      </c>
      <c r="E81" s="190">
        <v>108</v>
      </c>
      <c r="F81" s="191">
        <v>104</v>
      </c>
      <c r="G81" s="3570">
        <v>2003</v>
      </c>
      <c r="H81" s="189">
        <v>4</v>
      </c>
      <c r="I81" s="209"/>
      <c r="J81" s="209"/>
      <c r="K81" s="209"/>
      <c r="L81" s="209"/>
      <c r="N81" s="210"/>
      <c r="O81" s="209"/>
      <c r="P81" s="209"/>
      <c r="Q81" s="209"/>
      <c r="S81" s="210"/>
      <c r="T81" s="209"/>
      <c r="U81" s="209"/>
      <c r="V81" s="209"/>
      <c r="X81" s="215"/>
      <c r="Y81" s="215"/>
      <c r="Z81" s="215"/>
    </row>
    <row r="82" spans="1:26">
      <c r="A82" s="122" t="s">
        <v>3329</v>
      </c>
      <c r="B82" s="192">
        <f t="shared" ref="B82:C84" si="282">B83+(B$81-B$85)/4</f>
        <v>109.75</v>
      </c>
      <c r="C82" s="192">
        <f t="shared" si="282"/>
        <v>112.25</v>
      </c>
      <c r="D82" s="192">
        <f t="shared" si="246"/>
        <v>112.25</v>
      </c>
      <c r="E82" s="192">
        <f t="shared" ref="E82:F84" si="283">E83+(E$81-E$85)/4</f>
        <v>107.25</v>
      </c>
      <c r="F82" s="192">
        <f t="shared" si="283"/>
        <v>103.5</v>
      </c>
      <c r="G82" s="3571">
        <v>2003</v>
      </c>
      <c r="H82" s="134">
        <v>3</v>
      </c>
      <c r="I82" s="209"/>
      <c r="J82" s="209"/>
      <c r="K82" s="209"/>
      <c r="L82" s="209"/>
      <c r="X82" s="215"/>
      <c r="Y82" s="215"/>
      <c r="Z82" s="215"/>
    </row>
    <row r="83" spans="1:26">
      <c r="A83" s="122" t="s">
        <v>3330</v>
      </c>
      <c r="B83" s="192">
        <f t="shared" si="282"/>
        <v>108.5</v>
      </c>
      <c r="C83" s="192">
        <f t="shared" si="282"/>
        <v>110.5</v>
      </c>
      <c r="D83" s="192">
        <f t="shared" si="246"/>
        <v>110.5</v>
      </c>
      <c r="E83" s="192">
        <f t="shared" si="283"/>
        <v>106.5</v>
      </c>
      <c r="F83" s="192">
        <f t="shared" si="283"/>
        <v>103</v>
      </c>
      <c r="G83" s="3571">
        <v>2003</v>
      </c>
      <c r="H83" s="132">
        <v>2</v>
      </c>
      <c r="I83" s="209"/>
      <c r="J83" s="209"/>
      <c r="K83" s="209"/>
      <c r="L83" s="209"/>
      <c r="X83" s="215"/>
      <c r="Y83" s="215"/>
      <c r="Z83" s="215"/>
    </row>
    <row r="84" spans="1:26">
      <c r="A84" s="122" t="s">
        <v>3331</v>
      </c>
      <c r="B84" s="192">
        <f t="shared" si="282"/>
        <v>107.25</v>
      </c>
      <c r="C84" s="192">
        <f t="shared" si="282"/>
        <v>108.75</v>
      </c>
      <c r="D84" s="192">
        <f t="shared" si="246"/>
        <v>108.75</v>
      </c>
      <c r="E84" s="192">
        <f t="shared" si="283"/>
        <v>105.75</v>
      </c>
      <c r="F84" s="192">
        <f t="shared" si="283"/>
        <v>102.5</v>
      </c>
      <c r="G84" s="3572">
        <v>2003</v>
      </c>
      <c r="H84" s="193">
        <v>1</v>
      </c>
      <c r="I84" s="209"/>
      <c r="J84" s="209"/>
      <c r="K84" s="209"/>
      <c r="L84" s="209"/>
      <c r="S84" s="151"/>
      <c r="T84" s="152"/>
      <c r="U84" s="152"/>
      <c r="X84" s="215"/>
      <c r="Y84" s="215"/>
      <c r="Z84" s="215"/>
    </row>
    <row r="85" spans="1:26">
      <c r="A85" s="122" t="s">
        <v>3332</v>
      </c>
      <c r="B85" s="194">
        <v>106</v>
      </c>
      <c r="C85" s="194">
        <v>107</v>
      </c>
      <c r="D85" s="194">
        <f t="shared" si="246"/>
        <v>107</v>
      </c>
      <c r="E85" s="194">
        <v>105</v>
      </c>
      <c r="F85" s="195">
        <v>102</v>
      </c>
      <c r="G85" s="3570">
        <v>2002</v>
      </c>
      <c r="H85" s="133">
        <v>4</v>
      </c>
      <c r="I85" s="209"/>
      <c r="J85" s="209"/>
      <c r="K85" s="209"/>
      <c r="L85" s="209"/>
      <c r="N85" s="210"/>
      <c r="O85" s="209"/>
      <c r="P85" s="209"/>
      <c r="Q85" s="209"/>
      <c r="S85" s="210"/>
      <c r="T85" s="209"/>
      <c r="U85" s="209"/>
      <c r="V85" s="209"/>
      <c r="X85" s="215"/>
      <c r="Y85" s="215"/>
      <c r="Z85" s="215"/>
    </row>
    <row r="86" spans="1:26">
      <c r="A86" s="122" t="s">
        <v>3333</v>
      </c>
      <c r="B86" s="192">
        <f t="shared" ref="B86:C88" si="284">B87+(B$85-B$89)/4</f>
        <v>105</v>
      </c>
      <c r="C86" s="192">
        <f t="shared" si="284"/>
        <v>106</v>
      </c>
      <c r="D86" s="192">
        <f t="shared" si="246"/>
        <v>106</v>
      </c>
      <c r="E86" s="192">
        <f t="shared" ref="E86:F88" si="285">E87+(E$85-E$89)/4</f>
        <v>104.5</v>
      </c>
      <c r="F86" s="192">
        <f t="shared" si="285"/>
        <v>101.5</v>
      </c>
      <c r="G86" s="3571">
        <v>2002</v>
      </c>
      <c r="H86" s="134">
        <v>3</v>
      </c>
      <c r="I86" s="209"/>
      <c r="J86" s="209"/>
      <c r="K86" s="209"/>
      <c r="L86" s="209"/>
      <c r="X86" s="215"/>
      <c r="Y86" s="215"/>
      <c r="Z86" s="215"/>
    </row>
    <row r="87" spans="1:26">
      <c r="A87" s="122" t="s">
        <v>3334</v>
      </c>
      <c r="B87" s="192">
        <f t="shared" si="284"/>
        <v>104</v>
      </c>
      <c r="C87" s="192">
        <f t="shared" si="284"/>
        <v>105</v>
      </c>
      <c r="D87" s="192">
        <f t="shared" si="246"/>
        <v>105</v>
      </c>
      <c r="E87" s="192">
        <f t="shared" si="285"/>
        <v>104</v>
      </c>
      <c r="F87" s="192">
        <f t="shared" si="285"/>
        <v>101</v>
      </c>
      <c r="G87" s="3571">
        <v>2002</v>
      </c>
      <c r="H87" s="132">
        <v>2</v>
      </c>
      <c r="I87" s="209"/>
      <c r="J87" s="209"/>
      <c r="K87" s="209"/>
      <c r="L87" s="209"/>
      <c r="X87" s="215"/>
      <c r="Y87" s="215"/>
      <c r="Z87" s="215"/>
    </row>
    <row r="88" spans="1:26" s="107" customFormat="1">
      <c r="A88" s="138" t="s">
        <v>3335</v>
      </c>
      <c r="B88" s="180">
        <f t="shared" si="284"/>
        <v>103</v>
      </c>
      <c r="C88" s="180">
        <f t="shared" si="284"/>
        <v>104</v>
      </c>
      <c r="D88" s="180">
        <f t="shared" si="246"/>
        <v>104</v>
      </c>
      <c r="E88" s="180">
        <f t="shared" si="285"/>
        <v>103.5</v>
      </c>
      <c r="F88" s="180">
        <f t="shared" si="285"/>
        <v>100.5</v>
      </c>
      <c r="G88" s="357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3336</v>
      </c>
      <c r="G91" s="201"/>
      <c r="N91" s="201"/>
      <c r="S91" s="201"/>
    </row>
    <row r="92" spans="1:26" s="109" customFormat="1">
      <c r="A92" s="109" t="s">
        <v>3337</v>
      </c>
      <c r="G92" s="201"/>
      <c r="N92" s="201"/>
      <c r="S92" s="201"/>
    </row>
    <row r="93" spans="1:26" s="109" customFormat="1">
      <c r="A93" s="109" t="s">
        <v>3338</v>
      </c>
      <c r="G93" s="201"/>
      <c r="I93" s="213"/>
      <c r="J93" s="213"/>
      <c r="K93" s="213"/>
      <c r="L93" s="213"/>
      <c r="N93" s="214"/>
      <c r="O93" s="213"/>
      <c r="P93" s="213"/>
      <c r="Q93" s="213"/>
      <c r="S93" s="214"/>
      <c r="T93" s="213"/>
      <c r="U93" s="213"/>
      <c r="V93" s="213"/>
    </row>
    <row r="94" spans="1:26" s="109" customFormat="1">
      <c r="A94" s="109" t="s">
        <v>3339</v>
      </c>
      <c r="G94" s="201"/>
      <c r="N94" s="201"/>
      <c r="S94" s="201"/>
    </row>
    <row r="102" spans="7:22">
      <c r="G102" s="110"/>
      <c r="S102" s="218" t="s">
        <v>3340</v>
      </c>
      <c r="T102" s="134" t="s">
        <v>3341</v>
      </c>
      <c r="U102" s="134" t="s">
        <v>3342</v>
      </c>
      <c r="V102" s="134" t="s">
        <v>3343</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79" t="s">
        <v>3344</v>
      </c>
      <c r="B1" s="3579"/>
      <c r="C1" s="3579"/>
      <c r="D1" s="3579"/>
      <c r="E1" s="3579"/>
      <c r="F1" s="3579"/>
      <c r="G1" s="3580"/>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3345</v>
      </c>
      <c r="B2" s="74"/>
      <c r="C2" s="74"/>
      <c r="D2" s="74"/>
      <c r="E2" s="74"/>
      <c r="F2" s="74"/>
      <c r="G2" s="75" t="s">
        <v>3346</v>
      </c>
      <c r="I2" s="82" t="s">
        <v>2840</v>
      </c>
      <c r="J2" s="82" t="s">
        <v>2844</v>
      </c>
      <c r="K2" s="82" t="s">
        <v>2864</v>
      </c>
      <c r="L2" s="82" t="s">
        <v>2889</v>
      </c>
      <c r="M2" s="82" t="s">
        <v>2921</v>
      </c>
      <c r="N2" s="82" t="s">
        <v>2961</v>
      </c>
      <c r="O2" s="82" t="s">
        <v>3024</v>
      </c>
      <c r="P2" s="82" t="s">
        <v>3068</v>
      </c>
      <c r="Q2" s="82" t="s">
        <v>3111</v>
      </c>
      <c r="R2" s="82" t="s">
        <v>3161</v>
      </c>
      <c r="S2" s="82" t="s">
        <v>3192</v>
      </c>
      <c r="T2" s="82" t="s">
        <v>3212</v>
      </c>
    </row>
    <row r="3" spans="1:20" s="71" customFormat="1">
      <c r="A3" s="3581" t="s">
        <v>2838</v>
      </c>
      <c r="B3" s="76"/>
      <c r="C3" s="77" t="s">
        <v>229</v>
      </c>
      <c r="D3" s="77" t="s">
        <v>230</v>
      </c>
      <c r="E3" s="77" t="s">
        <v>232</v>
      </c>
      <c r="F3" s="77" t="s">
        <v>233</v>
      </c>
      <c r="G3" s="77" t="s">
        <v>231</v>
      </c>
      <c r="H3" s="78"/>
      <c r="I3" s="83" t="s">
        <v>2841</v>
      </c>
      <c r="J3" s="84" t="s">
        <v>2845</v>
      </c>
      <c r="K3" s="84" t="s">
        <v>2865</v>
      </c>
      <c r="L3" s="83" t="s">
        <v>2890</v>
      </c>
      <c r="M3" s="83" t="s">
        <v>2922</v>
      </c>
      <c r="N3" s="83" t="s">
        <v>2962</v>
      </c>
      <c r="O3" s="83" t="s">
        <v>3025</v>
      </c>
      <c r="P3" s="83" t="s">
        <v>3069</v>
      </c>
      <c r="Q3" s="83" t="s">
        <v>3112</v>
      </c>
      <c r="R3" s="83" t="s">
        <v>3162</v>
      </c>
      <c r="S3" s="83" t="s">
        <v>3193</v>
      </c>
      <c r="T3" s="83" t="s">
        <v>3213</v>
      </c>
    </row>
    <row r="4" spans="1:20" s="71" customFormat="1">
      <c r="A4" s="3582"/>
      <c r="B4" s="79" t="s">
        <v>2839</v>
      </c>
      <c r="C4" s="79" t="s">
        <v>3347</v>
      </c>
      <c r="D4" s="79" t="s">
        <v>3347</v>
      </c>
      <c r="E4" s="79" t="s">
        <v>3347</v>
      </c>
      <c r="F4" s="80" t="s">
        <v>3347</v>
      </c>
      <c r="G4" s="80" t="s">
        <v>3347</v>
      </c>
      <c r="H4" s="78"/>
      <c r="I4" s="84" t="s">
        <v>552</v>
      </c>
      <c r="J4" s="84" t="s">
        <v>2846</v>
      </c>
      <c r="K4" s="84" t="s">
        <v>2866</v>
      </c>
      <c r="L4" s="83" t="s">
        <v>2891</v>
      </c>
      <c r="M4" s="83" t="s">
        <v>2923</v>
      </c>
      <c r="N4" s="83" t="s">
        <v>2963</v>
      </c>
      <c r="O4" s="83" t="s">
        <v>3026</v>
      </c>
      <c r="P4" s="83" t="s">
        <v>3070</v>
      </c>
      <c r="Q4" s="83" t="s">
        <v>3113</v>
      </c>
      <c r="R4" s="83" t="s">
        <v>3163</v>
      </c>
      <c r="S4" s="83" t="s">
        <v>3194</v>
      </c>
      <c r="T4" s="83" t="s">
        <v>3214</v>
      </c>
    </row>
    <row r="5" spans="1:20">
      <c r="A5" s="81" t="s">
        <v>235</v>
      </c>
      <c r="B5" s="82" t="s">
        <v>2840</v>
      </c>
      <c r="C5" s="82">
        <v>34550</v>
      </c>
      <c r="D5" s="82">
        <v>34470</v>
      </c>
      <c r="E5" s="82">
        <v>34330</v>
      </c>
      <c r="F5" s="82">
        <v>13400</v>
      </c>
      <c r="G5" s="82">
        <v>25450</v>
      </c>
      <c r="H5" s="78"/>
      <c r="I5" s="83" t="s">
        <v>2842</v>
      </c>
      <c r="J5" s="84" t="s">
        <v>2847</v>
      </c>
      <c r="K5" s="84" t="s">
        <v>2867</v>
      </c>
      <c r="L5" s="83" t="s">
        <v>2892</v>
      </c>
      <c r="M5" s="83" t="s">
        <v>2924</v>
      </c>
      <c r="N5" s="83" t="s">
        <v>2964</v>
      </c>
      <c r="O5" s="83" t="s">
        <v>3027</v>
      </c>
      <c r="P5" s="83" t="s">
        <v>3071</v>
      </c>
      <c r="Q5" s="83" t="s">
        <v>3114</v>
      </c>
      <c r="R5" s="83" t="s">
        <v>3164</v>
      </c>
      <c r="S5" s="83" t="s">
        <v>3195</v>
      </c>
      <c r="T5" s="83" t="s">
        <v>3215</v>
      </c>
    </row>
    <row r="6" spans="1:20">
      <c r="A6" s="83" t="s">
        <v>235</v>
      </c>
      <c r="B6" s="83" t="s">
        <v>2841</v>
      </c>
      <c r="C6" s="83">
        <v>36990</v>
      </c>
      <c r="D6" s="83">
        <v>36850</v>
      </c>
      <c r="E6" s="83">
        <v>36700</v>
      </c>
      <c r="F6" s="83">
        <v>14590</v>
      </c>
      <c r="G6" s="83">
        <v>27450</v>
      </c>
      <c r="H6" s="78"/>
      <c r="I6" s="86" t="s">
        <v>2843</v>
      </c>
      <c r="J6" s="84" t="s">
        <v>2848</v>
      </c>
      <c r="K6" s="84" t="s">
        <v>2868</v>
      </c>
      <c r="L6" s="83" t="s">
        <v>2893</v>
      </c>
      <c r="M6" s="83" t="s">
        <v>2925</v>
      </c>
      <c r="N6" s="83" t="s">
        <v>2965</v>
      </c>
      <c r="O6" s="83" t="s">
        <v>3028</v>
      </c>
      <c r="P6" s="83" t="s">
        <v>3072</v>
      </c>
      <c r="Q6" s="83" t="s">
        <v>3115</v>
      </c>
      <c r="R6" s="83" t="s">
        <v>3165</v>
      </c>
      <c r="S6" s="83" t="s">
        <v>3196</v>
      </c>
      <c r="T6" s="83" t="s">
        <v>3216</v>
      </c>
    </row>
    <row r="7" spans="1:20">
      <c r="A7" s="83" t="s">
        <v>235</v>
      </c>
      <c r="B7" s="84" t="s">
        <v>552</v>
      </c>
      <c r="C7" s="83">
        <v>34850</v>
      </c>
      <c r="D7" s="83">
        <v>34690</v>
      </c>
      <c r="E7" s="83">
        <v>34550</v>
      </c>
      <c r="F7" s="83">
        <v>14360</v>
      </c>
      <c r="G7" s="83">
        <v>25620</v>
      </c>
      <c r="H7" s="78"/>
      <c r="J7" s="84" t="s">
        <v>2849</v>
      </c>
      <c r="K7" s="84" t="s">
        <v>2869</v>
      </c>
      <c r="L7" s="83" t="s">
        <v>2894</v>
      </c>
      <c r="M7" s="83" t="s">
        <v>2926</v>
      </c>
      <c r="N7" s="83" t="s">
        <v>2966</v>
      </c>
      <c r="O7" s="83" t="s">
        <v>3029</v>
      </c>
      <c r="P7" s="83" t="s">
        <v>3073</v>
      </c>
      <c r="Q7" s="83" t="s">
        <v>3116</v>
      </c>
      <c r="R7" s="83" t="s">
        <v>3166</v>
      </c>
      <c r="S7" s="83" t="s">
        <v>3197</v>
      </c>
      <c r="T7" s="83" t="s">
        <v>3217</v>
      </c>
    </row>
    <row r="8" spans="1:20">
      <c r="A8" s="83" t="s">
        <v>235</v>
      </c>
      <c r="B8" s="83" t="s">
        <v>2842</v>
      </c>
      <c r="C8" s="83">
        <v>32630</v>
      </c>
      <c r="D8" s="83">
        <v>32510</v>
      </c>
      <c r="E8" s="83">
        <v>32420</v>
      </c>
      <c r="F8" s="83">
        <v>13300</v>
      </c>
      <c r="G8" s="83">
        <v>24010</v>
      </c>
      <c r="H8" s="78"/>
      <c r="J8" s="84" t="s">
        <v>2850</v>
      </c>
      <c r="K8" s="84" t="s">
        <v>2870</v>
      </c>
      <c r="L8" s="83" t="s">
        <v>2895</v>
      </c>
      <c r="M8" s="83" t="s">
        <v>2927</v>
      </c>
      <c r="N8" s="83" t="s">
        <v>2967</v>
      </c>
      <c r="O8" s="83" t="s">
        <v>3030</v>
      </c>
      <c r="P8" s="83" t="s">
        <v>3074</v>
      </c>
      <c r="Q8" s="83" t="s">
        <v>3117</v>
      </c>
      <c r="R8" s="83" t="s">
        <v>3167</v>
      </c>
      <c r="S8" s="83" t="s">
        <v>3198</v>
      </c>
      <c r="T8" s="87" t="s">
        <v>3218</v>
      </c>
    </row>
    <row r="9" spans="1:20">
      <c r="A9" s="85" t="s">
        <v>235</v>
      </c>
      <c r="B9" s="86" t="s">
        <v>2843</v>
      </c>
      <c r="C9" s="87">
        <v>36370</v>
      </c>
      <c r="D9" s="87">
        <v>36210</v>
      </c>
      <c r="E9" s="87">
        <v>36050</v>
      </c>
      <c r="F9" s="87"/>
      <c r="G9" s="87">
        <v>26740</v>
      </c>
      <c r="H9" s="78"/>
      <c r="J9" s="84" t="s">
        <v>2851</v>
      </c>
      <c r="K9" s="84" t="s">
        <v>2871</v>
      </c>
      <c r="L9" s="83" t="s">
        <v>2896</v>
      </c>
      <c r="M9" s="83" t="s">
        <v>2928</v>
      </c>
      <c r="N9" s="83" t="s">
        <v>2968</v>
      </c>
      <c r="O9" s="83" t="s">
        <v>3031</v>
      </c>
      <c r="P9" s="83" t="s">
        <v>3075</v>
      </c>
      <c r="Q9" s="83" t="s">
        <v>3118</v>
      </c>
      <c r="R9" s="83" t="s">
        <v>3168</v>
      </c>
      <c r="S9" s="83" t="s">
        <v>3199</v>
      </c>
    </row>
    <row r="10" spans="1:20">
      <c r="A10" s="81" t="s">
        <v>251</v>
      </c>
      <c r="B10" s="82" t="s">
        <v>2844</v>
      </c>
      <c r="C10" s="83">
        <v>32350</v>
      </c>
      <c r="D10" s="83">
        <v>31430</v>
      </c>
      <c r="E10" s="83">
        <v>31320</v>
      </c>
      <c r="F10" s="83">
        <v>10850</v>
      </c>
      <c r="G10" s="83">
        <v>22860</v>
      </c>
      <c r="H10" s="78"/>
      <c r="J10" s="84" t="s">
        <v>2852</v>
      </c>
      <c r="K10" s="84" t="s">
        <v>2872</v>
      </c>
      <c r="L10" s="83" t="s">
        <v>2897</v>
      </c>
      <c r="M10" s="83" t="s">
        <v>2929</v>
      </c>
      <c r="N10" s="83" t="s">
        <v>2969</v>
      </c>
      <c r="O10" s="83" t="s">
        <v>3032</v>
      </c>
      <c r="P10" s="83" t="s">
        <v>3076</v>
      </c>
      <c r="Q10" s="83" t="s">
        <v>3119</v>
      </c>
      <c r="R10" s="83" t="s">
        <v>3169</v>
      </c>
      <c r="S10" s="83" t="s">
        <v>3200</v>
      </c>
    </row>
    <row r="11" spans="1:20">
      <c r="A11" s="83" t="s">
        <v>251</v>
      </c>
      <c r="B11" s="84" t="s">
        <v>2845</v>
      </c>
      <c r="C11" s="83">
        <v>31590</v>
      </c>
      <c r="D11" s="83">
        <v>29490</v>
      </c>
      <c r="E11" s="83">
        <v>28700</v>
      </c>
      <c r="F11" s="83">
        <v>10410</v>
      </c>
      <c r="G11" s="83">
        <v>21460</v>
      </c>
      <c r="H11" s="78"/>
      <c r="J11" s="84" t="s">
        <v>2853</v>
      </c>
      <c r="K11" s="84" t="s">
        <v>2873</v>
      </c>
      <c r="L11" s="83" t="s">
        <v>2898</v>
      </c>
      <c r="M11" s="83" t="s">
        <v>2930</v>
      </c>
      <c r="N11" s="83" t="s">
        <v>2970</v>
      </c>
      <c r="O11" s="83" t="s">
        <v>3033</v>
      </c>
      <c r="P11" s="83" t="s">
        <v>3077</v>
      </c>
      <c r="Q11" s="83" t="s">
        <v>3120</v>
      </c>
      <c r="R11" s="83" t="s">
        <v>3170</v>
      </c>
      <c r="S11" s="83" t="s">
        <v>3201</v>
      </c>
    </row>
    <row r="12" spans="1:20">
      <c r="A12" s="83" t="s">
        <v>251</v>
      </c>
      <c r="B12" s="84" t="s">
        <v>2846</v>
      </c>
      <c r="C12" s="83">
        <v>29640</v>
      </c>
      <c r="D12" s="83">
        <v>27550</v>
      </c>
      <c r="E12" s="83">
        <v>28010</v>
      </c>
      <c r="F12" s="83">
        <v>8730</v>
      </c>
      <c r="G12" s="83">
        <v>20050</v>
      </c>
      <c r="H12" s="78"/>
      <c r="J12" s="84" t="s">
        <v>2854</v>
      </c>
      <c r="K12" s="84" t="s">
        <v>2874</v>
      </c>
      <c r="L12" s="83" t="s">
        <v>2899</v>
      </c>
      <c r="M12" s="83" t="s">
        <v>2931</v>
      </c>
      <c r="N12" s="83" t="s">
        <v>2971</v>
      </c>
      <c r="O12" s="83" t="s">
        <v>3034</v>
      </c>
      <c r="P12" s="83" t="s">
        <v>3078</v>
      </c>
      <c r="Q12" s="83" t="s">
        <v>3121</v>
      </c>
      <c r="R12" s="83" t="s">
        <v>3171</v>
      </c>
      <c r="S12" s="83" t="s">
        <v>3202</v>
      </c>
    </row>
    <row r="13" spans="1:20">
      <c r="A13" s="83" t="s">
        <v>251</v>
      </c>
      <c r="B13" s="84" t="s">
        <v>2847</v>
      </c>
      <c r="C13" s="83">
        <v>29680</v>
      </c>
      <c r="D13" s="83">
        <v>27660</v>
      </c>
      <c r="E13" s="83">
        <v>28210</v>
      </c>
      <c r="F13" s="83">
        <v>9590</v>
      </c>
      <c r="G13" s="83">
        <v>20120</v>
      </c>
      <c r="H13" s="78"/>
      <c r="J13" s="84" t="s">
        <v>2855</v>
      </c>
      <c r="K13" s="84" t="s">
        <v>2875</v>
      </c>
      <c r="L13" s="83" t="s">
        <v>2900</v>
      </c>
      <c r="M13" s="83" t="s">
        <v>2932</v>
      </c>
      <c r="N13" s="83" t="s">
        <v>2972</v>
      </c>
      <c r="O13" s="83" t="s">
        <v>3035</v>
      </c>
      <c r="P13" s="83" t="s">
        <v>3079</v>
      </c>
      <c r="Q13" s="83" t="s">
        <v>3122</v>
      </c>
      <c r="R13" s="83" t="s">
        <v>3172</v>
      </c>
      <c r="S13" s="83" t="s">
        <v>3203</v>
      </c>
    </row>
    <row r="14" spans="1:20">
      <c r="A14" s="83" t="s">
        <v>251</v>
      </c>
      <c r="B14" s="84" t="s">
        <v>2848</v>
      </c>
      <c r="C14" s="83">
        <v>30520</v>
      </c>
      <c r="D14" s="83">
        <v>29510</v>
      </c>
      <c r="E14" s="83">
        <v>29400</v>
      </c>
      <c r="F14" s="83">
        <v>9630</v>
      </c>
      <c r="G14" s="83">
        <v>21480</v>
      </c>
      <c r="H14" s="78"/>
      <c r="J14" s="84" t="s">
        <v>2856</v>
      </c>
      <c r="K14" s="84" t="s">
        <v>2876</v>
      </c>
      <c r="L14" s="83" t="s">
        <v>2901</v>
      </c>
      <c r="M14" s="83" t="s">
        <v>2933</v>
      </c>
      <c r="N14" s="83" t="s">
        <v>2973</v>
      </c>
      <c r="O14" s="83" t="s">
        <v>3036</v>
      </c>
      <c r="P14" s="83" t="s">
        <v>3080</v>
      </c>
      <c r="Q14" s="83" t="s">
        <v>3123</v>
      </c>
      <c r="R14" s="83" t="s">
        <v>3173</v>
      </c>
      <c r="S14" s="83" t="s">
        <v>3204</v>
      </c>
    </row>
    <row r="15" spans="1:20">
      <c r="A15" s="83" t="s">
        <v>251</v>
      </c>
      <c r="B15" s="84" t="s">
        <v>2849</v>
      </c>
      <c r="C15" s="83">
        <v>29090</v>
      </c>
      <c r="D15" s="83">
        <v>27590</v>
      </c>
      <c r="E15" s="83">
        <v>28120</v>
      </c>
      <c r="F15" s="83">
        <v>9110</v>
      </c>
      <c r="G15" s="83">
        <v>20070</v>
      </c>
      <c r="H15" s="78"/>
      <c r="J15" s="84" t="s">
        <v>2857</v>
      </c>
      <c r="K15" s="84" t="s">
        <v>2877</v>
      </c>
      <c r="L15" s="83" t="s">
        <v>2902</v>
      </c>
      <c r="M15" s="83" t="s">
        <v>2934</v>
      </c>
      <c r="N15" s="83" t="s">
        <v>2974</v>
      </c>
      <c r="O15" s="83" t="s">
        <v>3037</v>
      </c>
      <c r="P15" s="83" t="s">
        <v>3081</v>
      </c>
      <c r="Q15" s="83" t="s">
        <v>3124</v>
      </c>
      <c r="R15" s="83" t="s">
        <v>3174</v>
      </c>
      <c r="S15" s="83" t="s">
        <v>3205</v>
      </c>
    </row>
    <row r="16" spans="1:20">
      <c r="A16" s="83" t="s">
        <v>251</v>
      </c>
      <c r="B16" s="84" t="s">
        <v>2850</v>
      </c>
      <c r="C16" s="83">
        <v>26790</v>
      </c>
      <c r="D16" s="83">
        <v>30370</v>
      </c>
      <c r="E16" s="83">
        <v>30240</v>
      </c>
      <c r="F16" s="83">
        <v>11590</v>
      </c>
      <c r="G16" s="83">
        <v>22090</v>
      </c>
      <c r="H16" s="78"/>
      <c r="J16" s="84" t="s">
        <v>2858</v>
      </c>
      <c r="K16" s="84" t="s">
        <v>2878</v>
      </c>
      <c r="L16" s="83" t="s">
        <v>2903</v>
      </c>
      <c r="M16" s="83" t="s">
        <v>2935</v>
      </c>
      <c r="N16" s="83" t="s">
        <v>2975</v>
      </c>
      <c r="O16" s="83" t="s">
        <v>3038</v>
      </c>
      <c r="P16" s="83" t="s">
        <v>3082</v>
      </c>
      <c r="Q16" s="83" t="s">
        <v>3125</v>
      </c>
      <c r="R16" s="83" t="s">
        <v>3175</v>
      </c>
      <c r="S16" s="83" t="s">
        <v>3206</v>
      </c>
    </row>
    <row r="17" spans="1:19" ht="14.25" customHeight="1">
      <c r="A17" s="83" t="s">
        <v>251</v>
      </c>
      <c r="B17" s="84" t="s">
        <v>2851</v>
      </c>
      <c r="C17" s="83">
        <v>29180</v>
      </c>
      <c r="D17" s="83">
        <v>27620</v>
      </c>
      <c r="E17" s="83">
        <v>28180</v>
      </c>
      <c r="F17" s="83">
        <v>10790</v>
      </c>
      <c r="G17" s="83">
        <v>20090</v>
      </c>
      <c r="H17" s="78"/>
      <c r="J17" s="84" t="s">
        <v>2859</v>
      </c>
      <c r="K17" s="84" t="s">
        <v>2879</v>
      </c>
      <c r="L17" s="83" t="s">
        <v>2904</v>
      </c>
      <c r="M17" s="83" t="s">
        <v>2936</v>
      </c>
      <c r="N17" s="83" t="s">
        <v>2976</v>
      </c>
      <c r="O17" s="83" t="s">
        <v>3039</v>
      </c>
      <c r="P17" s="83" t="s">
        <v>3083</v>
      </c>
      <c r="Q17" s="83" t="s">
        <v>3126</v>
      </c>
      <c r="R17" s="83" t="s">
        <v>3176</v>
      </c>
      <c r="S17" s="83" t="s">
        <v>3207</v>
      </c>
    </row>
    <row r="18" spans="1:19" ht="14.25" customHeight="1">
      <c r="A18" s="83" t="s">
        <v>251</v>
      </c>
      <c r="B18" s="84" t="s">
        <v>2852</v>
      </c>
      <c r="C18" s="83">
        <v>26840</v>
      </c>
      <c r="D18" s="83">
        <v>28930</v>
      </c>
      <c r="E18" s="83">
        <v>28820</v>
      </c>
      <c r="F18" s="83"/>
      <c r="G18" s="83">
        <v>21050</v>
      </c>
      <c r="H18" s="78"/>
      <c r="J18" s="84" t="s">
        <v>2860</v>
      </c>
      <c r="K18" s="84" t="s">
        <v>2880</v>
      </c>
      <c r="L18" s="83" t="s">
        <v>2905</v>
      </c>
      <c r="M18" s="83" t="s">
        <v>2937</v>
      </c>
      <c r="N18" s="83" t="s">
        <v>2977</v>
      </c>
      <c r="O18" s="83" t="s">
        <v>3040</v>
      </c>
      <c r="P18" s="83" t="s">
        <v>3084</v>
      </c>
      <c r="Q18" s="83" t="s">
        <v>3127</v>
      </c>
      <c r="R18" s="83" t="s">
        <v>3177</v>
      </c>
      <c r="S18" s="83" t="s">
        <v>3208</v>
      </c>
    </row>
    <row r="19" spans="1:19" ht="14.25" customHeight="1">
      <c r="A19" s="83" t="s">
        <v>251</v>
      </c>
      <c r="B19" s="84" t="s">
        <v>2853</v>
      </c>
      <c r="C19" s="83">
        <v>27750</v>
      </c>
      <c r="D19" s="83">
        <v>26680</v>
      </c>
      <c r="E19" s="83">
        <v>26590</v>
      </c>
      <c r="F19" s="83"/>
      <c r="G19" s="83">
        <v>19420</v>
      </c>
      <c r="H19" s="78"/>
      <c r="J19" s="84" t="s">
        <v>2861</v>
      </c>
      <c r="K19" s="84" t="s">
        <v>2881</v>
      </c>
      <c r="L19" s="83" t="s">
        <v>2906</v>
      </c>
      <c r="M19" s="83" t="s">
        <v>2938</v>
      </c>
      <c r="N19" s="83" t="s">
        <v>2978</v>
      </c>
      <c r="O19" s="83" t="s">
        <v>3041</v>
      </c>
      <c r="P19" s="83" t="s">
        <v>3085</v>
      </c>
      <c r="Q19" s="83" t="s">
        <v>3128</v>
      </c>
      <c r="R19" s="83" t="s">
        <v>3178</v>
      </c>
      <c r="S19" s="83" t="s">
        <v>3209</v>
      </c>
    </row>
    <row r="20" spans="1:19" ht="14.25" customHeight="1">
      <c r="A20" s="83" t="s">
        <v>251</v>
      </c>
      <c r="B20" s="84" t="s">
        <v>2854</v>
      </c>
      <c r="C20" s="83">
        <v>27050</v>
      </c>
      <c r="D20" s="83">
        <v>29010</v>
      </c>
      <c r="E20" s="83">
        <v>28910</v>
      </c>
      <c r="F20" s="83"/>
      <c r="G20" s="83">
        <v>21110</v>
      </c>
      <c r="J20" s="84" t="s">
        <v>2862</v>
      </c>
      <c r="K20" s="84" t="s">
        <v>2882</v>
      </c>
      <c r="L20" s="83" t="s">
        <v>2907</v>
      </c>
      <c r="M20" s="83" t="s">
        <v>2939</v>
      </c>
      <c r="N20" s="83" t="s">
        <v>2979</v>
      </c>
      <c r="O20" s="83" t="s">
        <v>3042</v>
      </c>
      <c r="P20" s="83" t="s">
        <v>3086</v>
      </c>
      <c r="Q20" s="83" t="s">
        <v>3129</v>
      </c>
      <c r="R20" s="83" t="s">
        <v>3179</v>
      </c>
      <c r="S20" s="83" t="s">
        <v>3210</v>
      </c>
    </row>
    <row r="21" spans="1:19" ht="14.25" customHeight="1">
      <c r="A21" s="83" t="s">
        <v>251</v>
      </c>
      <c r="B21" s="84" t="s">
        <v>2855</v>
      </c>
      <c r="C21" s="83">
        <v>32370</v>
      </c>
      <c r="D21" s="83">
        <v>26730</v>
      </c>
      <c r="E21" s="83">
        <v>26640</v>
      </c>
      <c r="F21" s="83"/>
      <c r="G21" s="83">
        <v>19440</v>
      </c>
      <c r="J21" s="87" t="s">
        <v>2863</v>
      </c>
      <c r="K21" s="84" t="s">
        <v>2883</v>
      </c>
      <c r="L21" s="83" t="s">
        <v>2908</v>
      </c>
      <c r="M21" s="83" t="s">
        <v>2940</v>
      </c>
      <c r="N21" s="83" t="s">
        <v>2980</v>
      </c>
      <c r="O21" s="83" t="s">
        <v>3043</v>
      </c>
      <c r="P21" s="83" t="s">
        <v>3087</v>
      </c>
      <c r="Q21" s="83" t="s">
        <v>3130</v>
      </c>
      <c r="R21" s="83" t="s">
        <v>3180</v>
      </c>
      <c r="S21" s="87" t="s">
        <v>3211</v>
      </c>
    </row>
    <row r="22" spans="1:19" ht="14.25" customHeight="1">
      <c r="A22" s="83" t="s">
        <v>251</v>
      </c>
      <c r="B22" s="84" t="s">
        <v>2856</v>
      </c>
      <c r="C22" s="83">
        <v>29830</v>
      </c>
      <c r="D22" s="83">
        <v>27600</v>
      </c>
      <c r="E22" s="83">
        <v>28150</v>
      </c>
      <c r="F22" s="83"/>
      <c r="G22" s="83">
        <v>20080</v>
      </c>
      <c r="K22" s="84" t="s">
        <v>2884</v>
      </c>
      <c r="L22" s="83" t="s">
        <v>2909</v>
      </c>
      <c r="M22" s="83" t="s">
        <v>2941</v>
      </c>
      <c r="N22" s="83" t="s">
        <v>2981</v>
      </c>
      <c r="O22" s="83" t="s">
        <v>3044</v>
      </c>
      <c r="P22" s="83" t="s">
        <v>3088</v>
      </c>
      <c r="Q22" s="83" t="s">
        <v>3131</v>
      </c>
      <c r="R22" s="83" t="s">
        <v>3181</v>
      </c>
    </row>
    <row r="23" spans="1:19" ht="14.25" customHeight="1">
      <c r="A23" s="83" t="s">
        <v>251</v>
      </c>
      <c r="B23" s="84" t="s">
        <v>2857</v>
      </c>
      <c r="C23" s="83">
        <v>27800</v>
      </c>
      <c r="D23" s="83">
        <v>26900</v>
      </c>
      <c r="E23" s="83">
        <v>27170</v>
      </c>
      <c r="F23" s="83"/>
      <c r="G23" s="83">
        <v>19570</v>
      </c>
      <c r="K23" s="84" t="s">
        <v>2885</v>
      </c>
      <c r="L23" s="83" t="s">
        <v>2910</v>
      </c>
      <c r="M23" s="83" t="s">
        <v>2942</v>
      </c>
      <c r="N23" s="83" t="s">
        <v>2982</v>
      </c>
      <c r="O23" s="83" t="s">
        <v>3045</v>
      </c>
      <c r="P23" s="83" t="s">
        <v>3089</v>
      </c>
      <c r="Q23" s="83" t="s">
        <v>3132</v>
      </c>
      <c r="R23" s="83" t="s">
        <v>3182</v>
      </c>
    </row>
    <row r="24" spans="1:19" ht="14.25" customHeight="1">
      <c r="A24" s="83" t="s">
        <v>251</v>
      </c>
      <c r="B24" s="84" t="s">
        <v>2858</v>
      </c>
      <c r="C24" s="83">
        <v>27930</v>
      </c>
      <c r="D24" s="83">
        <v>32260</v>
      </c>
      <c r="E24" s="83">
        <v>32120</v>
      </c>
      <c r="F24" s="83"/>
      <c r="G24" s="83">
        <v>23470</v>
      </c>
      <c r="K24" s="84" t="s">
        <v>2886</v>
      </c>
      <c r="L24" s="83" t="s">
        <v>2911</v>
      </c>
      <c r="M24" s="83" t="s">
        <v>2943</v>
      </c>
      <c r="N24" s="83" t="s">
        <v>2983</v>
      </c>
      <c r="O24" s="83" t="s">
        <v>3046</v>
      </c>
      <c r="P24" s="83" t="s">
        <v>3090</v>
      </c>
      <c r="Q24" s="97" t="s">
        <v>3133</v>
      </c>
      <c r="R24" s="83" t="s">
        <v>3183</v>
      </c>
    </row>
    <row r="25" spans="1:19" ht="14.25" customHeight="1">
      <c r="A25" s="83" t="s">
        <v>251</v>
      </c>
      <c r="B25" s="84" t="s">
        <v>2859</v>
      </c>
      <c r="C25" s="83">
        <v>32230</v>
      </c>
      <c r="D25" s="83">
        <v>29640</v>
      </c>
      <c r="E25" s="83">
        <v>29510</v>
      </c>
      <c r="F25" s="83"/>
      <c r="G25" s="83">
        <v>21560</v>
      </c>
      <c r="K25" s="84" t="s">
        <v>2887</v>
      </c>
      <c r="L25" s="83" t="s">
        <v>2912</v>
      </c>
      <c r="M25" s="83" t="s">
        <v>2944</v>
      </c>
      <c r="N25" s="83" t="s">
        <v>2984</v>
      </c>
      <c r="O25" s="83" t="s">
        <v>3047</v>
      </c>
      <c r="P25" s="83" t="s">
        <v>3091</v>
      </c>
      <c r="Q25" s="97" t="s">
        <v>3134</v>
      </c>
      <c r="R25" s="83" t="s">
        <v>3184</v>
      </c>
    </row>
    <row r="26" spans="1:19" ht="14.25" customHeight="1">
      <c r="A26" s="83" t="s">
        <v>251</v>
      </c>
      <c r="B26" s="84" t="s">
        <v>2860</v>
      </c>
      <c r="C26" s="83">
        <v>31690</v>
      </c>
      <c r="D26" s="83">
        <v>27650</v>
      </c>
      <c r="E26" s="83">
        <v>28200</v>
      </c>
      <c r="F26" s="83"/>
      <c r="G26" s="83">
        <v>20110</v>
      </c>
      <c r="K26" s="86" t="s">
        <v>2888</v>
      </c>
      <c r="L26" s="83" t="s">
        <v>2913</v>
      </c>
      <c r="M26" s="83" t="s">
        <v>2945</v>
      </c>
      <c r="N26" s="83" t="s">
        <v>2985</v>
      </c>
      <c r="O26" s="83" t="s">
        <v>3048</v>
      </c>
      <c r="P26" s="83" t="s">
        <v>3092</v>
      </c>
      <c r="Q26" s="97" t="s">
        <v>3135</v>
      </c>
      <c r="R26" s="83" t="s">
        <v>3185</v>
      </c>
    </row>
    <row r="27" spans="1:19" ht="14.25" customHeight="1">
      <c r="A27" s="83" t="s">
        <v>251</v>
      </c>
      <c r="B27" s="84" t="s">
        <v>2861</v>
      </c>
      <c r="C27" s="83">
        <v>29610</v>
      </c>
      <c r="D27" s="83">
        <v>27770</v>
      </c>
      <c r="E27" s="83">
        <v>28300</v>
      </c>
      <c r="F27" s="83"/>
      <c r="G27" s="83">
        <v>20210</v>
      </c>
      <c r="L27" s="83" t="s">
        <v>2914</v>
      </c>
      <c r="M27" s="83" t="s">
        <v>2946</v>
      </c>
      <c r="N27" s="83" t="s">
        <v>2986</v>
      </c>
      <c r="O27" s="83" t="s">
        <v>3049</v>
      </c>
      <c r="P27" s="83" t="s">
        <v>3093</v>
      </c>
      <c r="Q27" s="83" t="s">
        <v>3136</v>
      </c>
      <c r="R27" s="83" t="s">
        <v>3186</v>
      </c>
    </row>
    <row r="28" spans="1:19" ht="14.25" customHeight="1">
      <c r="A28" s="83" t="s">
        <v>251</v>
      </c>
      <c r="B28" s="84" t="s">
        <v>2862</v>
      </c>
      <c r="C28" s="83"/>
      <c r="D28" s="83">
        <v>31520</v>
      </c>
      <c r="E28" s="83">
        <v>31410</v>
      </c>
      <c r="F28" s="83"/>
      <c r="G28" s="83">
        <v>22940</v>
      </c>
      <c r="L28" s="83" t="s">
        <v>2915</v>
      </c>
      <c r="M28" s="83" t="s">
        <v>2947</v>
      </c>
      <c r="N28" s="83" t="s">
        <v>2987</v>
      </c>
      <c r="O28" s="83" t="s">
        <v>3050</v>
      </c>
      <c r="P28" s="83" t="s">
        <v>3094</v>
      </c>
      <c r="Q28" s="83" t="s">
        <v>3137</v>
      </c>
      <c r="R28" s="83" t="s">
        <v>3187</v>
      </c>
    </row>
    <row r="29" spans="1:19" ht="14.25" customHeight="1">
      <c r="A29" s="85" t="s">
        <v>251</v>
      </c>
      <c r="B29" s="88" t="s">
        <v>2863</v>
      </c>
      <c r="C29" s="89"/>
      <c r="D29" s="89">
        <v>29460</v>
      </c>
      <c r="E29" s="89">
        <v>28640</v>
      </c>
      <c r="F29" s="89"/>
      <c r="G29" s="89">
        <v>21430</v>
      </c>
      <c r="L29" s="83" t="s">
        <v>2916</v>
      </c>
      <c r="M29" s="83" t="s">
        <v>2948</v>
      </c>
      <c r="N29" s="83" t="s">
        <v>2988</v>
      </c>
      <c r="O29" s="83" t="s">
        <v>3051</v>
      </c>
      <c r="P29" s="83" t="s">
        <v>3095</v>
      </c>
      <c r="Q29" s="83" t="s">
        <v>3138</v>
      </c>
      <c r="R29" s="83" t="s">
        <v>3188</v>
      </c>
    </row>
    <row r="30" spans="1:19" ht="14.25" customHeight="1">
      <c r="A30" s="81" t="s">
        <v>264</v>
      </c>
      <c r="B30" s="82" t="s">
        <v>2864</v>
      </c>
      <c r="C30" s="82">
        <v>26890</v>
      </c>
      <c r="D30" s="82">
        <v>26770</v>
      </c>
      <c r="E30" s="82">
        <v>25700</v>
      </c>
      <c r="F30" s="82">
        <v>8180</v>
      </c>
      <c r="G30" s="90">
        <v>18740</v>
      </c>
      <c r="L30" s="83" t="s">
        <v>2917</v>
      </c>
      <c r="M30" s="83" t="s">
        <v>2949</v>
      </c>
      <c r="N30" s="83" t="s">
        <v>2989</v>
      </c>
      <c r="O30" s="83" t="s">
        <v>3052</v>
      </c>
      <c r="P30" s="83" t="s">
        <v>3096</v>
      </c>
      <c r="Q30" s="83" t="s">
        <v>3139</v>
      </c>
      <c r="R30" s="83" t="s">
        <v>3189</v>
      </c>
    </row>
    <row r="31" spans="1:19" ht="14.25" customHeight="1">
      <c r="A31" s="83" t="s">
        <v>264</v>
      </c>
      <c r="B31" s="84" t="s">
        <v>2865</v>
      </c>
      <c r="C31" s="83">
        <v>24550</v>
      </c>
      <c r="D31" s="83">
        <v>23990</v>
      </c>
      <c r="E31" s="83">
        <v>22930</v>
      </c>
      <c r="F31" s="83">
        <v>7470</v>
      </c>
      <c r="G31" s="91">
        <v>16790</v>
      </c>
      <c r="L31" s="83" t="s">
        <v>2918</v>
      </c>
      <c r="M31" s="83" t="s">
        <v>2950</v>
      </c>
      <c r="N31" s="83" t="s">
        <v>2990</v>
      </c>
      <c r="O31" s="83" t="s">
        <v>3053</v>
      </c>
      <c r="P31" s="83" t="s">
        <v>3097</v>
      </c>
      <c r="Q31" s="83" t="s">
        <v>3140</v>
      </c>
      <c r="R31" s="83" t="s">
        <v>3190</v>
      </c>
    </row>
    <row r="32" spans="1:19" ht="14.25" customHeight="1">
      <c r="A32" s="83" t="s">
        <v>264</v>
      </c>
      <c r="B32" s="84" t="s">
        <v>2866</v>
      </c>
      <c r="C32" s="83">
        <v>27210</v>
      </c>
      <c r="D32" s="83">
        <v>23240</v>
      </c>
      <c r="E32" s="83">
        <v>23260</v>
      </c>
      <c r="F32" s="83">
        <v>7130</v>
      </c>
      <c r="G32" s="91">
        <v>16270</v>
      </c>
      <c r="L32" s="83" t="s">
        <v>2919</v>
      </c>
      <c r="M32" s="83" t="s">
        <v>2951</v>
      </c>
      <c r="N32" s="83" t="s">
        <v>2991</v>
      </c>
      <c r="O32" s="83" t="s">
        <v>3054</v>
      </c>
      <c r="P32" s="83" t="s">
        <v>3098</v>
      </c>
      <c r="Q32" s="83" t="s">
        <v>3141</v>
      </c>
      <c r="R32" s="87" t="s">
        <v>3191</v>
      </c>
    </row>
    <row r="33" spans="1:17" ht="14.25" customHeight="1">
      <c r="A33" s="83" t="s">
        <v>264</v>
      </c>
      <c r="B33" s="84" t="s">
        <v>2867</v>
      </c>
      <c r="C33" s="83">
        <v>27300</v>
      </c>
      <c r="D33" s="83">
        <v>22980</v>
      </c>
      <c r="E33" s="83">
        <v>24260</v>
      </c>
      <c r="F33" s="83">
        <v>5860</v>
      </c>
      <c r="G33" s="91">
        <v>16090</v>
      </c>
      <c r="L33" s="87" t="s">
        <v>2920</v>
      </c>
      <c r="M33" s="83" t="s">
        <v>2952</v>
      </c>
      <c r="N33" s="83" t="s">
        <v>2992</v>
      </c>
      <c r="O33" s="83" t="s">
        <v>3055</v>
      </c>
      <c r="P33" s="83" t="s">
        <v>3099</v>
      </c>
      <c r="Q33" s="83" t="s">
        <v>3142</v>
      </c>
    </row>
    <row r="34" spans="1:17" ht="14.25" customHeight="1">
      <c r="A34" s="83" t="s">
        <v>264</v>
      </c>
      <c r="B34" s="84" t="s">
        <v>2868</v>
      </c>
      <c r="C34" s="83">
        <v>23090</v>
      </c>
      <c r="D34" s="83">
        <v>23390</v>
      </c>
      <c r="E34" s="83">
        <v>23510</v>
      </c>
      <c r="F34" s="83">
        <v>6700</v>
      </c>
      <c r="G34" s="91">
        <v>16370</v>
      </c>
      <c r="M34" s="83" t="s">
        <v>2953</v>
      </c>
      <c r="N34" s="83" t="s">
        <v>2993</v>
      </c>
      <c r="O34" s="83" t="s">
        <v>3056</v>
      </c>
      <c r="P34" s="83" t="s">
        <v>3100</v>
      </c>
      <c r="Q34" s="83" t="s">
        <v>3143</v>
      </c>
    </row>
    <row r="35" spans="1:17" ht="14.25" customHeight="1">
      <c r="A35" s="83" t="s">
        <v>264</v>
      </c>
      <c r="B35" s="84" t="s">
        <v>2869</v>
      </c>
      <c r="C35" s="83">
        <v>27270</v>
      </c>
      <c r="D35" s="83">
        <v>24270</v>
      </c>
      <c r="E35" s="83">
        <v>24950</v>
      </c>
      <c r="F35" s="83">
        <v>6600</v>
      </c>
      <c r="G35" s="91">
        <v>16990</v>
      </c>
      <c r="M35" s="83" t="s">
        <v>2954</v>
      </c>
      <c r="N35" s="83" t="s">
        <v>2994</v>
      </c>
      <c r="O35" s="83" t="s">
        <v>3057</v>
      </c>
      <c r="P35" s="83" t="s">
        <v>3101</v>
      </c>
      <c r="Q35" s="83" t="s">
        <v>3144</v>
      </c>
    </row>
    <row r="36" spans="1:17" ht="14.25" customHeight="1">
      <c r="A36" s="83" t="s">
        <v>264</v>
      </c>
      <c r="B36" s="84" t="s">
        <v>2870</v>
      </c>
      <c r="C36" s="83">
        <v>23490</v>
      </c>
      <c r="D36" s="83">
        <v>23020</v>
      </c>
      <c r="E36" s="83">
        <v>25230</v>
      </c>
      <c r="F36" s="83">
        <v>6780</v>
      </c>
      <c r="G36" s="91">
        <v>16120</v>
      </c>
      <c r="M36" s="83" t="s">
        <v>2955</v>
      </c>
      <c r="N36" s="83" t="s">
        <v>2995</v>
      </c>
      <c r="O36" s="83" t="s">
        <v>3058</v>
      </c>
      <c r="P36" s="83" t="s">
        <v>3102</v>
      </c>
      <c r="Q36" s="83" t="s">
        <v>3145</v>
      </c>
    </row>
    <row r="37" spans="1:17" ht="14.25" customHeight="1">
      <c r="A37" s="83" t="s">
        <v>264</v>
      </c>
      <c r="B37" s="84" t="s">
        <v>2871</v>
      </c>
      <c r="C37" s="83">
        <v>24380</v>
      </c>
      <c r="D37" s="83">
        <v>22240</v>
      </c>
      <c r="E37" s="83">
        <v>25980</v>
      </c>
      <c r="F37" s="83">
        <v>8160</v>
      </c>
      <c r="G37" s="91">
        <v>15570</v>
      </c>
      <c r="M37" s="83" t="s">
        <v>2956</v>
      </c>
      <c r="N37" s="83" t="s">
        <v>2996</v>
      </c>
      <c r="O37" s="83" t="s">
        <v>3059</v>
      </c>
      <c r="P37" s="83" t="s">
        <v>3103</v>
      </c>
      <c r="Q37" s="83" t="s">
        <v>3146</v>
      </c>
    </row>
    <row r="38" spans="1:17" ht="14.25" customHeight="1">
      <c r="A38" s="83" t="s">
        <v>264</v>
      </c>
      <c r="B38" s="84" t="s">
        <v>2872</v>
      </c>
      <c r="C38" s="83">
        <v>23120</v>
      </c>
      <c r="D38" s="83">
        <v>24630</v>
      </c>
      <c r="E38" s="83">
        <v>25030</v>
      </c>
      <c r="F38" s="83">
        <v>7710</v>
      </c>
      <c r="G38" s="91">
        <v>17240</v>
      </c>
      <c r="M38" s="83" t="s">
        <v>2957</v>
      </c>
      <c r="N38" s="83" t="s">
        <v>2997</v>
      </c>
      <c r="O38" s="83" t="s">
        <v>3060</v>
      </c>
      <c r="P38" s="83" t="s">
        <v>3104</v>
      </c>
      <c r="Q38" s="83" t="s">
        <v>3147</v>
      </c>
    </row>
    <row r="39" spans="1:17" ht="14.25" customHeight="1">
      <c r="A39" s="83" t="s">
        <v>264</v>
      </c>
      <c r="B39" s="84" t="s">
        <v>2873</v>
      </c>
      <c r="C39" s="83">
        <v>22330</v>
      </c>
      <c r="D39" s="83">
        <v>21140</v>
      </c>
      <c r="E39" s="83">
        <v>23970</v>
      </c>
      <c r="F39" s="83">
        <v>7940</v>
      </c>
      <c r="G39" s="91">
        <v>14790</v>
      </c>
      <c r="M39" s="83" t="s">
        <v>2958</v>
      </c>
      <c r="N39" s="83" t="s">
        <v>2998</v>
      </c>
      <c r="O39" s="83" t="s">
        <v>3348</v>
      </c>
      <c r="P39" s="83" t="s">
        <v>3105</v>
      </c>
      <c r="Q39" s="83" t="s">
        <v>3148</v>
      </c>
    </row>
    <row r="40" spans="1:17" ht="14.25" customHeight="1">
      <c r="A40" s="83" t="s">
        <v>264</v>
      </c>
      <c r="B40" s="84" t="s">
        <v>2874</v>
      </c>
      <c r="C40" s="83">
        <v>24740</v>
      </c>
      <c r="D40" s="83">
        <v>24690</v>
      </c>
      <c r="E40" s="83">
        <v>22610</v>
      </c>
      <c r="F40" s="83"/>
      <c r="G40" s="91">
        <v>17280</v>
      </c>
      <c r="M40" s="83" t="s">
        <v>2959</v>
      </c>
      <c r="N40" s="83" t="s">
        <v>2999</v>
      </c>
      <c r="O40" s="83" t="s">
        <v>3349</v>
      </c>
      <c r="P40" s="83" t="s">
        <v>3106</v>
      </c>
      <c r="Q40" s="83" t="s">
        <v>3149</v>
      </c>
    </row>
    <row r="41" spans="1:17" ht="14.25" customHeight="1">
      <c r="A41" s="83" t="s">
        <v>264</v>
      </c>
      <c r="B41" s="84" t="s">
        <v>2875</v>
      </c>
      <c r="C41" s="83">
        <v>21220</v>
      </c>
      <c r="D41" s="83">
        <v>21120</v>
      </c>
      <c r="E41" s="83">
        <v>22590</v>
      </c>
      <c r="F41" s="83"/>
      <c r="G41" s="91">
        <v>14780</v>
      </c>
      <c r="M41" s="87" t="s">
        <v>2960</v>
      </c>
      <c r="N41" s="83" t="s">
        <v>3000</v>
      </c>
      <c r="O41" s="83" t="s">
        <v>3350</v>
      </c>
      <c r="P41" s="83" t="s">
        <v>3107</v>
      </c>
      <c r="Q41" s="83" t="s">
        <v>3150</v>
      </c>
    </row>
    <row r="42" spans="1:17" ht="14.25" customHeight="1">
      <c r="A42" s="83" t="s">
        <v>264</v>
      </c>
      <c r="B42" s="84" t="s">
        <v>2876</v>
      </c>
      <c r="C42" s="83">
        <v>24800</v>
      </c>
      <c r="D42" s="83">
        <v>22280</v>
      </c>
      <c r="E42" s="83">
        <v>24350</v>
      </c>
      <c r="F42" s="83"/>
      <c r="G42" s="91">
        <v>15590</v>
      </c>
      <c r="N42" s="83" t="s">
        <v>3001</v>
      </c>
      <c r="O42" s="83" t="s">
        <v>3064</v>
      </c>
      <c r="P42" s="83" t="s">
        <v>3108</v>
      </c>
      <c r="Q42" s="83" t="s">
        <v>3151</v>
      </c>
    </row>
    <row r="43" spans="1:17" ht="14.25" customHeight="1">
      <c r="A43" s="83" t="s">
        <v>264</v>
      </c>
      <c r="B43" s="84" t="s">
        <v>2877</v>
      </c>
      <c r="C43" s="83">
        <v>21210</v>
      </c>
      <c r="D43" s="83">
        <v>21160</v>
      </c>
      <c r="E43" s="83">
        <v>22650</v>
      </c>
      <c r="F43" s="83"/>
      <c r="G43" s="91">
        <v>14800</v>
      </c>
      <c r="N43" s="83" t="s">
        <v>3002</v>
      </c>
      <c r="O43" s="83" t="s">
        <v>3065</v>
      </c>
      <c r="P43" s="83" t="s">
        <v>3109</v>
      </c>
      <c r="Q43" s="83" t="s">
        <v>3152</v>
      </c>
    </row>
    <row r="44" spans="1:17" ht="14.25" customHeight="1">
      <c r="A44" s="83" t="s">
        <v>264</v>
      </c>
      <c r="B44" s="84" t="s">
        <v>2878</v>
      </c>
      <c r="C44" s="83">
        <v>22370</v>
      </c>
      <c r="D44" s="83">
        <v>23140</v>
      </c>
      <c r="E44" s="83">
        <v>25090</v>
      </c>
      <c r="F44" s="83"/>
      <c r="G44" s="91">
        <v>16190</v>
      </c>
      <c r="N44" s="83" t="s">
        <v>3003</v>
      </c>
      <c r="O44" s="83" t="s">
        <v>3351</v>
      </c>
      <c r="P44" s="87" t="s">
        <v>3110</v>
      </c>
      <c r="Q44" s="83" t="s">
        <v>3153</v>
      </c>
    </row>
    <row r="45" spans="1:17" ht="14.25" customHeight="1">
      <c r="A45" s="83" t="s">
        <v>264</v>
      </c>
      <c r="B45" s="84" t="s">
        <v>2879</v>
      </c>
      <c r="C45" s="83">
        <v>21240</v>
      </c>
      <c r="D45" s="83">
        <v>27050</v>
      </c>
      <c r="E45" s="83">
        <v>28000</v>
      </c>
      <c r="F45" s="83"/>
      <c r="G45" s="91">
        <v>18940</v>
      </c>
      <c r="N45" s="83" t="s">
        <v>3004</v>
      </c>
      <c r="O45" s="87" t="s">
        <v>3067</v>
      </c>
      <c r="Q45" s="83" t="s">
        <v>3154</v>
      </c>
    </row>
    <row r="46" spans="1:17" ht="14.25" customHeight="1">
      <c r="A46" s="83" t="s">
        <v>264</v>
      </c>
      <c r="B46" s="84" t="s">
        <v>2880</v>
      </c>
      <c r="C46" s="83">
        <v>23240</v>
      </c>
      <c r="D46" s="83">
        <v>23000</v>
      </c>
      <c r="E46" s="83">
        <v>24980</v>
      </c>
      <c r="F46" s="83"/>
      <c r="G46" s="91">
        <v>16100</v>
      </c>
      <c r="N46" s="83" t="s">
        <v>3005</v>
      </c>
      <c r="Q46" s="83" t="s">
        <v>3155</v>
      </c>
    </row>
    <row r="47" spans="1:17" ht="14.25" customHeight="1">
      <c r="A47" s="83" t="s">
        <v>264</v>
      </c>
      <c r="B47" s="84" t="s">
        <v>2881</v>
      </c>
      <c r="C47" s="83">
        <v>27150</v>
      </c>
      <c r="D47" s="83">
        <v>23310</v>
      </c>
      <c r="E47" s="83">
        <v>25150</v>
      </c>
      <c r="F47" s="83"/>
      <c r="G47" s="91">
        <v>16310</v>
      </c>
      <c r="N47" s="83" t="s">
        <v>3006</v>
      </c>
      <c r="Q47" s="83" t="s">
        <v>3156</v>
      </c>
    </row>
    <row r="48" spans="1:17" ht="14.25" customHeight="1">
      <c r="A48" s="83" t="s">
        <v>264</v>
      </c>
      <c r="B48" s="84" t="s">
        <v>2882</v>
      </c>
      <c r="C48" s="83">
        <v>23100</v>
      </c>
      <c r="D48" s="83">
        <v>21110</v>
      </c>
      <c r="E48" s="83">
        <v>23080</v>
      </c>
      <c r="F48" s="83"/>
      <c r="G48" s="91">
        <v>14780</v>
      </c>
      <c r="N48" s="83" t="s">
        <v>3007</v>
      </c>
      <c r="Q48" s="83" t="s">
        <v>3157</v>
      </c>
    </row>
    <row r="49" spans="1:17" ht="14.25" customHeight="1">
      <c r="A49" s="83" t="s">
        <v>264</v>
      </c>
      <c r="B49" s="84" t="s">
        <v>2883</v>
      </c>
      <c r="C49" s="83">
        <v>23400</v>
      </c>
      <c r="D49" s="83">
        <v>22920</v>
      </c>
      <c r="E49" s="83">
        <v>24900</v>
      </c>
      <c r="F49" s="83"/>
      <c r="G49" s="91">
        <v>16040</v>
      </c>
      <c r="N49" s="83" t="s">
        <v>3008</v>
      </c>
      <c r="Q49" s="83" t="s">
        <v>3158</v>
      </c>
    </row>
    <row r="50" spans="1:17" ht="14.25" customHeight="1">
      <c r="A50" s="83" t="s">
        <v>264</v>
      </c>
      <c r="B50" s="84" t="s">
        <v>2884</v>
      </c>
      <c r="C50" s="83">
        <v>21200</v>
      </c>
      <c r="D50" s="83">
        <v>26540</v>
      </c>
      <c r="E50" s="83">
        <v>23200</v>
      </c>
      <c r="F50" s="83"/>
      <c r="G50" s="91">
        <v>18580</v>
      </c>
      <c r="N50" s="83" t="s">
        <v>3009</v>
      </c>
      <c r="Q50" s="84" t="s">
        <v>3159</v>
      </c>
    </row>
    <row r="51" spans="1:17" ht="14.25" customHeight="1">
      <c r="A51" s="83" t="s">
        <v>264</v>
      </c>
      <c r="B51" s="84" t="s">
        <v>2885</v>
      </c>
      <c r="C51" s="83">
        <v>23000</v>
      </c>
      <c r="D51" s="83">
        <v>23460</v>
      </c>
      <c r="E51" s="83">
        <v>25290</v>
      </c>
      <c r="F51" s="83"/>
      <c r="G51" s="91">
        <v>16420</v>
      </c>
      <c r="N51" s="83" t="s">
        <v>3010</v>
      </c>
      <c r="Q51" s="87" t="s">
        <v>3160</v>
      </c>
    </row>
    <row r="52" spans="1:17" ht="14.25" customHeight="1">
      <c r="A52" s="83" t="s">
        <v>264</v>
      </c>
      <c r="B52" s="84" t="s">
        <v>2886</v>
      </c>
      <c r="C52" s="83">
        <v>26660</v>
      </c>
      <c r="D52" s="83">
        <v>22350</v>
      </c>
      <c r="E52" s="83">
        <v>22920</v>
      </c>
      <c r="F52" s="83"/>
      <c r="G52" s="91">
        <v>15640</v>
      </c>
      <c r="N52" s="83" t="s">
        <v>3011</v>
      </c>
    </row>
    <row r="53" spans="1:17" ht="14.25" customHeight="1">
      <c r="A53" s="83" t="s">
        <v>264</v>
      </c>
      <c r="B53" s="84" t="s">
        <v>2887</v>
      </c>
      <c r="C53" s="83">
        <v>23580</v>
      </c>
      <c r="D53" s="83"/>
      <c r="E53" s="83">
        <v>24280</v>
      </c>
      <c r="F53" s="83"/>
      <c r="G53" s="91"/>
      <c r="N53" s="83" t="s">
        <v>3012</v>
      </c>
    </row>
    <row r="54" spans="1:17" ht="14.25" customHeight="1">
      <c r="A54" s="92" t="s">
        <v>264</v>
      </c>
      <c r="B54" s="86" t="s">
        <v>2888</v>
      </c>
      <c r="C54" s="87">
        <v>22460</v>
      </c>
      <c r="D54" s="87"/>
      <c r="E54" s="87"/>
      <c r="F54" s="87"/>
      <c r="G54" s="93"/>
      <c r="N54" s="83" t="s">
        <v>3013</v>
      </c>
    </row>
    <row r="55" spans="1:17" ht="14.25" customHeight="1">
      <c r="A55" s="81" t="s">
        <v>275</v>
      </c>
      <c r="B55" s="82" t="s">
        <v>2889</v>
      </c>
      <c r="C55" s="83">
        <v>21970</v>
      </c>
      <c r="D55" s="83">
        <v>20370</v>
      </c>
      <c r="E55" s="83">
        <v>20180</v>
      </c>
      <c r="F55" s="83">
        <v>5730</v>
      </c>
      <c r="G55" s="83">
        <v>13820</v>
      </c>
      <c r="N55" s="83" t="s">
        <v>3014</v>
      </c>
    </row>
    <row r="56" spans="1:17" ht="14.25" customHeight="1">
      <c r="A56" s="83" t="s">
        <v>275</v>
      </c>
      <c r="B56" s="83" t="s">
        <v>2890</v>
      </c>
      <c r="C56" s="83">
        <v>20470</v>
      </c>
      <c r="D56" s="83">
        <v>20700</v>
      </c>
      <c r="E56" s="83">
        <v>20380</v>
      </c>
      <c r="F56" s="83">
        <v>4760</v>
      </c>
      <c r="G56" s="83">
        <v>14050</v>
      </c>
      <c r="N56" s="83" t="s">
        <v>3015</v>
      </c>
    </row>
    <row r="57" spans="1:17" ht="14.25" customHeight="1">
      <c r="A57" s="83" t="s">
        <v>275</v>
      </c>
      <c r="B57" s="83" t="s">
        <v>2891</v>
      </c>
      <c r="C57" s="83">
        <v>20790</v>
      </c>
      <c r="D57" s="83">
        <v>21370</v>
      </c>
      <c r="E57" s="83">
        <v>20890</v>
      </c>
      <c r="F57" s="83">
        <v>4910</v>
      </c>
      <c r="G57" s="83">
        <v>14510</v>
      </c>
      <c r="N57" s="83" t="s">
        <v>3016</v>
      </c>
    </row>
    <row r="58" spans="1:17" ht="14.25" customHeight="1">
      <c r="A58" s="83" t="s">
        <v>275</v>
      </c>
      <c r="B58" s="83" t="s">
        <v>2892</v>
      </c>
      <c r="C58" s="83">
        <v>21460</v>
      </c>
      <c r="D58" s="83">
        <v>20920</v>
      </c>
      <c r="E58" s="83">
        <v>23410</v>
      </c>
      <c r="F58" s="83">
        <v>5100</v>
      </c>
      <c r="G58" s="83">
        <v>14200</v>
      </c>
      <c r="N58" s="83" t="s">
        <v>3017</v>
      </c>
    </row>
    <row r="59" spans="1:17" ht="14.25" customHeight="1">
      <c r="A59" s="83" t="s">
        <v>275</v>
      </c>
      <c r="B59" s="83" t="s">
        <v>2893</v>
      </c>
      <c r="C59" s="83">
        <v>21000</v>
      </c>
      <c r="D59" s="83">
        <v>21550</v>
      </c>
      <c r="E59" s="83">
        <v>21150</v>
      </c>
      <c r="F59" s="83">
        <v>5250</v>
      </c>
      <c r="G59" s="83">
        <v>14630</v>
      </c>
      <c r="N59" s="83" t="s">
        <v>3018</v>
      </c>
    </row>
    <row r="60" spans="1:17" ht="14.25" customHeight="1">
      <c r="A60" s="83" t="s">
        <v>275</v>
      </c>
      <c r="B60" s="83" t="s">
        <v>2894</v>
      </c>
      <c r="C60" s="83">
        <v>21640</v>
      </c>
      <c r="D60" s="83">
        <v>21260</v>
      </c>
      <c r="E60" s="83">
        <v>24040</v>
      </c>
      <c r="F60" s="83">
        <v>4470</v>
      </c>
      <c r="G60" s="83">
        <v>14430</v>
      </c>
      <c r="N60" s="83" t="s">
        <v>3019</v>
      </c>
    </row>
    <row r="61" spans="1:17" ht="14.25" customHeight="1">
      <c r="A61" s="83" t="s">
        <v>275</v>
      </c>
      <c r="B61" s="83" t="s">
        <v>2895</v>
      </c>
      <c r="C61" s="83">
        <v>21330</v>
      </c>
      <c r="D61" s="83">
        <v>18640</v>
      </c>
      <c r="E61" s="83">
        <v>21190</v>
      </c>
      <c r="F61" s="83">
        <v>4180</v>
      </c>
      <c r="G61" s="83">
        <v>12650</v>
      </c>
      <c r="N61" s="83" t="s">
        <v>3020</v>
      </c>
    </row>
    <row r="62" spans="1:17" ht="14.25" customHeight="1">
      <c r="A62" s="83" t="s">
        <v>275</v>
      </c>
      <c r="B62" s="83" t="s">
        <v>2896</v>
      </c>
      <c r="C62" s="83">
        <v>18710</v>
      </c>
      <c r="D62" s="83">
        <v>19400</v>
      </c>
      <c r="E62" s="83">
        <v>23750</v>
      </c>
      <c r="F62" s="83">
        <v>4860</v>
      </c>
      <c r="G62" s="83">
        <v>13170</v>
      </c>
      <c r="N62" s="83" t="s">
        <v>3021</v>
      </c>
    </row>
    <row r="63" spans="1:17" ht="14.25" customHeight="1">
      <c r="A63" s="83" t="s">
        <v>275</v>
      </c>
      <c r="B63" s="83" t="s">
        <v>2897</v>
      </c>
      <c r="C63" s="83">
        <v>19480</v>
      </c>
      <c r="D63" s="83">
        <v>16830</v>
      </c>
      <c r="E63" s="83">
        <v>21590</v>
      </c>
      <c r="F63" s="83">
        <v>4560</v>
      </c>
      <c r="G63" s="83">
        <v>11420</v>
      </c>
      <c r="N63" s="83" t="s">
        <v>3022</v>
      </c>
    </row>
    <row r="64" spans="1:17" ht="14.25" customHeight="1">
      <c r="A64" s="83" t="s">
        <v>275</v>
      </c>
      <c r="B64" s="83" t="s">
        <v>2898</v>
      </c>
      <c r="C64" s="83">
        <v>16920</v>
      </c>
      <c r="D64" s="83">
        <v>19190</v>
      </c>
      <c r="E64" s="83">
        <v>22200</v>
      </c>
      <c r="F64" s="83">
        <v>4390</v>
      </c>
      <c r="G64" s="83">
        <v>13030</v>
      </c>
      <c r="N64" s="87" t="s">
        <v>3023</v>
      </c>
    </row>
    <row r="65" spans="1:7" s="72" customFormat="1" ht="14.25" customHeight="1">
      <c r="A65" s="83" t="s">
        <v>275</v>
      </c>
      <c r="B65" s="83" t="s">
        <v>2899</v>
      </c>
      <c r="C65" s="83">
        <v>19290</v>
      </c>
      <c r="D65" s="83">
        <v>17020</v>
      </c>
      <c r="E65" s="83">
        <v>19880</v>
      </c>
      <c r="F65" s="83">
        <v>4070</v>
      </c>
      <c r="G65" s="83">
        <v>11550</v>
      </c>
    </row>
    <row r="66" spans="1:7" s="72" customFormat="1" ht="14.25" customHeight="1">
      <c r="A66" s="83" t="s">
        <v>275</v>
      </c>
      <c r="B66" s="83" t="s">
        <v>2900</v>
      </c>
      <c r="C66" s="83">
        <v>17090</v>
      </c>
      <c r="D66" s="83">
        <v>18340</v>
      </c>
      <c r="E66" s="83">
        <v>21830</v>
      </c>
      <c r="F66" s="83">
        <v>4690</v>
      </c>
      <c r="G66" s="83">
        <v>12450</v>
      </c>
    </row>
    <row r="67" spans="1:7" s="72" customFormat="1" ht="14.25" customHeight="1">
      <c r="A67" s="83" t="s">
        <v>275</v>
      </c>
      <c r="B67" s="83" t="s">
        <v>2901</v>
      </c>
      <c r="C67" s="83">
        <v>18420</v>
      </c>
      <c r="D67" s="83">
        <v>16360</v>
      </c>
      <c r="E67" s="83">
        <v>20020</v>
      </c>
      <c r="F67" s="83">
        <v>5150</v>
      </c>
      <c r="G67" s="83">
        <v>11110</v>
      </c>
    </row>
    <row r="68" spans="1:7" s="72" customFormat="1" ht="14.25" customHeight="1">
      <c r="A68" s="83" t="s">
        <v>275</v>
      </c>
      <c r="B68" s="83" t="s">
        <v>2902</v>
      </c>
      <c r="C68" s="83">
        <v>16450</v>
      </c>
      <c r="D68" s="83">
        <v>18430</v>
      </c>
      <c r="E68" s="83">
        <v>21010</v>
      </c>
      <c r="F68" s="83">
        <v>4720</v>
      </c>
      <c r="G68" s="83">
        <v>12510</v>
      </c>
    </row>
    <row r="69" spans="1:7" s="72" customFormat="1" ht="14.25" customHeight="1">
      <c r="A69" s="83" t="s">
        <v>275</v>
      </c>
      <c r="B69" s="83" t="s">
        <v>2903</v>
      </c>
      <c r="C69" s="83">
        <v>18510</v>
      </c>
      <c r="D69" s="83">
        <v>16300</v>
      </c>
      <c r="E69" s="83">
        <v>18830</v>
      </c>
      <c r="F69" s="83">
        <v>5400</v>
      </c>
      <c r="G69" s="83">
        <v>11070</v>
      </c>
    </row>
    <row r="70" spans="1:7" s="72" customFormat="1" ht="14.25" customHeight="1">
      <c r="A70" s="83" t="s">
        <v>275</v>
      </c>
      <c r="B70" s="83" t="s">
        <v>2904</v>
      </c>
      <c r="C70" s="83">
        <v>16370</v>
      </c>
      <c r="D70" s="83">
        <v>18620</v>
      </c>
      <c r="E70" s="83">
        <v>21100</v>
      </c>
      <c r="F70" s="83">
        <v>5700</v>
      </c>
      <c r="G70" s="83">
        <v>12640</v>
      </c>
    </row>
    <row r="71" spans="1:7" s="72" customFormat="1" ht="14.25" customHeight="1">
      <c r="A71" s="83" t="s">
        <v>275</v>
      </c>
      <c r="B71" s="83" t="s">
        <v>2905</v>
      </c>
      <c r="C71" s="83">
        <v>18700</v>
      </c>
      <c r="D71" s="83">
        <v>16290</v>
      </c>
      <c r="E71" s="83">
        <v>18760</v>
      </c>
      <c r="F71" s="83">
        <v>4780</v>
      </c>
      <c r="G71" s="83">
        <v>11050</v>
      </c>
    </row>
    <row r="72" spans="1:7" s="72" customFormat="1" ht="14.25" customHeight="1">
      <c r="A72" s="83" t="s">
        <v>275</v>
      </c>
      <c r="B72" s="83" t="s">
        <v>2906</v>
      </c>
      <c r="C72" s="83">
        <v>16340</v>
      </c>
      <c r="D72" s="83">
        <v>17520</v>
      </c>
      <c r="E72" s="83">
        <v>21170</v>
      </c>
      <c r="F72" s="83"/>
      <c r="G72" s="83">
        <v>11900</v>
      </c>
    </row>
    <row r="73" spans="1:7" s="72" customFormat="1" ht="14.25" customHeight="1">
      <c r="A73" s="83" t="s">
        <v>275</v>
      </c>
      <c r="B73" s="83" t="s">
        <v>2907</v>
      </c>
      <c r="C73" s="83">
        <v>17610</v>
      </c>
      <c r="D73" s="83">
        <v>18520</v>
      </c>
      <c r="E73" s="83">
        <v>18720</v>
      </c>
      <c r="F73" s="83"/>
      <c r="G73" s="83">
        <v>12570</v>
      </c>
    </row>
    <row r="74" spans="1:7" s="72" customFormat="1" ht="14.25" customHeight="1">
      <c r="A74" s="83" t="s">
        <v>275</v>
      </c>
      <c r="B74" s="83" t="s">
        <v>2908</v>
      </c>
      <c r="C74" s="83">
        <v>18600</v>
      </c>
      <c r="D74" s="83">
        <v>16480</v>
      </c>
      <c r="E74" s="83">
        <v>20100</v>
      </c>
      <c r="F74" s="83"/>
      <c r="G74" s="83">
        <v>11190</v>
      </c>
    </row>
    <row r="75" spans="1:7" s="72" customFormat="1" ht="14.25" customHeight="1">
      <c r="A75" s="83" t="s">
        <v>275</v>
      </c>
      <c r="B75" s="83" t="s">
        <v>2909</v>
      </c>
      <c r="C75" s="83">
        <v>16570</v>
      </c>
      <c r="D75" s="83">
        <v>17530</v>
      </c>
      <c r="E75" s="83">
        <v>21030</v>
      </c>
      <c r="F75" s="83"/>
      <c r="G75" s="83">
        <v>11900</v>
      </c>
    </row>
    <row r="76" spans="1:7" s="72" customFormat="1" ht="14.25" customHeight="1">
      <c r="A76" s="83" t="s">
        <v>275</v>
      </c>
      <c r="B76" s="83" t="s">
        <v>2910</v>
      </c>
      <c r="C76" s="83">
        <v>17610</v>
      </c>
      <c r="D76" s="83">
        <v>20800</v>
      </c>
      <c r="E76" s="83">
        <v>18920</v>
      </c>
      <c r="F76" s="83"/>
      <c r="G76" s="83">
        <v>14120</v>
      </c>
    </row>
    <row r="77" spans="1:7" s="72" customFormat="1" ht="14.25" customHeight="1">
      <c r="A77" s="83" t="s">
        <v>275</v>
      </c>
      <c r="B77" s="83" t="s">
        <v>2911</v>
      </c>
      <c r="C77" s="83">
        <v>20890</v>
      </c>
      <c r="D77" s="83">
        <v>19740</v>
      </c>
      <c r="E77" s="83">
        <v>20110</v>
      </c>
      <c r="F77" s="83"/>
      <c r="G77" s="83">
        <v>13400</v>
      </c>
    </row>
    <row r="78" spans="1:7" s="72" customFormat="1" ht="14.25" customHeight="1">
      <c r="A78" s="83" t="s">
        <v>275</v>
      </c>
      <c r="B78" s="83" t="s">
        <v>2912</v>
      </c>
      <c r="C78" s="83">
        <v>19820</v>
      </c>
      <c r="D78" s="83">
        <v>19780</v>
      </c>
      <c r="E78" s="83">
        <v>18560</v>
      </c>
      <c r="F78" s="83"/>
      <c r="G78" s="83">
        <v>13430</v>
      </c>
    </row>
    <row r="79" spans="1:7" s="72" customFormat="1" ht="14.25" customHeight="1">
      <c r="A79" s="83" t="s">
        <v>275</v>
      </c>
      <c r="B79" s="83" t="s">
        <v>2913</v>
      </c>
      <c r="C79" s="83">
        <v>21660</v>
      </c>
      <c r="D79" s="83">
        <v>18000</v>
      </c>
      <c r="E79" s="83">
        <v>22570</v>
      </c>
      <c r="F79" s="83"/>
      <c r="G79" s="83">
        <v>12220</v>
      </c>
    </row>
    <row r="80" spans="1:7" s="72" customFormat="1" ht="14.25" customHeight="1">
      <c r="A80" s="83" t="s">
        <v>275</v>
      </c>
      <c r="B80" s="83" t="s">
        <v>2914</v>
      </c>
      <c r="C80" s="83">
        <v>19850</v>
      </c>
      <c r="D80" s="83"/>
      <c r="E80" s="83">
        <v>21700</v>
      </c>
      <c r="F80" s="83"/>
      <c r="G80" s="83"/>
    </row>
    <row r="81" spans="1:7" s="72" customFormat="1" ht="14.25" customHeight="1">
      <c r="A81" s="83" t="s">
        <v>275</v>
      </c>
      <c r="B81" s="83" t="s">
        <v>2915</v>
      </c>
      <c r="C81" s="83">
        <v>18080</v>
      </c>
      <c r="D81" s="83"/>
      <c r="E81" s="83">
        <v>20900</v>
      </c>
      <c r="F81" s="83"/>
      <c r="G81" s="83"/>
    </row>
    <row r="82" spans="1:7" s="72" customFormat="1" ht="14.25" customHeight="1">
      <c r="A82" s="83" t="s">
        <v>275</v>
      </c>
      <c r="B82" s="83" t="s">
        <v>2916</v>
      </c>
      <c r="C82" s="83"/>
      <c r="D82" s="83"/>
      <c r="E82" s="83">
        <v>20840</v>
      </c>
      <c r="F82" s="83"/>
      <c r="G82" s="83"/>
    </row>
    <row r="83" spans="1:7" s="72" customFormat="1" ht="14.25" customHeight="1">
      <c r="A83" s="83" t="s">
        <v>275</v>
      </c>
      <c r="B83" s="83" t="s">
        <v>2917</v>
      </c>
      <c r="C83" s="83"/>
      <c r="D83" s="83"/>
      <c r="E83" s="83"/>
      <c r="F83" s="83">
        <v>4770</v>
      </c>
      <c r="G83" s="83"/>
    </row>
    <row r="84" spans="1:7" s="72" customFormat="1" ht="14.25" customHeight="1">
      <c r="A84" s="83" t="s">
        <v>275</v>
      </c>
      <c r="B84" s="83" t="s">
        <v>2918</v>
      </c>
      <c r="C84" s="83"/>
      <c r="D84" s="83"/>
      <c r="E84" s="83"/>
      <c r="F84" s="83">
        <v>4600</v>
      </c>
      <c r="G84" s="83"/>
    </row>
    <row r="85" spans="1:7" s="72" customFormat="1" ht="14.25" customHeight="1">
      <c r="A85" s="83" t="s">
        <v>275</v>
      </c>
      <c r="B85" s="83" t="s">
        <v>2919</v>
      </c>
      <c r="C85" s="83"/>
      <c r="D85" s="83"/>
      <c r="E85" s="83"/>
      <c r="F85" s="83">
        <v>4680</v>
      </c>
      <c r="G85" s="83"/>
    </row>
    <row r="86" spans="1:7" s="72" customFormat="1" ht="14.25" customHeight="1">
      <c r="A86" s="85" t="s">
        <v>275</v>
      </c>
      <c r="B86" s="88" t="s">
        <v>2920</v>
      </c>
      <c r="C86" s="89">
        <v>16610</v>
      </c>
      <c r="D86" s="89">
        <v>16540</v>
      </c>
      <c r="E86" s="89">
        <v>18850</v>
      </c>
      <c r="F86" s="89"/>
      <c r="G86" s="89">
        <v>11220</v>
      </c>
    </row>
    <row r="87" spans="1:7" s="72" customFormat="1" ht="14.25" customHeight="1">
      <c r="A87" s="81" t="s">
        <v>286</v>
      </c>
      <c r="B87" s="82" t="s">
        <v>2921</v>
      </c>
      <c r="C87" s="82">
        <v>15240</v>
      </c>
      <c r="D87" s="82">
        <v>15170</v>
      </c>
      <c r="E87" s="82">
        <v>18260</v>
      </c>
      <c r="F87" s="82">
        <v>3830</v>
      </c>
      <c r="G87" s="90">
        <v>10020</v>
      </c>
    </row>
    <row r="88" spans="1:7" s="72" customFormat="1" ht="14.25" customHeight="1">
      <c r="A88" s="83" t="s">
        <v>286</v>
      </c>
      <c r="B88" s="83" t="s">
        <v>2922</v>
      </c>
      <c r="C88" s="83">
        <v>17310</v>
      </c>
      <c r="D88" s="83">
        <v>17220</v>
      </c>
      <c r="E88" s="83">
        <v>18610</v>
      </c>
      <c r="F88" s="83">
        <v>3990</v>
      </c>
      <c r="G88" s="91">
        <v>11380</v>
      </c>
    </row>
    <row r="89" spans="1:7" s="72" customFormat="1" ht="14.25" customHeight="1">
      <c r="A89" s="83" t="s">
        <v>286</v>
      </c>
      <c r="B89" s="83" t="s">
        <v>2923</v>
      </c>
      <c r="C89" s="83">
        <v>15600</v>
      </c>
      <c r="D89" s="83">
        <v>15550</v>
      </c>
      <c r="E89" s="83">
        <v>19200</v>
      </c>
      <c r="F89" s="83">
        <v>4110</v>
      </c>
      <c r="G89" s="91">
        <v>10270</v>
      </c>
    </row>
    <row r="90" spans="1:7" s="72" customFormat="1" ht="14.25" customHeight="1">
      <c r="A90" s="83" t="s">
        <v>286</v>
      </c>
      <c r="B90" s="83" t="s">
        <v>2924</v>
      </c>
      <c r="C90" s="83">
        <v>17330</v>
      </c>
      <c r="D90" s="83">
        <v>17240</v>
      </c>
      <c r="E90" s="83">
        <v>18570</v>
      </c>
      <c r="F90" s="83">
        <v>4070</v>
      </c>
      <c r="G90" s="91">
        <v>11390</v>
      </c>
    </row>
    <row r="91" spans="1:7" s="72" customFormat="1" ht="14.25" customHeight="1">
      <c r="A91" s="83" t="s">
        <v>286</v>
      </c>
      <c r="B91" s="83" t="s">
        <v>2925</v>
      </c>
      <c r="C91" s="83">
        <v>16330</v>
      </c>
      <c r="D91" s="83">
        <v>16260</v>
      </c>
      <c r="E91" s="83">
        <v>16800</v>
      </c>
      <c r="F91" s="83">
        <v>3410</v>
      </c>
      <c r="G91" s="91">
        <v>10740</v>
      </c>
    </row>
    <row r="92" spans="1:7" s="72" customFormat="1" ht="14.25" customHeight="1">
      <c r="A92" s="83" t="s">
        <v>286</v>
      </c>
      <c r="B92" s="83" t="s">
        <v>2926</v>
      </c>
      <c r="C92" s="83">
        <v>15570</v>
      </c>
      <c r="D92" s="83">
        <v>15500</v>
      </c>
      <c r="E92" s="83">
        <v>17360</v>
      </c>
      <c r="F92" s="83">
        <v>3510</v>
      </c>
      <c r="G92" s="91">
        <v>10240</v>
      </c>
    </row>
    <row r="93" spans="1:7" s="72" customFormat="1" ht="14.25" customHeight="1">
      <c r="A93" s="83" t="s">
        <v>286</v>
      </c>
      <c r="B93" s="83" t="s">
        <v>2927</v>
      </c>
      <c r="C93" s="83">
        <v>14000</v>
      </c>
      <c r="D93" s="83">
        <v>13930</v>
      </c>
      <c r="E93" s="83">
        <v>18200</v>
      </c>
      <c r="F93" s="83">
        <v>3640</v>
      </c>
      <c r="G93" s="91">
        <v>9210</v>
      </c>
    </row>
    <row r="94" spans="1:7" s="72" customFormat="1" ht="14.25" customHeight="1">
      <c r="A94" s="83" t="s">
        <v>286</v>
      </c>
      <c r="B94" s="83" t="s">
        <v>2928</v>
      </c>
      <c r="C94" s="83">
        <v>14530</v>
      </c>
      <c r="D94" s="83">
        <v>14470</v>
      </c>
      <c r="E94" s="83">
        <v>18240</v>
      </c>
      <c r="F94" s="83">
        <v>3180</v>
      </c>
      <c r="G94" s="91">
        <v>9560</v>
      </c>
    </row>
    <row r="95" spans="1:7" s="72" customFormat="1" ht="14.25" customHeight="1">
      <c r="A95" s="83" t="s">
        <v>286</v>
      </c>
      <c r="B95" s="83" t="s">
        <v>2929</v>
      </c>
      <c r="C95" s="83">
        <v>17330</v>
      </c>
      <c r="D95" s="83">
        <v>17260</v>
      </c>
      <c r="E95" s="83">
        <v>18420</v>
      </c>
      <c r="F95" s="83">
        <v>3060</v>
      </c>
      <c r="G95" s="91">
        <v>11410</v>
      </c>
    </row>
    <row r="96" spans="1:7" s="72" customFormat="1" ht="14.25" customHeight="1">
      <c r="A96" s="83" t="s">
        <v>286</v>
      </c>
      <c r="B96" s="83" t="s">
        <v>2930</v>
      </c>
      <c r="C96" s="83">
        <v>15030</v>
      </c>
      <c r="D96" s="83">
        <v>14970</v>
      </c>
      <c r="E96" s="83">
        <v>17580</v>
      </c>
      <c r="F96" s="83">
        <v>2970</v>
      </c>
      <c r="G96" s="91">
        <v>9890</v>
      </c>
    </row>
    <row r="97" spans="1:7" s="72" customFormat="1" ht="14.25" customHeight="1">
      <c r="A97" s="83" t="s">
        <v>286</v>
      </c>
      <c r="B97" s="83" t="s">
        <v>2931</v>
      </c>
      <c r="C97" s="83">
        <v>17400</v>
      </c>
      <c r="D97" s="83">
        <v>17330</v>
      </c>
      <c r="E97" s="83">
        <v>16430</v>
      </c>
      <c r="F97" s="83">
        <v>2950</v>
      </c>
      <c r="G97" s="91">
        <v>11450</v>
      </c>
    </row>
    <row r="98" spans="1:7" s="72" customFormat="1" ht="14.25" customHeight="1">
      <c r="A98" s="83" t="s">
        <v>286</v>
      </c>
      <c r="B98" s="83" t="s">
        <v>2932</v>
      </c>
      <c r="C98" s="83">
        <v>15200</v>
      </c>
      <c r="D98" s="83">
        <v>15120</v>
      </c>
      <c r="E98" s="83">
        <v>17550</v>
      </c>
      <c r="F98" s="83">
        <v>3080</v>
      </c>
      <c r="G98" s="91">
        <v>9990</v>
      </c>
    </row>
    <row r="99" spans="1:7" s="72" customFormat="1" ht="14.25" customHeight="1">
      <c r="A99" s="83" t="s">
        <v>286</v>
      </c>
      <c r="B99" s="83" t="s">
        <v>2933</v>
      </c>
      <c r="C99" s="83">
        <v>17520</v>
      </c>
      <c r="D99" s="83">
        <v>17430</v>
      </c>
      <c r="E99" s="83">
        <v>16350</v>
      </c>
      <c r="F99" s="83">
        <v>3260</v>
      </c>
      <c r="G99" s="91">
        <v>11510</v>
      </c>
    </row>
    <row r="100" spans="1:7" s="72" customFormat="1" ht="14.25" customHeight="1">
      <c r="A100" s="83" t="s">
        <v>286</v>
      </c>
      <c r="B100" s="83" t="s">
        <v>2934</v>
      </c>
      <c r="C100" s="83">
        <v>15340</v>
      </c>
      <c r="D100" s="83">
        <v>15260</v>
      </c>
      <c r="E100" s="83">
        <v>15930</v>
      </c>
      <c r="F100" s="83">
        <v>2740</v>
      </c>
      <c r="G100" s="91">
        <v>10080</v>
      </c>
    </row>
    <row r="101" spans="1:7" s="72" customFormat="1" ht="14.25" customHeight="1">
      <c r="A101" s="83" t="s">
        <v>286</v>
      </c>
      <c r="B101" s="83" t="s">
        <v>2935</v>
      </c>
      <c r="C101" s="83">
        <v>14620</v>
      </c>
      <c r="D101" s="83">
        <v>14560</v>
      </c>
      <c r="E101" s="83">
        <v>15570</v>
      </c>
      <c r="F101" s="83">
        <v>3500</v>
      </c>
      <c r="G101" s="91">
        <v>9630</v>
      </c>
    </row>
    <row r="102" spans="1:7" s="72" customFormat="1" ht="14.25" customHeight="1">
      <c r="A102" s="83" t="s">
        <v>286</v>
      </c>
      <c r="B102" s="83" t="s">
        <v>2936</v>
      </c>
      <c r="C102" s="83">
        <v>13680</v>
      </c>
      <c r="D102" s="83">
        <v>13610</v>
      </c>
      <c r="E102" s="83">
        <v>15690</v>
      </c>
      <c r="F102" s="83">
        <v>2870</v>
      </c>
      <c r="G102" s="91">
        <v>8990</v>
      </c>
    </row>
    <row r="103" spans="1:7" s="72" customFormat="1" ht="14.25" customHeight="1">
      <c r="A103" s="83" t="s">
        <v>286</v>
      </c>
      <c r="B103" s="83" t="s">
        <v>2937</v>
      </c>
      <c r="C103" s="83">
        <v>14620</v>
      </c>
      <c r="D103" s="83">
        <v>14540</v>
      </c>
      <c r="E103" s="83">
        <v>15240</v>
      </c>
      <c r="F103" s="83">
        <v>2840</v>
      </c>
      <c r="G103" s="91">
        <v>9610</v>
      </c>
    </row>
    <row r="104" spans="1:7" s="72" customFormat="1" ht="14.25" customHeight="1">
      <c r="A104" s="83" t="s">
        <v>286</v>
      </c>
      <c r="B104" s="83" t="s">
        <v>2938</v>
      </c>
      <c r="C104" s="83">
        <v>13610</v>
      </c>
      <c r="D104" s="83">
        <v>13540</v>
      </c>
      <c r="E104" s="83">
        <v>15750</v>
      </c>
      <c r="F104" s="83">
        <v>2770</v>
      </c>
      <c r="G104" s="91">
        <v>8940</v>
      </c>
    </row>
    <row r="105" spans="1:7" s="72" customFormat="1" ht="14.25" customHeight="1">
      <c r="A105" s="83" t="s">
        <v>286</v>
      </c>
      <c r="B105" s="83" t="s">
        <v>2939</v>
      </c>
      <c r="C105" s="83">
        <v>13310</v>
      </c>
      <c r="D105" s="83">
        <v>13240</v>
      </c>
      <c r="E105" s="83">
        <v>16280</v>
      </c>
      <c r="F105" s="83">
        <v>3210</v>
      </c>
      <c r="G105" s="91">
        <v>8750</v>
      </c>
    </row>
    <row r="106" spans="1:7" s="72" customFormat="1" ht="14.25" customHeight="1">
      <c r="A106" s="83" t="s">
        <v>286</v>
      </c>
      <c r="B106" s="83" t="s">
        <v>2940</v>
      </c>
      <c r="C106" s="83">
        <v>13010</v>
      </c>
      <c r="D106" s="83">
        <v>12930</v>
      </c>
      <c r="E106" s="83">
        <v>14960</v>
      </c>
      <c r="F106" s="83">
        <v>3530</v>
      </c>
      <c r="G106" s="91">
        <v>8550</v>
      </c>
    </row>
    <row r="107" spans="1:7" s="72" customFormat="1" ht="14.25" customHeight="1">
      <c r="A107" s="83" t="s">
        <v>286</v>
      </c>
      <c r="B107" s="83" t="s">
        <v>2941</v>
      </c>
      <c r="C107" s="83">
        <v>13070</v>
      </c>
      <c r="D107" s="83">
        <v>13000</v>
      </c>
      <c r="E107" s="83">
        <v>15910</v>
      </c>
      <c r="F107" s="83">
        <v>3990</v>
      </c>
      <c r="G107" s="91">
        <v>8580</v>
      </c>
    </row>
    <row r="108" spans="1:7" s="72" customFormat="1" ht="14.25" customHeight="1">
      <c r="A108" s="83" t="s">
        <v>286</v>
      </c>
      <c r="B108" s="83" t="s">
        <v>2942</v>
      </c>
      <c r="C108" s="83">
        <v>12640</v>
      </c>
      <c r="D108" s="83">
        <v>12580</v>
      </c>
      <c r="E108" s="83">
        <v>15730</v>
      </c>
      <c r="F108" s="83"/>
      <c r="G108" s="91">
        <v>8310</v>
      </c>
    </row>
    <row r="109" spans="1:7" s="72" customFormat="1" ht="14.25" customHeight="1">
      <c r="A109" s="83" t="s">
        <v>286</v>
      </c>
      <c r="B109" s="83" t="s">
        <v>2943</v>
      </c>
      <c r="C109" s="83">
        <v>13130</v>
      </c>
      <c r="D109" s="83">
        <v>13070</v>
      </c>
      <c r="E109" s="83">
        <v>15000</v>
      </c>
      <c r="F109" s="83"/>
      <c r="G109" s="91">
        <v>8630</v>
      </c>
    </row>
    <row r="110" spans="1:7" s="72" customFormat="1" ht="14.25" customHeight="1">
      <c r="A110" s="83" t="s">
        <v>286</v>
      </c>
      <c r="B110" s="83" t="s">
        <v>2944</v>
      </c>
      <c r="C110" s="83">
        <v>13560</v>
      </c>
      <c r="D110" s="83">
        <v>13490</v>
      </c>
      <c r="E110" s="83">
        <v>16300</v>
      </c>
      <c r="F110" s="83"/>
      <c r="G110" s="91">
        <v>8920</v>
      </c>
    </row>
    <row r="111" spans="1:7" s="72" customFormat="1" ht="14.25" customHeight="1">
      <c r="A111" s="83" t="s">
        <v>286</v>
      </c>
      <c r="B111" s="83" t="s">
        <v>2945</v>
      </c>
      <c r="C111" s="83">
        <v>12440</v>
      </c>
      <c r="D111" s="83">
        <v>12380</v>
      </c>
      <c r="E111" s="83">
        <v>17850</v>
      </c>
      <c r="F111" s="83"/>
      <c r="G111" s="91">
        <v>8180</v>
      </c>
    </row>
    <row r="112" spans="1:7" s="72" customFormat="1" ht="14.25" customHeight="1">
      <c r="A112" s="83" t="s">
        <v>286</v>
      </c>
      <c r="B112" s="83" t="s">
        <v>2946</v>
      </c>
      <c r="C112" s="83">
        <v>13260</v>
      </c>
      <c r="D112" s="83">
        <v>13180</v>
      </c>
      <c r="E112" s="83">
        <v>19740</v>
      </c>
      <c r="F112" s="83"/>
      <c r="G112" s="91">
        <v>8710</v>
      </c>
    </row>
    <row r="113" spans="1:7" s="72" customFormat="1" ht="14.25" customHeight="1">
      <c r="A113" s="83" t="s">
        <v>286</v>
      </c>
      <c r="B113" s="83" t="s">
        <v>2947</v>
      </c>
      <c r="C113" s="83">
        <v>15520</v>
      </c>
      <c r="D113" s="83">
        <v>15450</v>
      </c>
      <c r="E113" s="83"/>
      <c r="F113" s="83"/>
      <c r="G113" s="91">
        <v>10210</v>
      </c>
    </row>
    <row r="114" spans="1:7" s="72" customFormat="1" ht="14.25" customHeight="1">
      <c r="A114" s="83" t="s">
        <v>286</v>
      </c>
      <c r="B114" s="83" t="s">
        <v>2948</v>
      </c>
      <c r="C114" s="83">
        <v>13110</v>
      </c>
      <c r="D114" s="83">
        <v>13050</v>
      </c>
      <c r="E114" s="83"/>
      <c r="F114" s="83"/>
      <c r="G114" s="91">
        <v>8620</v>
      </c>
    </row>
    <row r="115" spans="1:7" s="72" customFormat="1" ht="14.25" customHeight="1">
      <c r="A115" s="83" t="s">
        <v>286</v>
      </c>
      <c r="B115" s="83" t="s">
        <v>2949</v>
      </c>
      <c r="C115" s="83">
        <v>12460</v>
      </c>
      <c r="D115" s="83">
        <v>12390</v>
      </c>
      <c r="E115" s="83"/>
      <c r="F115" s="83"/>
      <c r="G115" s="91">
        <v>8190</v>
      </c>
    </row>
    <row r="116" spans="1:7" s="72" customFormat="1" ht="14.25" customHeight="1">
      <c r="A116" s="83" t="s">
        <v>286</v>
      </c>
      <c r="B116" s="83" t="s">
        <v>2950</v>
      </c>
      <c r="C116" s="83">
        <v>13580</v>
      </c>
      <c r="D116" s="83">
        <v>13520</v>
      </c>
      <c r="E116" s="83"/>
      <c r="F116" s="83"/>
      <c r="G116" s="91">
        <v>8930</v>
      </c>
    </row>
    <row r="117" spans="1:7" s="72" customFormat="1" ht="14.25" customHeight="1">
      <c r="A117" s="83" t="s">
        <v>286</v>
      </c>
      <c r="B117" s="83" t="s">
        <v>2951</v>
      </c>
      <c r="C117" s="83">
        <v>17120</v>
      </c>
      <c r="D117" s="83">
        <v>17040</v>
      </c>
      <c r="E117" s="83"/>
      <c r="F117" s="83"/>
      <c r="G117" s="91">
        <v>11260</v>
      </c>
    </row>
    <row r="118" spans="1:7" s="72" customFormat="1" ht="14.25" customHeight="1">
      <c r="A118" s="83" t="s">
        <v>286</v>
      </c>
      <c r="B118" s="83" t="s">
        <v>2952</v>
      </c>
      <c r="C118" s="83">
        <v>14860</v>
      </c>
      <c r="D118" s="83">
        <v>14790</v>
      </c>
      <c r="E118" s="83"/>
      <c r="F118" s="83"/>
      <c r="G118" s="91">
        <v>9780</v>
      </c>
    </row>
    <row r="119" spans="1:7" s="72" customFormat="1" ht="14.25" customHeight="1">
      <c r="A119" s="83" t="s">
        <v>286</v>
      </c>
      <c r="B119" s="83" t="s">
        <v>2953</v>
      </c>
      <c r="C119" s="83">
        <v>16470</v>
      </c>
      <c r="D119" s="83">
        <v>16400</v>
      </c>
      <c r="E119" s="83"/>
      <c r="F119" s="83"/>
      <c r="G119" s="91">
        <v>10840</v>
      </c>
    </row>
    <row r="120" spans="1:7" s="72" customFormat="1" ht="14.25" customHeight="1">
      <c r="A120" s="83" t="s">
        <v>286</v>
      </c>
      <c r="B120" s="83" t="s">
        <v>2954</v>
      </c>
      <c r="C120" s="83"/>
      <c r="D120" s="83"/>
      <c r="E120" s="83"/>
      <c r="F120" s="83">
        <v>4160</v>
      </c>
      <c r="G120" s="91"/>
    </row>
    <row r="121" spans="1:7" s="72" customFormat="1" ht="14.25" customHeight="1">
      <c r="A121" s="83" t="s">
        <v>286</v>
      </c>
      <c r="B121" s="83" t="s">
        <v>2955</v>
      </c>
      <c r="C121" s="83"/>
      <c r="D121" s="83"/>
      <c r="E121" s="83"/>
      <c r="F121" s="83">
        <v>3880</v>
      </c>
      <c r="G121" s="91"/>
    </row>
    <row r="122" spans="1:7" s="72" customFormat="1" ht="14.25" customHeight="1">
      <c r="A122" s="83" t="s">
        <v>286</v>
      </c>
      <c r="B122" s="83" t="s">
        <v>2956</v>
      </c>
      <c r="C122" s="83">
        <v>13750</v>
      </c>
      <c r="D122" s="83">
        <v>13680</v>
      </c>
      <c r="E122" s="83">
        <v>16460</v>
      </c>
      <c r="F122" s="83">
        <v>2880</v>
      </c>
      <c r="G122" s="91">
        <v>9040</v>
      </c>
    </row>
    <row r="123" spans="1:7" s="72" customFormat="1" ht="14.25" customHeight="1">
      <c r="A123" s="83" t="s">
        <v>286</v>
      </c>
      <c r="B123" s="83" t="s">
        <v>2957</v>
      </c>
      <c r="C123" s="83">
        <v>13590</v>
      </c>
      <c r="D123" s="83">
        <v>13520</v>
      </c>
      <c r="E123" s="83">
        <v>16290</v>
      </c>
      <c r="F123" s="83">
        <v>2790</v>
      </c>
      <c r="G123" s="91">
        <v>8930</v>
      </c>
    </row>
    <row r="124" spans="1:7" s="72" customFormat="1" ht="14.25" customHeight="1">
      <c r="A124" s="83" t="s">
        <v>286</v>
      </c>
      <c r="B124" s="83" t="s">
        <v>2958</v>
      </c>
      <c r="C124" s="83">
        <v>13400</v>
      </c>
      <c r="D124" s="83">
        <v>13320</v>
      </c>
      <c r="E124" s="83">
        <v>16100</v>
      </c>
      <c r="F124" s="83">
        <v>2320</v>
      </c>
      <c r="G124" s="91">
        <v>8800</v>
      </c>
    </row>
    <row r="125" spans="1:7" s="72" customFormat="1" ht="14.25" customHeight="1">
      <c r="A125" s="83" t="s">
        <v>286</v>
      </c>
      <c r="B125" s="83" t="s">
        <v>2959</v>
      </c>
      <c r="C125" s="83">
        <v>12860</v>
      </c>
      <c r="D125" s="83">
        <v>12790</v>
      </c>
      <c r="E125" s="83">
        <v>15370</v>
      </c>
      <c r="F125" s="83">
        <v>2280</v>
      </c>
      <c r="G125" s="91">
        <v>8450</v>
      </c>
    </row>
    <row r="126" spans="1:7" s="72" customFormat="1" ht="14.25" customHeight="1">
      <c r="A126" s="92" t="s">
        <v>286</v>
      </c>
      <c r="B126" s="87" t="s">
        <v>2960</v>
      </c>
      <c r="C126" s="87">
        <v>12960</v>
      </c>
      <c r="D126" s="87">
        <v>12890</v>
      </c>
      <c r="E126" s="87">
        <v>15530</v>
      </c>
      <c r="F126" s="87">
        <v>2910</v>
      </c>
      <c r="G126" s="93">
        <v>8520</v>
      </c>
    </row>
    <row r="127" spans="1:7" s="72" customFormat="1" ht="14.25" customHeight="1">
      <c r="A127" s="81" t="s">
        <v>295</v>
      </c>
      <c r="B127" s="82" t="s">
        <v>2961</v>
      </c>
      <c r="C127" s="83">
        <v>12280</v>
      </c>
      <c r="D127" s="83">
        <v>12250</v>
      </c>
      <c r="E127" s="83">
        <v>15130</v>
      </c>
      <c r="F127" s="83">
        <v>2710</v>
      </c>
      <c r="G127" s="83">
        <v>7870</v>
      </c>
    </row>
    <row r="128" spans="1:7" s="72" customFormat="1" ht="14.25" customHeight="1">
      <c r="A128" s="83" t="s">
        <v>295</v>
      </c>
      <c r="B128" s="83" t="s">
        <v>2962</v>
      </c>
      <c r="C128" s="83">
        <v>13180</v>
      </c>
      <c r="D128" s="83">
        <v>13150</v>
      </c>
      <c r="E128" s="83">
        <v>16190</v>
      </c>
      <c r="F128" s="83">
        <v>2820</v>
      </c>
      <c r="G128" s="83">
        <v>8460</v>
      </c>
    </row>
    <row r="129" spans="1:7" s="72" customFormat="1" ht="14.25" customHeight="1">
      <c r="A129" s="83" t="s">
        <v>295</v>
      </c>
      <c r="B129" s="83" t="s">
        <v>2963</v>
      </c>
      <c r="C129" s="83">
        <v>10950</v>
      </c>
      <c r="D129" s="83">
        <v>10920</v>
      </c>
      <c r="E129" s="83">
        <v>13820</v>
      </c>
      <c r="F129" s="83">
        <v>2500</v>
      </c>
      <c r="G129" s="83">
        <v>7020</v>
      </c>
    </row>
    <row r="130" spans="1:7" s="72" customFormat="1" ht="14.25" customHeight="1">
      <c r="A130" s="83" t="s">
        <v>295</v>
      </c>
      <c r="B130" s="83" t="s">
        <v>2964</v>
      </c>
      <c r="C130" s="83">
        <v>10910</v>
      </c>
      <c r="D130" s="83">
        <v>10860</v>
      </c>
      <c r="E130" s="83">
        <v>13730</v>
      </c>
      <c r="F130" s="83">
        <v>2760</v>
      </c>
      <c r="G130" s="83">
        <v>6990</v>
      </c>
    </row>
    <row r="131" spans="1:7" s="72" customFormat="1" ht="14.25" customHeight="1">
      <c r="A131" s="83" t="s">
        <v>295</v>
      </c>
      <c r="B131" s="83" t="s">
        <v>2965</v>
      </c>
      <c r="C131" s="83">
        <v>12910</v>
      </c>
      <c r="D131" s="83">
        <v>12870</v>
      </c>
      <c r="E131" s="83">
        <v>15720</v>
      </c>
      <c r="F131" s="83">
        <v>2750</v>
      </c>
      <c r="G131" s="83">
        <v>8280</v>
      </c>
    </row>
    <row r="132" spans="1:7" s="72" customFormat="1" ht="14.25" customHeight="1">
      <c r="A132" s="83" t="s">
        <v>295</v>
      </c>
      <c r="B132" s="83" t="s">
        <v>2966</v>
      </c>
      <c r="C132" s="83">
        <v>11910</v>
      </c>
      <c r="D132" s="83">
        <v>11860</v>
      </c>
      <c r="E132" s="83">
        <v>14730</v>
      </c>
      <c r="F132" s="83">
        <v>2360</v>
      </c>
      <c r="G132" s="83">
        <v>7630</v>
      </c>
    </row>
    <row r="133" spans="1:7" s="72" customFormat="1" ht="14.25" customHeight="1">
      <c r="A133" s="83" t="s">
        <v>295</v>
      </c>
      <c r="B133" s="83" t="s">
        <v>2967</v>
      </c>
      <c r="C133" s="83">
        <v>12270</v>
      </c>
      <c r="D133" s="83">
        <v>12210</v>
      </c>
      <c r="E133" s="83">
        <v>15010</v>
      </c>
      <c r="F133" s="83">
        <v>2580</v>
      </c>
      <c r="G133" s="83">
        <v>7860</v>
      </c>
    </row>
    <row r="134" spans="1:7" s="72" customFormat="1" ht="14.25" customHeight="1">
      <c r="A134" s="83" t="s">
        <v>295</v>
      </c>
      <c r="B134" s="83" t="s">
        <v>2968</v>
      </c>
      <c r="C134" s="83">
        <v>10800</v>
      </c>
      <c r="D134" s="83">
        <v>10780</v>
      </c>
      <c r="E134" s="83">
        <v>13640</v>
      </c>
      <c r="F134" s="83">
        <v>2110</v>
      </c>
      <c r="G134" s="83">
        <v>6930</v>
      </c>
    </row>
    <row r="135" spans="1:7" s="72" customFormat="1" ht="14.25" customHeight="1">
      <c r="A135" s="83" t="s">
        <v>295</v>
      </c>
      <c r="B135" s="83" t="s">
        <v>2969</v>
      </c>
      <c r="C135" s="83">
        <v>10430</v>
      </c>
      <c r="D135" s="83">
        <v>10390</v>
      </c>
      <c r="E135" s="83">
        <v>13140</v>
      </c>
      <c r="F135" s="83">
        <v>2240</v>
      </c>
      <c r="G135" s="83">
        <v>6680</v>
      </c>
    </row>
    <row r="136" spans="1:7" s="72" customFormat="1" ht="14.25" customHeight="1">
      <c r="A136" s="83" t="s">
        <v>295</v>
      </c>
      <c r="B136" s="83" t="s">
        <v>2970</v>
      </c>
      <c r="C136" s="83">
        <v>11930</v>
      </c>
      <c r="D136" s="83">
        <v>11880</v>
      </c>
      <c r="E136" s="83">
        <v>14770</v>
      </c>
      <c r="F136" s="83">
        <v>1970</v>
      </c>
      <c r="G136" s="83">
        <v>7640</v>
      </c>
    </row>
    <row r="137" spans="1:7" s="72" customFormat="1" ht="14.25" customHeight="1">
      <c r="A137" s="83" t="s">
        <v>295</v>
      </c>
      <c r="B137" s="83" t="s">
        <v>2971</v>
      </c>
      <c r="C137" s="83">
        <v>10470</v>
      </c>
      <c r="D137" s="83">
        <v>10430</v>
      </c>
      <c r="E137" s="83">
        <v>13190</v>
      </c>
      <c r="F137" s="83">
        <v>1990</v>
      </c>
      <c r="G137" s="83">
        <v>6710</v>
      </c>
    </row>
    <row r="138" spans="1:7" s="72" customFormat="1" ht="14.25" customHeight="1">
      <c r="A138" s="83" t="s">
        <v>295</v>
      </c>
      <c r="B138" s="83" t="s">
        <v>2972</v>
      </c>
      <c r="C138" s="83">
        <v>10410</v>
      </c>
      <c r="D138" s="83">
        <v>10380</v>
      </c>
      <c r="E138" s="83">
        <v>13130</v>
      </c>
      <c r="F138" s="83">
        <v>2030</v>
      </c>
      <c r="G138" s="83">
        <v>6680</v>
      </c>
    </row>
    <row r="139" spans="1:7" s="72" customFormat="1" ht="14.25" customHeight="1">
      <c r="A139" s="83" t="s">
        <v>295</v>
      </c>
      <c r="B139" s="83" t="s">
        <v>2973</v>
      </c>
      <c r="C139" s="83">
        <v>9460</v>
      </c>
      <c r="D139" s="83">
        <v>9410</v>
      </c>
      <c r="E139" s="83">
        <v>12050</v>
      </c>
      <c r="F139" s="83">
        <v>2140</v>
      </c>
      <c r="G139" s="83">
        <v>6050</v>
      </c>
    </row>
    <row r="140" spans="1:7" s="72" customFormat="1" ht="14.25" customHeight="1">
      <c r="A140" s="83" t="s">
        <v>295</v>
      </c>
      <c r="B140" s="83" t="s">
        <v>2974</v>
      </c>
      <c r="C140" s="83">
        <v>11030</v>
      </c>
      <c r="D140" s="83">
        <v>10980</v>
      </c>
      <c r="E140" s="83">
        <v>13880</v>
      </c>
      <c r="F140" s="83">
        <v>2210</v>
      </c>
      <c r="G140" s="83">
        <v>7060</v>
      </c>
    </row>
    <row r="141" spans="1:7" s="72" customFormat="1" ht="14.25" customHeight="1">
      <c r="A141" s="83" t="s">
        <v>295</v>
      </c>
      <c r="B141" s="83" t="s">
        <v>2975</v>
      </c>
      <c r="C141" s="83">
        <v>11200</v>
      </c>
      <c r="D141" s="83">
        <v>11150</v>
      </c>
      <c r="E141" s="83">
        <v>14100</v>
      </c>
      <c r="F141" s="83">
        <v>2470</v>
      </c>
      <c r="G141" s="83">
        <v>7170</v>
      </c>
    </row>
    <row r="142" spans="1:7" s="72" customFormat="1" ht="14.25" customHeight="1">
      <c r="A142" s="83" t="s">
        <v>295</v>
      </c>
      <c r="B142" s="83" t="s">
        <v>2976</v>
      </c>
      <c r="C142" s="83">
        <v>10780</v>
      </c>
      <c r="D142" s="83">
        <v>10730</v>
      </c>
      <c r="E142" s="83">
        <v>13540</v>
      </c>
      <c r="F142" s="83">
        <v>2280</v>
      </c>
      <c r="G142" s="83">
        <v>6900</v>
      </c>
    </row>
    <row r="143" spans="1:7" s="72" customFormat="1" ht="14.25" customHeight="1">
      <c r="A143" s="83" t="s">
        <v>295</v>
      </c>
      <c r="B143" s="83" t="s">
        <v>2977</v>
      </c>
      <c r="C143" s="83">
        <v>11550</v>
      </c>
      <c r="D143" s="83">
        <v>11490</v>
      </c>
      <c r="E143" s="83">
        <v>14480</v>
      </c>
      <c r="F143" s="83">
        <v>2070</v>
      </c>
      <c r="G143" s="83">
        <v>7390</v>
      </c>
    </row>
    <row r="144" spans="1:7" s="72" customFormat="1" ht="14.25" customHeight="1">
      <c r="A144" s="83" t="s">
        <v>295</v>
      </c>
      <c r="B144" s="83" t="s">
        <v>2978</v>
      </c>
      <c r="C144" s="83">
        <v>10720</v>
      </c>
      <c r="D144" s="83">
        <v>10680</v>
      </c>
      <c r="E144" s="83">
        <v>13480</v>
      </c>
      <c r="F144" s="83">
        <v>2440</v>
      </c>
      <c r="G144" s="83">
        <v>6870</v>
      </c>
    </row>
    <row r="145" spans="1:7" s="72" customFormat="1" ht="14.25" customHeight="1">
      <c r="A145" s="83" t="s">
        <v>295</v>
      </c>
      <c r="B145" s="83" t="s">
        <v>2979</v>
      </c>
      <c r="C145" s="83">
        <v>10340</v>
      </c>
      <c r="D145" s="83">
        <v>10290</v>
      </c>
      <c r="E145" s="83">
        <v>12880</v>
      </c>
      <c r="F145" s="83">
        <v>2650</v>
      </c>
      <c r="G145" s="83">
        <v>6620</v>
      </c>
    </row>
    <row r="146" spans="1:7" s="72" customFormat="1" ht="14.25" customHeight="1">
      <c r="A146" s="83" t="s">
        <v>295</v>
      </c>
      <c r="B146" s="83" t="s">
        <v>2980</v>
      </c>
      <c r="C146" s="83">
        <v>11890</v>
      </c>
      <c r="D146" s="83">
        <v>11830</v>
      </c>
      <c r="E146" s="83">
        <v>14670</v>
      </c>
      <c r="F146" s="83"/>
      <c r="G146" s="83">
        <v>7610</v>
      </c>
    </row>
    <row r="147" spans="1:7" s="72" customFormat="1" ht="14.25" customHeight="1">
      <c r="A147" s="83" t="s">
        <v>295</v>
      </c>
      <c r="B147" s="83" t="s">
        <v>2981</v>
      </c>
      <c r="C147" s="83">
        <v>12650</v>
      </c>
      <c r="D147" s="83">
        <v>12600</v>
      </c>
      <c r="E147" s="83">
        <v>15440</v>
      </c>
      <c r="F147" s="83"/>
      <c r="G147" s="83">
        <v>8110</v>
      </c>
    </row>
    <row r="148" spans="1:7" s="72" customFormat="1" ht="14.25" customHeight="1">
      <c r="A148" s="83" t="s">
        <v>295</v>
      </c>
      <c r="B148" s="83" t="s">
        <v>2982</v>
      </c>
      <c r="C148" s="83">
        <v>10370</v>
      </c>
      <c r="D148" s="83">
        <v>10310</v>
      </c>
      <c r="E148" s="83">
        <v>12970</v>
      </c>
      <c r="F148" s="83"/>
      <c r="G148" s="83">
        <v>6630</v>
      </c>
    </row>
    <row r="149" spans="1:7" s="72" customFormat="1" ht="14.25" customHeight="1">
      <c r="A149" s="83" t="s">
        <v>295</v>
      </c>
      <c r="B149" s="83" t="s">
        <v>2983</v>
      </c>
      <c r="C149" s="83">
        <v>11600</v>
      </c>
      <c r="D149" s="83">
        <v>11560</v>
      </c>
      <c r="E149" s="83">
        <v>14540</v>
      </c>
      <c r="F149" s="83">
        <v>2390</v>
      </c>
      <c r="G149" s="83">
        <v>7430</v>
      </c>
    </row>
    <row r="150" spans="1:7" s="72" customFormat="1" ht="14.25" customHeight="1">
      <c r="A150" s="83" t="s">
        <v>295</v>
      </c>
      <c r="B150" s="83" t="s">
        <v>2984</v>
      </c>
      <c r="C150" s="83">
        <v>9950</v>
      </c>
      <c r="D150" s="83">
        <v>9890</v>
      </c>
      <c r="E150" s="83">
        <v>12590</v>
      </c>
      <c r="F150" s="83">
        <v>1970</v>
      </c>
      <c r="G150" s="83">
        <v>6360</v>
      </c>
    </row>
    <row r="151" spans="1:7" s="72" customFormat="1" ht="14.25" customHeight="1">
      <c r="A151" s="83" t="s">
        <v>295</v>
      </c>
      <c r="B151" s="83" t="s">
        <v>2985</v>
      </c>
      <c r="C151" s="83">
        <v>10700</v>
      </c>
      <c r="D151" s="83">
        <v>10650</v>
      </c>
      <c r="E151" s="83">
        <v>13420</v>
      </c>
      <c r="F151" s="83">
        <v>2020</v>
      </c>
      <c r="G151" s="83">
        <v>6850</v>
      </c>
    </row>
    <row r="152" spans="1:7" s="72" customFormat="1" ht="14.25" customHeight="1">
      <c r="A152" s="83" t="s">
        <v>295</v>
      </c>
      <c r="B152" s="83" t="s">
        <v>2986</v>
      </c>
      <c r="C152" s="83">
        <v>10310</v>
      </c>
      <c r="D152" s="83">
        <v>10260</v>
      </c>
      <c r="E152" s="83">
        <v>12820</v>
      </c>
      <c r="F152" s="83">
        <v>1980</v>
      </c>
      <c r="G152" s="83">
        <v>6600</v>
      </c>
    </row>
    <row r="153" spans="1:7" s="72" customFormat="1" ht="14.25" customHeight="1">
      <c r="A153" s="83" t="s">
        <v>295</v>
      </c>
      <c r="B153" s="83" t="s">
        <v>2987</v>
      </c>
      <c r="C153" s="83">
        <v>10880</v>
      </c>
      <c r="D153" s="83">
        <v>10820</v>
      </c>
      <c r="E153" s="83">
        <v>13660</v>
      </c>
      <c r="F153" s="83">
        <v>2260</v>
      </c>
      <c r="G153" s="83">
        <v>6970</v>
      </c>
    </row>
    <row r="154" spans="1:7" s="72" customFormat="1" ht="14.25" customHeight="1">
      <c r="A154" s="83" t="s">
        <v>295</v>
      </c>
      <c r="B154" s="83" t="s">
        <v>2988</v>
      </c>
      <c r="C154" s="83">
        <v>11220</v>
      </c>
      <c r="D154" s="83">
        <v>11160</v>
      </c>
      <c r="E154" s="83">
        <v>14130</v>
      </c>
      <c r="F154" s="83">
        <v>2230</v>
      </c>
      <c r="G154" s="83">
        <v>7180</v>
      </c>
    </row>
    <row r="155" spans="1:7" s="72" customFormat="1" ht="14.25" customHeight="1">
      <c r="A155" s="83" t="s">
        <v>295</v>
      </c>
      <c r="B155" s="83" t="s">
        <v>2989</v>
      </c>
      <c r="C155" s="83">
        <v>10430</v>
      </c>
      <c r="D155" s="83">
        <v>10380</v>
      </c>
      <c r="E155" s="83">
        <v>13140</v>
      </c>
      <c r="F155" s="83">
        <v>2080</v>
      </c>
      <c r="G155" s="83">
        <v>6650</v>
      </c>
    </row>
    <row r="156" spans="1:7" s="72" customFormat="1" ht="14.25" customHeight="1">
      <c r="A156" s="83" t="s">
        <v>295</v>
      </c>
      <c r="B156" s="83" t="s">
        <v>2990</v>
      </c>
      <c r="C156" s="83">
        <v>10440</v>
      </c>
      <c r="D156" s="83">
        <v>10400</v>
      </c>
      <c r="E156" s="83">
        <v>13150</v>
      </c>
      <c r="F156" s="83">
        <v>2490</v>
      </c>
      <c r="G156" s="83">
        <v>6690</v>
      </c>
    </row>
    <row r="157" spans="1:7" s="72" customFormat="1" ht="14.25" customHeight="1">
      <c r="A157" s="83" t="s">
        <v>295</v>
      </c>
      <c r="B157" s="83" t="s">
        <v>2991</v>
      </c>
      <c r="C157" s="83">
        <v>10970</v>
      </c>
      <c r="D157" s="83">
        <v>10920</v>
      </c>
      <c r="E157" s="83">
        <v>13840</v>
      </c>
      <c r="F157" s="83">
        <v>2420</v>
      </c>
      <c r="G157" s="83">
        <v>7020</v>
      </c>
    </row>
    <row r="158" spans="1:7" s="72" customFormat="1" ht="14.25" customHeight="1">
      <c r="A158" s="83" t="s">
        <v>295</v>
      </c>
      <c r="B158" s="83" t="s">
        <v>2992</v>
      </c>
      <c r="C158" s="83">
        <v>9590</v>
      </c>
      <c r="D158" s="83">
        <v>9540</v>
      </c>
      <c r="E158" s="83">
        <v>12210</v>
      </c>
      <c r="F158" s="83">
        <v>2100</v>
      </c>
      <c r="G158" s="83">
        <v>6130</v>
      </c>
    </row>
    <row r="159" spans="1:7" s="72" customFormat="1" ht="14.25" customHeight="1">
      <c r="A159" s="83" t="s">
        <v>295</v>
      </c>
      <c r="B159" s="83" t="s">
        <v>2993</v>
      </c>
      <c r="C159" s="83">
        <v>11190</v>
      </c>
      <c r="D159" s="83">
        <v>11140</v>
      </c>
      <c r="E159" s="83">
        <v>14090</v>
      </c>
      <c r="F159" s="83">
        <v>2470</v>
      </c>
      <c r="G159" s="83">
        <v>7170</v>
      </c>
    </row>
    <row r="160" spans="1:7" s="72" customFormat="1" ht="14.25" customHeight="1">
      <c r="A160" s="83" t="s">
        <v>295</v>
      </c>
      <c r="B160" s="83" t="s">
        <v>2994</v>
      </c>
      <c r="C160" s="83">
        <v>11180</v>
      </c>
      <c r="D160" s="83">
        <v>11140</v>
      </c>
      <c r="E160" s="83">
        <v>14050</v>
      </c>
      <c r="F160" s="83">
        <v>2270</v>
      </c>
      <c r="G160" s="83">
        <v>7170</v>
      </c>
    </row>
    <row r="161" spans="1:7" s="72" customFormat="1" ht="14.25" customHeight="1">
      <c r="A161" s="83" t="s">
        <v>295</v>
      </c>
      <c r="B161" s="83" t="s">
        <v>2995</v>
      </c>
      <c r="C161" s="83">
        <v>11160</v>
      </c>
      <c r="D161" s="83">
        <v>11120</v>
      </c>
      <c r="E161" s="83">
        <v>14020</v>
      </c>
      <c r="F161" s="83">
        <v>2150</v>
      </c>
      <c r="G161" s="83">
        <v>7160</v>
      </c>
    </row>
    <row r="162" spans="1:7" s="72" customFormat="1" ht="14.25" customHeight="1">
      <c r="A162" s="83" t="s">
        <v>295</v>
      </c>
      <c r="B162" s="83" t="s">
        <v>2996</v>
      </c>
      <c r="C162" s="83">
        <v>9620</v>
      </c>
      <c r="D162" s="83">
        <v>9570</v>
      </c>
      <c r="E162" s="83">
        <v>12320</v>
      </c>
      <c r="F162" s="83">
        <v>2010</v>
      </c>
      <c r="G162" s="83">
        <v>6160</v>
      </c>
    </row>
    <row r="163" spans="1:7" s="72" customFormat="1" ht="14.25" customHeight="1">
      <c r="A163" s="83" t="s">
        <v>295</v>
      </c>
      <c r="B163" s="83" t="s">
        <v>2997</v>
      </c>
      <c r="C163" s="83">
        <v>9320</v>
      </c>
      <c r="D163" s="83">
        <v>9270</v>
      </c>
      <c r="E163" s="83">
        <v>11790</v>
      </c>
      <c r="F163" s="83">
        <v>1920</v>
      </c>
      <c r="G163" s="83">
        <v>5960</v>
      </c>
    </row>
    <row r="164" spans="1:7" s="72" customFormat="1" ht="14.25" customHeight="1">
      <c r="A164" s="83" t="s">
        <v>295</v>
      </c>
      <c r="B164" s="83" t="s">
        <v>2998</v>
      </c>
      <c r="C164" s="83"/>
      <c r="D164" s="83"/>
      <c r="E164" s="83"/>
      <c r="F164" s="83">
        <v>1980</v>
      </c>
      <c r="G164" s="83"/>
    </row>
    <row r="165" spans="1:7" s="72" customFormat="1" ht="14.25" customHeight="1">
      <c r="A165" s="83" t="s">
        <v>295</v>
      </c>
      <c r="B165" s="83" t="s">
        <v>2999</v>
      </c>
      <c r="C165" s="83">
        <v>11060</v>
      </c>
      <c r="D165" s="83">
        <v>11030</v>
      </c>
      <c r="E165" s="83">
        <v>13850</v>
      </c>
      <c r="F165" s="83">
        <v>2170</v>
      </c>
      <c r="G165" s="83">
        <v>7090</v>
      </c>
    </row>
    <row r="166" spans="1:7" s="72" customFormat="1" ht="14.25" customHeight="1">
      <c r="A166" s="83" t="s">
        <v>295</v>
      </c>
      <c r="B166" s="83" t="s">
        <v>3000</v>
      </c>
      <c r="C166" s="83">
        <v>11050</v>
      </c>
      <c r="D166" s="83">
        <v>11010</v>
      </c>
      <c r="E166" s="83">
        <v>13920</v>
      </c>
      <c r="F166" s="83">
        <v>2140</v>
      </c>
      <c r="G166" s="83">
        <v>7080</v>
      </c>
    </row>
    <row r="167" spans="1:7" s="72" customFormat="1" ht="14.25" customHeight="1">
      <c r="A167" s="83" t="s">
        <v>295</v>
      </c>
      <c r="B167" s="83" t="s">
        <v>3001</v>
      </c>
      <c r="C167" s="83">
        <v>10930</v>
      </c>
      <c r="D167" s="83">
        <v>10890</v>
      </c>
      <c r="E167" s="83">
        <v>13790</v>
      </c>
      <c r="F167" s="83">
        <v>2010</v>
      </c>
      <c r="G167" s="83">
        <v>7000</v>
      </c>
    </row>
    <row r="168" spans="1:7" s="72" customFormat="1" ht="14.25" customHeight="1">
      <c r="A168" s="83" t="s">
        <v>295</v>
      </c>
      <c r="B168" s="83" t="s">
        <v>3002</v>
      </c>
      <c r="C168" s="83">
        <v>9420</v>
      </c>
      <c r="D168" s="83">
        <v>9380</v>
      </c>
      <c r="E168" s="83">
        <v>11970</v>
      </c>
      <c r="F168" s="83"/>
      <c r="G168" s="83">
        <v>6040</v>
      </c>
    </row>
    <row r="169" spans="1:7" s="72" customFormat="1" ht="14.25" customHeight="1">
      <c r="A169" s="83" t="s">
        <v>295</v>
      </c>
      <c r="B169" s="83" t="s">
        <v>3003</v>
      </c>
      <c r="C169" s="83"/>
      <c r="D169" s="83"/>
      <c r="E169" s="83"/>
      <c r="F169" s="83">
        <v>2880</v>
      </c>
      <c r="G169" s="83"/>
    </row>
    <row r="170" spans="1:7" s="72" customFormat="1" ht="14.25" customHeight="1">
      <c r="A170" s="83" t="s">
        <v>295</v>
      </c>
      <c r="B170" s="83" t="s">
        <v>3004</v>
      </c>
      <c r="C170" s="83"/>
      <c r="D170" s="83"/>
      <c r="E170" s="83"/>
      <c r="F170" s="83">
        <v>2880</v>
      </c>
      <c r="G170" s="83"/>
    </row>
    <row r="171" spans="1:7" s="72" customFormat="1" ht="14.25" customHeight="1">
      <c r="A171" s="83" t="s">
        <v>295</v>
      </c>
      <c r="B171" s="83" t="s">
        <v>3005</v>
      </c>
      <c r="C171" s="83"/>
      <c r="D171" s="83"/>
      <c r="E171" s="83"/>
      <c r="F171" s="83">
        <v>2880</v>
      </c>
      <c r="G171" s="83"/>
    </row>
    <row r="172" spans="1:7" s="72" customFormat="1" ht="14.25" customHeight="1">
      <c r="A172" s="83" t="s">
        <v>295</v>
      </c>
      <c r="B172" s="83" t="s">
        <v>3006</v>
      </c>
      <c r="C172" s="83"/>
      <c r="D172" s="83"/>
      <c r="E172" s="83"/>
      <c r="F172" s="83">
        <v>2880</v>
      </c>
      <c r="G172" s="83"/>
    </row>
    <row r="173" spans="1:7" s="72" customFormat="1" ht="14.25" customHeight="1">
      <c r="A173" s="83" t="s">
        <v>295</v>
      </c>
      <c r="B173" s="83" t="s">
        <v>3007</v>
      </c>
      <c r="C173" s="83"/>
      <c r="D173" s="83"/>
      <c r="E173" s="83"/>
      <c r="F173" s="83">
        <v>2150</v>
      </c>
      <c r="G173" s="83"/>
    </row>
    <row r="174" spans="1:7" s="72" customFormat="1" ht="14.25" customHeight="1">
      <c r="A174" s="83" t="s">
        <v>295</v>
      </c>
      <c r="B174" s="83" t="s">
        <v>3008</v>
      </c>
      <c r="C174" s="83"/>
      <c r="D174" s="83"/>
      <c r="E174" s="83"/>
      <c r="F174" s="83">
        <v>2030</v>
      </c>
      <c r="G174" s="83"/>
    </row>
    <row r="175" spans="1:7" s="72" customFormat="1" ht="14.25" customHeight="1">
      <c r="A175" s="83" t="s">
        <v>295</v>
      </c>
      <c r="B175" s="83" t="s">
        <v>3009</v>
      </c>
      <c r="C175" s="83"/>
      <c r="D175" s="83"/>
      <c r="E175" s="83"/>
      <c r="F175" s="83">
        <v>2780</v>
      </c>
      <c r="G175" s="83"/>
    </row>
    <row r="176" spans="1:7" s="72" customFormat="1" ht="14.25" customHeight="1">
      <c r="A176" s="83" t="s">
        <v>295</v>
      </c>
      <c r="B176" s="83" t="s">
        <v>3010</v>
      </c>
      <c r="C176" s="83"/>
      <c r="D176" s="83"/>
      <c r="E176" s="83"/>
      <c r="F176" s="83">
        <v>2780</v>
      </c>
      <c r="G176" s="83"/>
    </row>
    <row r="177" spans="1:7" s="72" customFormat="1" ht="14.25" customHeight="1">
      <c r="A177" s="83" t="s">
        <v>295</v>
      </c>
      <c r="B177" s="83" t="s">
        <v>3011</v>
      </c>
      <c r="C177" s="83"/>
      <c r="D177" s="83"/>
      <c r="E177" s="83"/>
      <c r="F177" s="83">
        <v>2780</v>
      </c>
      <c r="G177" s="83"/>
    </row>
    <row r="178" spans="1:7" s="72" customFormat="1" ht="14.25" customHeight="1">
      <c r="A178" s="83" t="s">
        <v>295</v>
      </c>
      <c r="B178" s="83" t="s">
        <v>3012</v>
      </c>
      <c r="C178" s="83"/>
      <c r="D178" s="83"/>
      <c r="E178" s="83"/>
      <c r="F178" s="83">
        <v>2060</v>
      </c>
      <c r="G178" s="83"/>
    </row>
    <row r="179" spans="1:7" s="72" customFormat="1" ht="14.25" customHeight="1">
      <c r="A179" s="83" t="s">
        <v>295</v>
      </c>
      <c r="B179" s="83" t="s">
        <v>3013</v>
      </c>
      <c r="C179" s="83"/>
      <c r="D179" s="83"/>
      <c r="E179" s="83"/>
      <c r="F179" s="83">
        <v>2120</v>
      </c>
      <c r="G179" s="83"/>
    </row>
    <row r="180" spans="1:7" s="72" customFormat="1" ht="14.25" customHeight="1">
      <c r="A180" s="83" t="s">
        <v>295</v>
      </c>
      <c r="B180" s="83" t="s">
        <v>3014</v>
      </c>
      <c r="C180" s="83"/>
      <c r="D180" s="83"/>
      <c r="E180" s="83"/>
      <c r="F180" s="83">
        <v>2340</v>
      </c>
      <c r="G180" s="83"/>
    </row>
    <row r="181" spans="1:7" s="72" customFormat="1" ht="14.25" customHeight="1">
      <c r="A181" s="83" t="s">
        <v>295</v>
      </c>
      <c r="B181" s="83" t="s">
        <v>3015</v>
      </c>
      <c r="C181" s="83"/>
      <c r="D181" s="83"/>
      <c r="E181" s="83"/>
      <c r="F181" s="83">
        <v>2340</v>
      </c>
      <c r="G181" s="83"/>
    </row>
    <row r="182" spans="1:7" s="72" customFormat="1" ht="14.25" customHeight="1">
      <c r="A182" s="83" t="s">
        <v>295</v>
      </c>
      <c r="B182" s="83" t="s">
        <v>3016</v>
      </c>
      <c r="C182" s="83"/>
      <c r="D182" s="83"/>
      <c r="E182" s="83"/>
      <c r="F182" s="83">
        <v>2340</v>
      </c>
      <c r="G182" s="83"/>
    </row>
    <row r="183" spans="1:7" s="72" customFormat="1" ht="14.25" customHeight="1">
      <c r="A183" s="83" t="s">
        <v>295</v>
      </c>
      <c r="B183" s="83" t="s">
        <v>3017</v>
      </c>
      <c r="C183" s="83"/>
      <c r="D183" s="83"/>
      <c r="E183" s="83"/>
      <c r="F183" s="83">
        <v>2340</v>
      </c>
      <c r="G183" s="83"/>
    </row>
    <row r="184" spans="1:7" s="72" customFormat="1" ht="14.25" customHeight="1">
      <c r="A184" s="83" t="s">
        <v>295</v>
      </c>
      <c r="B184" s="83" t="s">
        <v>3018</v>
      </c>
      <c r="C184" s="83"/>
      <c r="D184" s="83"/>
      <c r="E184" s="83"/>
      <c r="F184" s="83">
        <v>2340</v>
      </c>
      <c r="G184" s="83"/>
    </row>
    <row r="185" spans="1:7" s="72" customFormat="1" ht="14.25" customHeight="1">
      <c r="A185" s="83" t="s">
        <v>295</v>
      </c>
      <c r="B185" s="83" t="s">
        <v>3019</v>
      </c>
      <c r="C185" s="83"/>
      <c r="D185" s="83"/>
      <c r="E185" s="83"/>
      <c r="F185" s="83">
        <v>2530</v>
      </c>
      <c r="G185" s="83"/>
    </row>
    <row r="186" spans="1:7" s="72" customFormat="1" ht="14.25" customHeight="1">
      <c r="A186" s="83" t="s">
        <v>295</v>
      </c>
      <c r="B186" s="83" t="s">
        <v>3020</v>
      </c>
      <c r="C186" s="83"/>
      <c r="D186" s="83"/>
      <c r="E186" s="83"/>
      <c r="F186" s="83">
        <v>2550</v>
      </c>
      <c r="G186" s="83"/>
    </row>
    <row r="187" spans="1:7" s="72" customFormat="1" ht="14.25" customHeight="1">
      <c r="A187" s="83" t="s">
        <v>295</v>
      </c>
      <c r="B187" s="83" t="s">
        <v>3021</v>
      </c>
      <c r="C187" s="83"/>
      <c r="D187" s="83"/>
      <c r="E187" s="83"/>
      <c r="F187" s="83">
        <v>2070</v>
      </c>
      <c r="G187" s="83"/>
    </row>
    <row r="188" spans="1:7" s="72" customFormat="1" ht="14.25" customHeight="1">
      <c r="A188" s="83" t="s">
        <v>295</v>
      </c>
      <c r="B188" s="83" t="s">
        <v>3022</v>
      </c>
      <c r="C188" s="83"/>
      <c r="D188" s="83"/>
      <c r="E188" s="83"/>
      <c r="F188" s="83">
        <v>2340</v>
      </c>
      <c r="G188" s="83"/>
    </row>
    <row r="189" spans="1:7" s="72" customFormat="1" ht="14.25" customHeight="1">
      <c r="A189" s="85" t="s">
        <v>295</v>
      </c>
      <c r="B189" s="89" t="s">
        <v>3023</v>
      </c>
      <c r="C189" s="89"/>
      <c r="D189" s="89"/>
      <c r="E189" s="89"/>
      <c r="F189" s="89">
        <v>2050</v>
      </c>
      <c r="G189" s="89"/>
    </row>
    <row r="190" spans="1:7" s="72" customFormat="1" ht="14.25" customHeight="1">
      <c r="A190" s="81" t="s">
        <v>303</v>
      </c>
      <c r="B190" s="82" t="s">
        <v>3024</v>
      </c>
      <c r="C190" s="82">
        <v>8830</v>
      </c>
      <c r="D190" s="82">
        <v>8790</v>
      </c>
      <c r="E190" s="82">
        <v>11630</v>
      </c>
      <c r="F190" s="82">
        <v>1790</v>
      </c>
      <c r="G190" s="90">
        <v>5550</v>
      </c>
    </row>
    <row r="191" spans="1:7" s="72" customFormat="1" ht="14.25" customHeight="1">
      <c r="A191" s="83" t="s">
        <v>303</v>
      </c>
      <c r="B191" s="83" t="s">
        <v>3025</v>
      </c>
      <c r="C191" s="83">
        <v>9780</v>
      </c>
      <c r="D191" s="83">
        <v>9710</v>
      </c>
      <c r="E191" s="83">
        <v>12550</v>
      </c>
      <c r="F191" s="83">
        <v>1980</v>
      </c>
      <c r="G191" s="91">
        <v>6130</v>
      </c>
    </row>
    <row r="192" spans="1:7" s="72" customFormat="1" ht="14.25" customHeight="1">
      <c r="A192" s="83" t="s">
        <v>303</v>
      </c>
      <c r="B192" s="83" t="s">
        <v>3026</v>
      </c>
      <c r="C192" s="83">
        <v>8180</v>
      </c>
      <c r="D192" s="83">
        <v>8140</v>
      </c>
      <c r="E192" s="83">
        <v>10870</v>
      </c>
      <c r="F192" s="83">
        <v>1690</v>
      </c>
      <c r="G192" s="91">
        <v>5140</v>
      </c>
    </row>
    <row r="193" spans="1:7" s="72" customFormat="1" ht="14.25" customHeight="1">
      <c r="A193" s="83" t="s">
        <v>303</v>
      </c>
      <c r="B193" s="83" t="s">
        <v>3027</v>
      </c>
      <c r="C193" s="83">
        <v>8440</v>
      </c>
      <c r="D193" s="83">
        <v>8390</v>
      </c>
      <c r="E193" s="83">
        <v>11210</v>
      </c>
      <c r="F193" s="83">
        <v>1600</v>
      </c>
      <c r="G193" s="91">
        <v>5300</v>
      </c>
    </row>
    <row r="194" spans="1:7" s="72" customFormat="1" ht="14.25" customHeight="1">
      <c r="A194" s="83" t="s">
        <v>303</v>
      </c>
      <c r="B194" s="83" t="s">
        <v>3028</v>
      </c>
      <c r="C194" s="83">
        <v>8780</v>
      </c>
      <c r="D194" s="83">
        <v>8730</v>
      </c>
      <c r="E194" s="83">
        <v>11550</v>
      </c>
      <c r="F194" s="83">
        <v>1660</v>
      </c>
      <c r="G194" s="91">
        <v>5520</v>
      </c>
    </row>
    <row r="195" spans="1:7" s="72" customFormat="1" ht="14.25" customHeight="1">
      <c r="A195" s="83" t="s">
        <v>303</v>
      </c>
      <c r="B195" s="83" t="s">
        <v>3029</v>
      </c>
      <c r="C195" s="83">
        <v>8720</v>
      </c>
      <c r="D195" s="83">
        <v>8670</v>
      </c>
      <c r="E195" s="83">
        <v>11450</v>
      </c>
      <c r="F195" s="83">
        <v>1720</v>
      </c>
      <c r="G195" s="91">
        <v>5480</v>
      </c>
    </row>
    <row r="196" spans="1:7" s="72" customFormat="1" ht="14.25" customHeight="1">
      <c r="A196" s="83" t="s">
        <v>303</v>
      </c>
      <c r="B196" s="83" t="s">
        <v>3030</v>
      </c>
      <c r="C196" s="83">
        <v>8460</v>
      </c>
      <c r="D196" s="83">
        <v>8410</v>
      </c>
      <c r="E196" s="83">
        <v>11230</v>
      </c>
      <c r="F196" s="83">
        <v>1730</v>
      </c>
      <c r="G196" s="91">
        <v>5310</v>
      </c>
    </row>
    <row r="197" spans="1:7" s="72" customFormat="1" ht="14.25" customHeight="1">
      <c r="A197" s="83" t="s">
        <v>303</v>
      </c>
      <c r="B197" s="83" t="s">
        <v>3031</v>
      </c>
      <c r="C197" s="83">
        <v>8790</v>
      </c>
      <c r="D197" s="83">
        <v>8730</v>
      </c>
      <c r="E197" s="83">
        <v>11560</v>
      </c>
      <c r="F197" s="83">
        <v>1750</v>
      </c>
      <c r="G197" s="91">
        <v>5520</v>
      </c>
    </row>
    <row r="198" spans="1:7" s="72" customFormat="1" ht="14.25" customHeight="1">
      <c r="A198" s="83" t="s">
        <v>303</v>
      </c>
      <c r="B198" s="83" t="s">
        <v>3032</v>
      </c>
      <c r="C198" s="83">
        <v>8720</v>
      </c>
      <c r="D198" s="83">
        <v>8680</v>
      </c>
      <c r="E198" s="83">
        <v>11470</v>
      </c>
      <c r="F198" s="83"/>
      <c r="G198" s="91">
        <v>5480</v>
      </c>
    </row>
    <row r="199" spans="1:7" s="72" customFormat="1" ht="14.25" customHeight="1">
      <c r="A199" s="83" t="s">
        <v>303</v>
      </c>
      <c r="B199" s="83" t="s">
        <v>3033</v>
      </c>
      <c r="C199" s="83">
        <v>8690</v>
      </c>
      <c r="D199" s="83">
        <v>8630</v>
      </c>
      <c r="E199" s="83">
        <v>11350</v>
      </c>
      <c r="F199" s="83">
        <v>1600</v>
      </c>
      <c r="G199" s="91">
        <v>5450</v>
      </c>
    </row>
    <row r="200" spans="1:7" s="72" customFormat="1" ht="14.25" customHeight="1">
      <c r="A200" s="83" t="s">
        <v>303</v>
      </c>
      <c r="B200" s="83" t="s">
        <v>3034</v>
      </c>
      <c r="C200" s="83"/>
      <c r="D200" s="83"/>
      <c r="E200" s="83"/>
      <c r="F200" s="83">
        <v>1510</v>
      </c>
      <c r="G200" s="91"/>
    </row>
    <row r="201" spans="1:7" s="72" customFormat="1" ht="14.25" customHeight="1">
      <c r="A201" s="83" t="s">
        <v>303</v>
      </c>
      <c r="B201" s="83" t="s">
        <v>3035</v>
      </c>
      <c r="C201" s="83">
        <v>8440</v>
      </c>
      <c r="D201" s="83">
        <v>8390</v>
      </c>
      <c r="E201" s="83">
        <v>10930</v>
      </c>
      <c r="F201" s="83">
        <v>1500</v>
      </c>
      <c r="G201" s="91">
        <v>5300</v>
      </c>
    </row>
    <row r="202" spans="1:7" s="72" customFormat="1" ht="14.25" customHeight="1">
      <c r="A202" s="83" t="s">
        <v>303</v>
      </c>
      <c r="B202" s="83" t="s">
        <v>3036</v>
      </c>
      <c r="C202" s="83">
        <v>8530</v>
      </c>
      <c r="D202" s="83">
        <v>8490</v>
      </c>
      <c r="E202" s="83">
        <v>11160</v>
      </c>
      <c r="F202" s="83">
        <v>1580</v>
      </c>
      <c r="G202" s="91">
        <v>5360</v>
      </c>
    </row>
    <row r="203" spans="1:7" s="72" customFormat="1" ht="14.25" customHeight="1">
      <c r="A203" s="83" t="s">
        <v>303</v>
      </c>
      <c r="B203" s="83" t="s">
        <v>3037</v>
      </c>
      <c r="C203" s="83">
        <v>8130</v>
      </c>
      <c r="D203" s="83">
        <v>8070</v>
      </c>
      <c r="E203" s="83">
        <v>10820</v>
      </c>
      <c r="F203" s="83">
        <v>1690</v>
      </c>
      <c r="G203" s="91">
        <v>5100</v>
      </c>
    </row>
    <row r="204" spans="1:7" s="72" customFormat="1" ht="14.25" customHeight="1">
      <c r="A204" s="83" t="s">
        <v>303</v>
      </c>
      <c r="B204" s="83" t="s">
        <v>3038</v>
      </c>
      <c r="C204" s="83">
        <v>8350</v>
      </c>
      <c r="D204" s="83">
        <v>8290</v>
      </c>
      <c r="E204" s="83">
        <v>11080</v>
      </c>
      <c r="F204" s="83">
        <v>1450</v>
      </c>
      <c r="G204" s="91">
        <v>5240</v>
      </c>
    </row>
    <row r="205" spans="1:7" s="72" customFormat="1" ht="14.25" customHeight="1">
      <c r="A205" s="83" t="s">
        <v>303</v>
      </c>
      <c r="B205" s="83" t="s">
        <v>3039</v>
      </c>
      <c r="C205" s="83">
        <v>7190</v>
      </c>
      <c r="D205" s="83">
        <v>7130</v>
      </c>
      <c r="E205" s="83">
        <v>9490</v>
      </c>
      <c r="F205" s="83">
        <v>1470</v>
      </c>
      <c r="G205" s="91">
        <v>4510</v>
      </c>
    </row>
    <row r="206" spans="1:7" s="72" customFormat="1" ht="14.25" customHeight="1">
      <c r="A206" s="83" t="s">
        <v>303</v>
      </c>
      <c r="B206" s="83" t="s">
        <v>3040</v>
      </c>
      <c r="C206" s="83">
        <v>7000</v>
      </c>
      <c r="D206" s="83">
        <v>6950</v>
      </c>
      <c r="E206" s="83">
        <v>9170</v>
      </c>
      <c r="F206" s="83">
        <v>1400</v>
      </c>
      <c r="G206" s="91">
        <v>4380</v>
      </c>
    </row>
    <row r="207" spans="1:7" s="72" customFormat="1" ht="14.25" customHeight="1">
      <c r="A207" s="83" t="s">
        <v>303</v>
      </c>
      <c r="B207" s="83" t="s">
        <v>3041</v>
      </c>
      <c r="C207" s="83">
        <v>6950</v>
      </c>
      <c r="D207" s="83">
        <v>6900</v>
      </c>
      <c r="E207" s="83">
        <v>9110</v>
      </c>
      <c r="F207" s="83">
        <v>1790</v>
      </c>
      <c r="G207" s="91">
        <v>4360</v>
      </c>
    </row>
    <row r="208" spans="1:7" s="72" customFormat="1" ht="14.25" customHeight="1">
      <c r="A208" s="83" t="s">
        <v>303</v>
      </c>
      <c r="B208" s="83" t="s">
        <v>3042</v>
      </c>
      <c r="C208" s="83">
        <v>9470</v>
      </c>
      <c r="D208" s="83">
        <v>9410</v>
      </c>
      <c r="E208" s="83">
        <v>12330</v>
      </c>
      <c r="F208" s="83">
        <v>1770</v>
      </c>
      <c r="G208" s="91">
        <v>5940</v>
      </c>
    </row>
    <row r="209" spans="1:7" s="72" customFormat="1" ht="14.25" customHeight="1">
      <c r="A209" s="83" t="s">
        <v>303</v>
      </c>
      <c r="B209" s="83" t="s">
        <v>3043</v>
      </c>
      <c r="C209" s="83">
        <v>8740</v>
      </c>
      <c r="D209" s="83">
        <v>8700</v>
      </c>
      <c r="E209" s="83">
        <v>11500</v>
      </c>
      <c r="F209" s="83">
        <v>1730</v>
      </c>
      <c r="G209" s="91">
        <v>5490</v>
      </c>
    </row>
    <row r="210" spans="1:7" s="72" customFormat="1" ht="14.25" customHeight="1">
      <c r="A210" s="83" t="s">
        <v>303</v>
      </c>
      <c r="B210" s="83" t="s">
        <v>3044</v>
      </c>
      <c r="C210" s="83">
        <v>8710</v>
      </c>
      <c r="D210" s="83">
        <v>8660</v>
      </c>
      <c r="E210" s="83">
        <v>11440</v>
      </c>
      <c r="F210" s="83">
        <v>1740</v>
      </c>
      <c r="G210" s="91">
        <v>5470</v>
      </c>
    </row>
    <row r="211" spans="1:7" s="72" customFormat="1" ht="14.25" customHeight="1">
      <c r="A211" s="83" t="s">
        <v>303</v>
      </c>
      <c r="B211" s="83" t="s">
        <v>3045</v>
      </c>
      <c r="C211" s="83">
        <v>9480</v>
      </c>
      <c r="D211" s="83">
        <v>9430</v>
      </c>
      <c r="E211" s="83">
        <v>12360</v>
      </c>
      <c r="F211" s="83">
        <v>1820</v>
      </c>
      <c r="G211" s="91">
        <v>5950</v>
      </c>
    </row>
    <row r="212" spans="1:7" s="72" customFormat="1" ht="14.25" customHeight="1">
      <c r="A212" s="83" t="s">
        <v>303</v>
      </c>
      <c r="B212" s="83" t="s">
        <v>3046</v>
      </c>
      <c r="C212" s="83">
        <v>9070</v>
      </c>
      <c r="D212" s="83">
        <v>9020</v>
      </c>
      <c r="E212" s="83">
        <v>11720</v>
      </c>
      <c r="F212" s="83">
        <v>1850</v>
      </c>
      <c r="G212" s="91">
        <v>5700</v>
      </c>
    </row>
    <row r="213" spans="1:7" s="72" customFormat="1" ht="14.25" customHeight="1">
      <c r="A213" s="83" t="s">
        <v>303</v>
      </c>
      <c r="B213" s="83" t="s">
        <v>3047</v>
      </c>
      <c r="C213" s="83">
        <v>9030</v>
      </c>
      <c r="D213" s="83">
        <v>8980</v>
      </c>
      <c r="E213" s="83">
        <v>11670</v>
      </c>
      <c r="F213" s="83">
        <v>1690</v>
      </c>
      <c r="G213" s="91">
        <v>5670</v>
      </c>
    </row>
    <row r="214" spans="1:7" s="72" customFormat="1" ht="14.25" customHeight="1">
      <c r="A214" s="83" t="s">
        <v>303</v>
      </c>
      <c r="B214" s="83" t="s">
        <v>3048</v>
      </c>
      <c r="C214" s="83">
        <v>8090</v>
      </c>
      <c r="D214" s="83">
        <v>8030</v>
      </c>
      <c r="E214" s="83">
        <v>10780</v>
      </c>
      <c r="F214" s="83">
        <v>1570</v>
      </c>
      <c r="G214" s="91">
        <v>5070</v>
      </c>
    </row>
    <row r="215" spans="1:7" s="72" customFormat="1" ht="14.25" customHeight="1">
      <c r="A215" s="83" t="s">
        <v>303</v>
      </c>
      <c r="B215" s="83" t="s">
        <v>3049</v>
      </c>
      <c r="C215" s="83">
        <v>7950</v>
      </c>
      <c r="D215" s="83">
        <v>7900</v>
      </c>
      <c r="E215" s="83">
        <v>10560</v>
      </c>
      <c r="F215" s="83">
        <v>1630</v>
      </c>
      <c r="G215" s="91">
        <v>4990</v>
      </c>
    </row>
    <row r="216" spans="1:7" s="72" customFormat="1" ht="14.25" customHeight="1">
      <c r="A216" s="83" t="s">
        <v>303</v>
      </c>
      <c r="B216" s="83" t="s">
        <v>3050</v>
      </c>
      <c r="C216" s="83">
        <v>8490</v>
      </c>
      <c r="D216" s="83">
        <v>8440</v>
      </c>
      <c r="E216" s="83">
        <v>11260</v>
      </c>
      <c r="F216" s="83">
        <v>1690</v>
      </c>
      <c r="G216" s="91">
        <v>5330</v>
      </c>
    </row>
    <row r="217" spans="1:7" s="72" customFormat="1" ht="14.25" customHeight="1">
      <c r="A217" s="83" t="s">
        <v>303</v>
      </c>
      <c r="B217" s="83" t="s">
        <v>3051</v>
      </c>
      <c r="C217" s="83">
        <v>8200</v>
      </c>
      <c r="D217" s="83">
        <v>8150</v>
      </c>
      <c r="E217" s="83">
        <v>10910</v>
      </c>
      <c r="F217" s="83">
        <v>1670</v>
      </c>
      <c r="G217" s="91">
        <v>5150</v>
      </c>
    </row>
    <row r="218" spans="1:7" s="72" customFormat="1" ht="14.25" customHeight="1">
      <c r="A218" s="83" t="s">
        <v>303</v>
      </c>
      <c r="B218" s="83" t="s">
        <v>3052</v>
      </c>
      <c r="C218" s="83"/>
      <c r="D218" s="83"/>
      <c r="E218" s="83"/>
      <c r="F218" s="83">
        <v>2040</v>
      </c>
      <c r="G218" s="91"/>
    </row>
    <row r="219" spans="1:7" s="72" customFormat="1" ht="14.25" customHeight="1">
      <c r="A219" s="83" t="s">
        <v>303</v>
      </c>
      <c r="B219" s="83" t="s">
        <v>3053</v>
      </c>
      <c r="C219" s="83"/>
      <c r="D219" s="83"/>
      <c r="E219" s="83"/>
      <c r="F219" s="83">
        <v>2040</v>
      </c>
      <c r="G219" s="91"/>
    </row>
    <row r="220" spans="1:7" s="72" customFormat="1" ht="14.25" customHeight="1">
      <c r="A220" s="83" t="s">
        <v>303</v>
      </c>
      <c r="B220" s="83" t="s">
        <v>3054</v>
      </c>
      <c r="C220" s="83"/>
      <c r="D220" s="83"/>
      <c r="E220" s="83"/>
      <c r="F220" s="83">
        <v>2040</v>
      </c>
      <c r="G220" s="91"/>
    </row>
    <row r="221" spans="1:7" s="72" customFormat="1" ht="14.25" customHeight="1">
      <c r="A221" s="83" t="s">
        <v>303</v>
      </c>
      <c r="B221" s="83" t="s">
        <v>3055</v>
      </c>
      <c r="C221" s="83"/>
      <c r="D221" s="83"/>
      <c r="E221" s="83"/>
      <c r="F221" s="83">
        <v>2040</v>
      </c>
      <c r="G221" s="91"/>
    </row>
    <row r="222" spans="1:7" s="72" customFormat="1" ht="14.25" customHeight="1">
      <c r="A222" s="83" t="s">
        <v>303</v>
      </c>
      <c r="B222" s="83" t="s">
        <v>3056</v>
      </c>
      <c r="C222" s="83"/>
      <c r="D222" s="83"/>
      <c r="E222" s="83"/>
      <c r="F222" s="83">
        <v>2040</v>
      </c>
      <c r="G222" s="91"/>
    </row>
    <row r="223" spans="1:7" s="72" customFormat="1" ht="14.25" customHeight="1">
      <c r="A223" s="83" t="s">
        <v>303</v>
      </c>
      <c r="B223" s="83" t="s">
        <v>3057</v>
      </c>
      <c r="C223" s="83"/>
      <c r="D223" s="83"/>
      <c r="E223" s="83"/>
      <c r="F223" s="83">
        <v>1930</v>
      </c>
      <c r="G223" s="91"/>
    </row>
    <row r="224" spans="1:7" s="72" customFormat="1" ht="14.25" customHeight="1">
      <c r="A224" s="83" t="s">
        <v>303</v>
      </c>
      <c r="B224" s="83" t="s">
        <v>3058</v>
      </c>
      <c r="C224" s="83"/>
      <c r="D224" s="83"/>
      <c r="E224" s="83"/>
      <c r="F224" s="83">
        <v>1930</v>
      </c>
      <c r="G224" s="91"/>
    </row>
    <row r="225" spans="1:7" s="72" customFormat="1" ht="14.25" customHeight="1">
      <c r="A225" s="83" t="s">
        <v>303</v>
      </c>
      <c r="B225" s="83" t="s">
        <v>3059</v>
      </c>
      <c r="C225" s="83"/>
      <c r="D225" s="83"/>
      <c r="E225" s="83"/>
      <c r="F225" s="83">
        <v>1930</v>
      </c>
      <c r="G225" s="91"/>
    </row>
    <row r="226" spans="1:7" s="72" customFormat="1" ht="14.25" customHeight="1">
      <c r="A226" s="83" t="s">
        <v>303</v>
      </c>
      <c r="B226" s="83" t="s">
        <v>3060</v>
      </c>
      <c r="C226" s="83"/>
      <c r="D226" s="83"/>
      <c r="E226" s="83"/>
      <c r="F226" s="83">
        <v>1700</v>
      </c>
      <c r="G226" s="91"/>
    </row>
    <row r="227" spans="1:7" s="72" customFormat="1" ht="14.25" customHeight="1">
      <c r="A227" s="83" t="s">
        <v>303</v>
      </c>
      <c r="B227" s="83" t="s">
        <v>3348</v>
      </c>
      <c r="C227" s="83"/>
      <c r="D227" s="83"/>
      <c r="E227" s="83"/>
      <c r="F227" s="83">
        <v>1520</v>
      </c>
      <c r="G227" s="91"/>
    </row>
    <row r="228" spans="1:7" s="72" customFormat="1" ht="14.25" customHeight="1">
      <c r="A228" s="83" t="s">
        <v>303</v>
      </c>
      <c r="B228" s="83" t="s">
        <v>3349</v>
      </c>
      <c r="C228" s="83"/>
      <c r="D228" s="83"/>
      <c r="E228" s="83"/>
      <c r="F228" s="83">
        <v>1520</v>
      </c>
      <c r="G228" s="91"/>
    </row>
    <row r="229" spans="1:7" s="72" customFormat="1" ht="14.25" customHeight="1">
      <c r="A229" s="83" t="s">
        <v>303</v>
      </c>
      <c r="B229" s="83" t="s">
        <v>3350</v>
      </c>
      <c r="C229" s="83"/>
      <c r="D229" s="83"/>
      <c r="E229" s="83"/>
      <c r="F229" s="83">
        <v>1520</v>
      </c>
      <c r="G229" s="91"/>
    </row>
    <row r="230" spans="1:7" s="72" customFormat="1" ht="14.25" customHeight="1">
      <c r="A230" s="83" t="s">
        <v>303</v>
      </c>
      <c r="B230" s="83" t="s">
        <v>3064</v>
      </c>
      <c r="C230" s="83"/>
      <c r="D230" s="83"/>
      <c r="E230" s="83"/>
      <c r="F230" s="83">
        <v>1820</v>
      </c>
      <c r="G230" s="91"/>
    </row>
    <row r="231" spans="1:7" s="72" customFormat="1" ht="14.25" customHeight="1">
      <c r="A231" s="83" t="s">
        <v>303</v>
      </c>
      <c r="B231" s="83" t="s">
        <v>3065</v>
      </c>
      <c r="C231" s="83"/>
      <c r="D231" s="83"/>
      <c r="E231" s="83"/>
      <c r="F231" s="83">
        <v>1760</v>
      </c>
      <c r="G231" s="91"/>
    </row>
    <row r="232" spans="1:7" s="72" customFormat="1" ht="14.25" customHeight="1">
      <c r="A232" s="83" t="s">
        <v>303</v>
      </c>
      <c r="B232" s="83" t="s">
        <v>3351</v>
      </c>
      <c r="C232" s="83"/>
      <c r="D232" s="83"/>
      <c r="E232" s="83"/>
      <c r="F232" s="83">
        <v>1840</v>
      </c>
      <c r="G232" s="91"/>
    </row>
    <row r="233" spans="1:7" s="72" customFormat="1" ht="14.25" customHeight="1">
      <c r="A233" s="92" t="s">
        <v>303</v>
      </c>
      <c r="B233" s="87" t="s">
        <v>3067</v>
      </c>
      <c r="C233" s="87"/>
      <c r="D233" s="87"/>
      <c r="E233" s="87"/>
      <c r="F233" s="87">
        <v>1770</v>
      </c>
      <c r="G233" s="93"/>
    </row>
    <row r="234" spans="1:7" s="72" customFormat="1" ht="14.25" customHeight="1">
      <c r="A234" s="81" t="s">
        <v>311</v>
      </c>
      <c r="B234" s="82" t="s">
        <v>3068</v>
      </c>
      <c r="C234" s="83">
        <v>6980</v>
      </c>
      <c r="D234" s="83">
        <v>6970</v>
      </c>
      <c r="E234" s="83">
        <v>8720</v>
      </c>
      <c r="F234" s="83">
        <v>1350</v>
      </c>
      <c r="G234" s="83">
        <v>4280</v>
      </c>
    </row>
    <row r="235" spans="1:7" s="72" customFormat="1" ht="14.25" customHeight="1">
      <c r="A235" s="83" t="s">
        <v>311</v>
      </c>
      <c r="B235" s="83" t="s">
        <v>3069</v>
      </c>
      <c r="C235" s="83">
        <v>7620</v>
      </c>
      <c r="D235" s="83">
        <v>7580</v>
      </c>
      <c r="E235" s="83">
        <v>9360</v>
      </c>
      <c r="F235" s="83">
        <v>1490</v>
      </c>
      <c r="G235" s="83">
        <v>4650</v>
      </c>
    </row>
    <row r="236" spans="1:7" s="72" customFormat="1" ht="14.25" customHeight="1">
      <c r="A236" s="83" t="s">
        <v>311</v>
      </c>
      <c r="B236" s="83" t="s">
        <v>3070</v>
      </c>
      <c r="C236" s="83">
        <v>6650</v>
      </c>
      <c r="D236" s="83">
        <v>6630</v>
      </c>
      <c r="E236" s="83">
        <v>8330</v>
      </c>
      <c r="F236" s="83">
        <v>1250</v>
      </c>
      <c r="G236" s="83">
        <v>4070</v>
      </c>
    </row>
    <row r="237" spans="1:7" s="72" customFormat="1" ht="14.25" customHeight="1">
      <c r="A237" s="83" t="s">
        <v>311</v>
      </c>
      <c r="B237" s="83" t="s">
        <v>3071</v>
      </c>
      <c r="C237" s="83">
        <v>5850</v>
      </c>
      <c r="D237" s="83">
        <v>5820</v>
      </c>
      <c r="E237" s="83">
        <v>7260</v>
      </c>
      <c r="F237" s="83">
        <v>1140</v>
      </c>
      <c r="G237" s="83">
        <v>3570</v>
      </c>
    </row>
    <row r="238" spans="1:7" s="72" customFormat="1" ht="14.25" customHeight="1">
      <c r="A238" s="83" t="s">
        <v>311</v>
      </c>
      <c r="B238" s="83" t="s">
        <v>3072</v>
      </c>
      <c r="C238" s="83">
        <v>6920</v>
      </c>
      <c r="D238" s="83">
        <v>6890</v>
      </c>
      <c r="E238" s="83">
        <v>8640</v>
      </c>
      <c r="F238" s="83">
        <v>1310</v>
      </c>
      <c r="G238" s="83">
        <v>4230</v>
      </c>
    </row>
    <row r="239" spans="1:7" s="72" customFormat="1" ht="14.25" customHeight="1">
      <c r="A239" s="83" t="s">
        <v>311</v>
      </c>
      <c r="B239" s="83" t="s">
        <v>3073</v>
      </c>
      <c r="C239" s="83">
        <v>6780</v>
      </c>
      <c r="D239" s="83">
        <v>6750</v>
      </c>
      <c r="E239" s="83">
        <v>8440</v>
      </c>
      <c r="F239" s="83">
        <v>1160</v>
      </c>
      <c r="G239" s="83">
        <v>4140</v>
      </c>
    </row>
    <row r="240" spans="1:7" s="72" customFormat="1" ht="14.25" customHeight="1">
      <c r="A240" s="83" t="s">
        <v>311</v>
      </c>
      <c r="B240" s="83" t="s">
        <v>3074</v>
      </c>
      <c r="C240" s="83">
        <v>5420</v>
      </c>
      <c r="D240" s="83">
        <v>5380</v>
      </c>
      <c r="E240" s="83">
        <v>6640</v>
      </c>
      <c r="F240" s="83">
        <v>1020</v>
      </c>
      <c r="G240" s="83">
        <v>3300</v>
      </c>
    </row>
    <row r="241" spans="1:7" s="72" customFormat="1" ht="14.25" customHeight="1">
      <c r="A241" s="83" t="s">
        <v>311</v>
      </c>
      <c r="B241" s="83" t="s">
        <v>3075</v>
      </c>
      <c r="C241" s="83">
        <v>6660</v>
      </c>
      <c r="D241" s="83">
        <v>6640</v>
      </c>
      <c r="E241" s="83">
        <v>8340</v>
      </c>
      <c r="F241" s="83">
        <v>1130</v>
      </c>
      <c r="G241" s="83">
        <v>4080</v>
      </c>
    </row>
    <row r="242" spans="1:7" s="72" customFormat="1" ht="14.25" customHeight="1">
      <c r="A242" s="83" t="s">
        <v>311</v>
      </c>
      <c r="B242" s="83" t="s">
        <v>3076</v>
      </c>
      <c r="C242" s="83">
        <v>6580</v>
      </c>
      <c r="D242" s="83">
        <v>6550</v>
      </c>
      <c r="E242" s="83">
        <v>8090</v>
      </c>
      <c r="F242" s="83">
        <v>1240</v>
      </c>
      <c r="G242" s="83">
        <v>4020</v>
      </c>
    </row>
    <row r="243" spans="1:7" s="72" customFormat="1" ht="14.25" customHeight="1">
      <c r="A243" s="83" t="s">
        <v>311</v>
      </c>
      <c r="B243" s="83" t="s">
        <v>3077</v>
      </c>
      <c r="C243" s="83">
        <v>6000</v>
      </c>
      <c r="D243" s="83">
        <v>5970</v>
      </c>
      <c r="E243" s="83">
        <v>7370</v>
      </c>
      <c r="F243" s="83">
        <v>1070</v>
      </c>
      <c r="G243" s="83">
        <v>3670</v>
      </c>
    </row>
    <row r="244" spans="1:7" s="72" customFormat="1" ht="14.25" customHeight="1">
      <c r="A244" s="83" t="s">
        <v>311</v>
      </c>
      <c r="B244" s="83" t="s">
        <v>3078</v>
      </c>
      <c r="C244" s="83">
        <v>5840</v>
      </c>
      <c r="D244" s="83">
        <v>5810</v>
      </c>
      <c r="E244" s="83">
        <v>7240</v>
      </c>
      <c r="F244" s="83">
        <v>1100</v>
      </c>
      <c r="G244" s="83">
        <v>3560</v>
      </c>
    </row>
    <row r="245" spans="1:7" s="72" customFormat="1" ht="14.25" customHeight="1">
      <c r="A245" s="83" t="s">
        <v>311</v>
      </c>
      <c r="B245" s="83" t="s">
        <v>3079</v>
      </c>
      <c r="C245" s="83">
        <v>6040</v>
      </c>
      <c r="D245" s="83">
        <v>6000</v>
      </c>
      <c r="E245" s="83">
        <v>7420</v>
      </c>
      <c r="F245" s="83">
        <v>1140</v>
      </c>
      <c r="G245" s="83">
        <v>3690</v>
      </c>
    </row>
    <row r="246" spans="1:7" s="72" customFormat="1" ht="14.25" customHeight="1">
      <c r="A246" s="83" t="s">
        <v>311</v>
      </c>
      <c r="B246" s="83" t="s">
        <v>3080</v>
      </c>
      <c r="C246" s="83">
        <v>5890</v>
      </c>
      <c r="D246" s="83">
        <v>5860</v>
      </c>
      <c r="E246" s="83">
        <v>7300</v>
      </c>
      <c r="F246" s="83">
        <v>1110</v>
      </c>
      <c r="G246" s="83">
        <v>3590</v>
      </c>
    </row>
    <row r="247" spans="1:7" s="72" customFormat="1" ht="14.25" customHeight="1">
      <c r="A247" s="83" t="s">
        <v>311</v>
      </c>
      <c r="B247" s="83" t="s">
        <v>3081</v>
      </c>
      <c r="C247" s="83">
        <v>6480</v>
      </c>
      <c r="D247" s="83">
        <v>6450</v>
      </c>
      <c r="E247" s="83">
        <v>8010</v>
      </c>
      <c r="F247" s="83">
        <v>1170</v>
      </c>
      <c r="G247" s="83">
        <v>3960</v>
      </c>
    </row>
    <row r="248" spans="1:7" s="72" customFormat="1" ht="14.25" customHeight="1">
      <c r="A248" s="83" t="s">
        <v>311</v>
      </c>
      <c r="B248" s="83" t="s">
        <v>3082</v>
      </c>
      <c r="C248" s="83">
        <v>6860</v>
      </c>
      <c r="D248" s="83">
        <v>6840</v>
      </c>
      <c r="E248" s="83">
        <v>8520</v>
      </c>
      <c r="F248" s="83">
        <v>1240</v>
      </c>
      <c r="G248" s="83">
        <v>4200</v>
      </c>
    </row>
    <row r="249" spans="1:7" s="72" customFormat="1" ht="14.25" customHeight="1">
      <c r="A249" s="83" t="s">
        <v>311</v>
      </c>
      <c r="B249" s="83" t="s">
        <v>3083</v>
      </c>
      <c r="C249" s="83">
        <v>7180</v>
      </c>
      <c r="D249" s="83">
        <v>7140</v>
      </c>
      <c r="E249" s="83">
        <v>8900</v>
      </c>
      <c r="F249" s="83">
        <v>1350</v>
      </c>
      <c r="G249" s="83">
        <v>4380</v>
      </c>
    </row>
    <row r="250" spans="1:7" s="72" customFormat="1" ht="14.25" customHeight="1">
      <c r="A250" s="83" t="s">
        <v>311</v>
      </c>
      <c r="B250" s="83" t="s">
        <v>3084</v>
      </c>
      <c r="C250" s="83">
        <v>6880</v>
      </c>
      <c r="D250" s="83">
        <v>6860</v>
      </c>
      <c r="E250" s="83">
        <v>8550</v>
      </c>
      <c r="F250" s="83">
        <v>1220</v>
      </c>
      <c r="G250" s="83">
        <v>4210</v>
      </c>
    </row>
    <row r="251" spans="1:7" s="72" customFormat="1" ht="14.25" customHeight="1">
      <c r="A251" s="83" t="s">
        <v>311</v>
      </c>
      <c r="B251" s="83" t="s">
        <v>3085</v>
      </c>
      <c r="C251" s="83"/>
      <c r="D251" s="83"/>
      <c r="E251" s="83"/>
      <c r="F251" s="83">
        <v>1100</v>
      </c>
      <c r="G251" s="83"/>
    </row>
    <row r="252" spans="1:7" s="72" customFormat="1" ht="14.25" customHeight="1">
      <c r="A252" s="83" t="s">
        <v>311</v>
      </c>
      <c r="B252" s="83" t="s">
        <v>3086</v>
      </c>
      <c r="C252" s="83">
        <v>7240</v>
      </c>
      <c r="D252" s="83">
        <v>7200</v>
      </c>
      <c r="E252" s="83">
        <v>9040</v>
      </c>
      <c r="F252" s="83">
        <v>1380</v>
      </c>
      <c r="G252" s="83">
        <v>4420</v>
      </c>
    </row>
    <row r="253" spans="1:7" s="72" customFormat="1" ht="14.25" customHeight="1">
      <c r="A253" s="83" t="s">
        <v>311</v>
      </c>
      <c r="B253" s="83" t="s">
        <v>3087</v>
      </c>
      <c r="C253" s="83">
        <v>6670</v>
      </c>
      <c r="D253" s="83">
        <v>6650</v>
      </c>
      <c r="E253" s="83">
        <v>8350</v>
      </c>
      <c r="F253" s="83">
        <v>1260</v>
      </c>
      <c r="G253" s="83">
        <v>4080</v>
      </c>
    </row>
    <row r="254" spans="1:7" s="72" customFormat="1" ht="14.25" customHeight="1">
      <c r="A254" s="83" t="s">
        <v>311</v>
      </c>
      <c r="B254" s="83" t="s">
        <v>3088</v>
      </c>
      <c r="C254" s="83">
        <v>7630</v>
      </c>
      <c r="D254" s="83">
        <v>7590</v>
      </c>
      <c r="E254" s="83">
        <v>9380</v>
      </c>
      <c r="F254" s="83">
        <v>1320</v>
      </c>
      <c r="G254" s="83">
        <v>4660</v>
      </c>
    </row>
    <row r="255" spans="1:7" s="72" customFormat="1" ht="14.25" customHeight="1">
      <c r="A255" s="83" t="s">
        <v>311</v>
      </c>
      <c r="B255" s="83" t="s">
        <v>3089</v>
      </c>
      <c r="C255" s="83">
        <v>6940</v>
      </c>
      <c r="D255" s="83">
        <v>6890</v>
      </c>
      <c r="E255" s="83">
        <v>8650</v>
      </c>
      <c r="F255" s="83">
        <v>1210</v>
      </c>
      <c r="G255" s="83">
        <v>4230</v>
      </c>
    </row>
    <row r="256" spans="1:7" s="72" customFormat="1" ht="14.25" customHeight="1">
      <c r="A256" s="83" t="s">
        <v>311</v>
      </c>
      <c r="B256" s="83" t="s">
        <v>3090</v>
      </c>
      <c r="C256" s="83">
        <v>7520</v>
      </c>
      <c r="D256" s="83">
        <v>7490</v>
      </c>
      <c r="E256" s="83">
        <v>9240</v>
      </c>
      <c r="F256" s="83">
        <v>1270</v>
      </c>
      <c r="G256" s="83">
        <v>4590</v>
      </c>
    </row>
    <row r="257" spans="1:7" s="72" customFormat="1" ht="14.25" customHeight="1">
      <c r="A257" s="83" t="s">
        <v>311</v>
      </c>
      <c r="B257" s="83" t="s">
        <v>3091</v>
      </c>
      <c r="C257" s="83">
        <v>6280</v>
      </c>
      <c r="D257" s="83">
        <v>6230</v>
      </c>
      <c r="E257" s="83">
        <v>7740</v>
      </c>
      <c r="F257" s="83">
        <v>1080</v>
      </c>
      <c r="G257" s="83">
        <v>3830</v>
      </c>
    </row>
    <row r="258" spans="1:7" s="72" customFormat="1" ht="14.25" customHeight="1">
      <c r="A258" s="83" t="s">
        <v>311</v>
      </c>
      <c r="B258" s="83" t="s">
        <v>3092</v>
      </c>
      <c r="C258" s="83">
        <v>6190</v>
      </c>
      <c r="D258" s="83">
        <v>6160</v>
      </c>
      <c r="E258" s="83">
        <v>7680</v>
      </c>
      <c r="F258" s="83">
        <v>1170</v>
      </c>
      <c r="G258" s="83">
        <v>3780</v>
      </c>
    </row>
    <row r="259" spans="1:7" s="72" customFormat="1" ht="14.25" customHeight="1">
      <c r="A259" s="83" t="s">
        <v>311</v>
      </c>
      <c r="B259" s="83" t="s">
        <v>3093</v>
      </c>
      <c r="C259" s="83">
        <v>7610</v>
      </c>
      <c r="D259" s="83">
        <v>7570</v>
      </c>
      <c r="E259" s="83">
        <v>9350</v>
      </c>
      <c r="F259" s="83">
        <v>1350</v>
      </c>
      <c r="G259" s="83">
        <v>4650</v>
      </c>
    </row>
    <row r="260" spans="1:7" s="72" customFormat="1" ht="14.25" customHeight="1">
      <c r="A260" s="83" t="s">
        <v>311</v>
      </c>
      <c r="B260" s="83" t="s">
        <v>3094</v>
      </c>
      <c r="C260" s="83">
        <v>6920</v>
      </c>
      <c r="D260" s="83">
        <v>6880</v>
      </c>
      <c r="E260" s="83">
        <v>8380</v>
      </c>
      <c r="F260" s="83">
        <v>1160</v>
      </c>
      <c r="G260" s="83">
        <v>4220</v>
      </c>
    </row>
    <row r="261" spans="1:7" s="72" customFormat="1" ht="14.25" customHeight="1">
      <c r="A261" s="83" t="s">
        <v>311</v>
      </c>
      <c r="B261" s="83" t="s">
        <v>3095</v>
      </c>
      <c r="C261" s="83">
        <v>6850</v>
      </c>
      <c r="D261" s="83">
        <v>6810</v>
      </c>
      <c r="E261" s="83">
        <v>8290</v>
      </c>
      <c r="F261" s="83">
        <v>1130</v>
      </c>
      <c r="G261" s="83">
        <v>4180</v>
      </c>
    </row>
    <row r="262" spans="1:7" s="72" customFormat="1" ht="14.25" customHeight="1">
      <c r="A262" s="83" t="s">
        <v>311</v>
      </c>
      <c r="B262" s="83" t="s">
        <v>3096</v>
      </c>
      <c r="C262" s="83">
        <v>5860</v>
      </c>
      <c r="D262" s="83">
        <v>5820</v>
      </c>
      <c r="E262" s="83">
        <v>7640</v>
      </c>
      <c r="F262" s="83">
        <v>1070</v>
      </c>
      <c r="G262" s="83">
        <v>3570</v>
      </c>
    </row>
    <row r="263" spans="1:7" s="72" customFormat="1" ht="14.25" customHeight="1">
      <c r="A263" s="83" t="s">
        <v>311</v>
      </c>
      <c r="B263" s="83" t="s">
        <v>3097</v>
      </c>
      <c r="C263" s="83">
        <v>5870</v>
      </c>
      <c r="D263" s="83">
        <v>5840</v>
      </c>
      <c r="E263" s="83">
        <v>7270</v>
      </c>
      <c r="F263" s="83">
        <v>1190</v>
      </c>
      <c r="G263" s="83">
        <v>3580</v>
      </c>
    </row>
    <row r="264" spans="1:7" s="72" customFormat="1" ht="14.25" customHeight="1">
      <c r="A264" s="83" t="s">
        <v>311</v>
      </c>
      <c r="B264" s="83" t="s">
        <v>3098</v>
      </c>
      <c r="C264" s="83">
        <v>6190</v>
      </c>
      <c r="D264" s="83">
        <v>6150</v>
      </c>
      <c r="E264" s="83">
        <v>7660</v>
      </c>
      <c r="F264" s="83">
        <v>1160</v>
      </c>
      <c r="G264" s="83">
        <v>3770</v>
      </c>
    </row>
    <row r="265" spans="1:7" s="72" customFormat="1" ht="14.25" customHeight="1">
      <c r="A265" s="83" t="s">
        <v>311</v>
      </c>
      <c r="B265" s="83" t="s">
        <v>3099</v>
      </c>
      <c r="C265" s="83"/>
      <c r="D265" s="83"/>
      <c r="E265" s="83"/>
      <c r="F265" s="83">
        <v>1500</v>
      </c>
      <c r="G265" s="83"/>
    </row>
    <row r="266" spans="1:7" s="72" customFormat="1" ht="14.25" customHeight="1">
      <c r="A266" s="83" t="s">
        <v>311</v>
      </c>
      <c r="B266" s="83" t="s">
        <v>3100</v>
      </c>
      <c r="C266" s="83"/>
      <c r="D266" s="83"/>
      <c r="E266" s="83"/>
      <c r="F266" s="83">
        <v>1500</v>
      </c>
      <c r="G266" s="83"/>
    </row>
    <row r="267" spans="1:7" s="72" customFormat="1" ht="14.25" customHeight="1">
      <c r="A267" s="83" t="s">
        <v>311</v>
      </c>
      <c r="B267" s="83" t="s">
        <v>3101</v>
      </c>
      <c r="C267" s="83"/>
      <c r="D267" s="83"/>
      <c r="E267" s="83"/>
      <c r="F267" s="83">
        <v>1500</v>
      </c>
      <c r="G267" s="83"/>
    </row>
    <row r="268" spans="1:7" s="72" customFormat="1" ht="14.25" customHeight="1">
      <c r="A268" s="83" t="s">
        <v>311</v>
      </c>
      <c r="B268" s="83" t="s">
        <v>3102</v>
      </c>
      <c r="C268" s="83"/>
      <c r="D268" s="83"/>
      <c r="E268" s="83"/>
      <c r="F268" s="83">
        <v>1290</v>
      </c>
      <c r="G268" s="83"/>
    </row>
    <row r="269" spans="1:7" s="72" customFormat="1" ht="14.25" customHeight="1">
      <c r="A269" s="83" t="s">
        <v>311</v>
      </c>
      <c r="B269" s="83" t="s">
        <v>3103</v>
      </c>
      <c r="C269" s="83"/>
      <c r="D269" s="83"/>
      <c r="E269" s="83"/>
      <c r="F269" s="83">
        <v>1150</v>
      </c>
      <c r="G269" s="83"/>
    </row>
    <row r="270" spans="1:7" s="72" customFormat="1" ht="14.25" customHeight="1">
      <c r="A270" s="83" t="s">
        <v>311</v>
      </c>
      <c r="B270" s="83" t="s">
        <v>3104</v>
      </c>
      <c r="C270" s="83"/>
      <c r="D270" s="83"/>
      <c r="E270" s="83"/>
      <c r="F270" s="83">
        <v>1380</v>
      </c>
      <c r="G270" s="83"/>
    </row>
    <row r="271" spans="1:7" s="72" customFormat="1" ht="14.25" customHeight="1">
      <c r="A271" s="83" t="s">
        <v>311</v>
      </c>
      <c r="B271" s="83" t="s">
        <v>3105</v>
      </c>
      <c r="C271" s="83"/>
      <c r="D271" s="83"/>
      <c r="E271" s="83"/>
      <c r="F271" s="83">
        <v>1460</v>
      </c>
      <c r="G271" s="83"/>
    </row>
    <row r="272" spans="1:7" s="72" customFormat="1" ht="14.25" customHeight="1">
      <c r="A272" s="83" t="s">
        <v>311</v>
      </c>
      <c r="B272" s="83" t="s">
        <v>3106</v>
      </c>
      <c r="C272" s="83"/>
      <c r="D272" s="83"/>
      <c r="E272" s="83"/>
      <c r="F272" s="83">
        <v>1460</v>
      </c>
      <c r="G272" s="83"/>
    </row>
    <row r="273" spans="1:7" s="72" customFormat="1" ht="14.25" customHeight="1">
      <c r="A273" s="83" t="s">
        <v>311</v>
      </c>
      <c r="B273" s="83" t="s">
        <v>3107</v>
      </c>
      <c r="C273" s="83"/>
      <c r="D273" s="83"/>
      <c r="E273" s="83"/>
      <c r="F273" s="83">
        <v>1490</v>
      </c>
      <c r="G273" s="83"/>
    </row>
    <row r="274" spans="1:7" s="72" customFormat="1" ht="14.25" customHeight="1">
      <c r="A274" s="83" t="s">
        <v>311</v>
      </c>
      <c r="B274" s="83" t="s">
        <v>3108</v>
      </c>
      <c r="C274" s="83"/>
      <c r="D274" s="83"/>
      <c r="E274" s="83"/>
      <c r="F274" s="83">
        <v>1490</v>
      </c>
      <c r="G274" s="83"/>
    </row>
    <row r="275" spans="1:7" s="72" customFormat="1" ht="14.25" customHeight="1">
      <c r="A275" s="83" t="s">
        <v>311</v>
      </c>
      <c r="B275" s="83" t="s">
        <v>3109</v>
      </c>
      <c r="C275" s="83"/>
      <c r="D275" s="83"/>
      <c r="E275" s="83"/>
      <c r="F275" s="83">
        <v>1220</v>
      </c>
      <c r="G275" s="83"/>
    </row>
    <row r="276" spans="1:7" s="72" customFormat="1" ht="14.25" customHeight="1">
      <c r="A276" s="85" t="s">
        <v>311</v>
      </c>
      <c r="B276" s="88" t="s">
        <v>3110</v>
      </c>
      <c r="C276" s="89"/>
      <c r="D276" s="89"/>
      <c r="E276" s="89"/>
      <c r="F276" s="89">
        <v>1380</v>
      </c>
      <c r="G276" s="89"/>
    </row>
    <row r="277" spans="1:7" s="72" customFormat="1" ht="14.25" customHeight="1">
      <c r="A277" s="81" t="s">
        <v>318</v>
      </c>
      <c r="B277" s="82" t="s">
        <v>3111</v>
      </c>
      <c r="C277" s="82">
        <v>5790</v>
      </c>
      <c r="D277" s="82">
        <v>5740</v>
      </c>
      <c r="E277" s="82">
        <v>6730</v>
      </c>
      <c r="F277" s="82">
        <v>1110</v>
      </c>
      <c r="G277" s="90">
        <v>3460</v>
      </c>
    </row>
    <row r="278" spans="1:7" s="72" customFormat="1" ht="14.25" customHeight="1">
      <c r="A278" s="83" t="s">
        <v>318</v>
      </c>
      <c r="B278" s="83" t="s">
        <v>3112</v>
      </c>
      <c r="C278" s="83">
        <v>5740</v>
      </c>
      <c r="D278" s="83">
        <v>5670</v>
      </c>
      <c r="E278" s="83">
        <v>6680</v>
      </c>
      <c r="F278" s="83">
        <v>1070</v>
      </c>
      <c r="G278" s="91">
        <v>3420</v>
      </c>
    </row>
    <row r="279" spans="1:7" s="72" customFormat="1" ht="14.25" customHeight="1">
      <c r="A279" s="83" t="s">
        <v>318</v>
      </c>
      <c r="B279" s="83" t="s">
        <v>3113</v>
      </c>
      <c r="C279" s="83">
        <v>4760</v>
      </c>
      <c r="D279" s="83">
        <v>4720</v>
      </c>
      <c r="E279" s="83">
        <v>5540</v>
      </c>
      <c r="F279" s="83">
        <v>810</v>
      </c>
      <c r="G279" s="91">
        <v>2850</v>
      </c>
    </row>
    <row r="280" spans="1:7" s="72" customFormat="1" ht="14.25" customHeight="1">
      <c r="A280" s="83" t="s">
        <v>318</v>
      </c>
      <c r="B280" s="83" t="s">
        <v>3114</v>
      </c>
      <c r="C280" s="83">
        <v>4010</v>
      </c>
      <c r="D280" s="83">
        <v>3950</v>
      </c>
      <c r="E280" s="83">
        <v>4710</v>
      </c>
      <c r="F280" s="83">
        <v>800</v>
      </c>
      <c r="G280" s="91">
        <v>2390</v>
      </c>
    </row>
    <row r="281" spans="1:7" s="72" customFormat="1" ht="14.25" customHeight="1">
      <c r="A281" s="83" t="s">
        <v>318</v>
      </c>
      <c r="B281" s="83" t="s">
        <v>3115</v>
      </c>
      <c r="C281" s="83">
        <v>4480</v>
      </c>
      <c r="D281" s="83">
        <v>4420</v>
      </c>
      <c r="E281" s="83">
        <v>5230</v>
      </c>
      <c r="F281" s="83">
        <v>870</v>
      </c>
      <c r="G281" s="91">
        <v>2660</v>
      </c>
    </row>
    <row r="282" spans="1:7" s="72" customFormat="1" ht="14.25" customHeight="1">
      <c r="A282" s="83" t="s">
        <v>318</v>
      </c>
      <c r="B282" s="83" t="s">
        <v>3116</v>
      </c>
      <c r="C282" s="83">
        <v>5360</v>
      </c>
      <c r="D282" s="83">
        <v>5300</v>
      </c>
      <c r="E282" s="83">
        <v>6190</v>
      </c>
      <c r="F282" s="83">
        <v>950</v>
      </c>
      <c r="G282" s="91">
        <v>3190</v>
      </c>
    </row>
    <row r="283" spans="1:7" s="72" customFormat="1" ht="14.25" customHeight="1">
      <c r="A283" s="83" t="s">
        <v>318</v>
      </c>
      <c r="B283" s="83" t="s">
        <v>3117</v>
      </c>
      <c r="C283" s="83">
        <v>4950</v>
      </c>
      <c r="D283" s="83">
        <v>4900</v>
      </c>
      <c r="E283" s="83">
        <v>5720</v>
      </c>
      <c r="F283" s="83">
        <v>920</v>
      </c>
      <c r="G283" s="91">
        <v>2950</v>
      </c>
    </row>
    <row r="284" spans="1:7" s="72" customFormat="1" ht="14.25" customHeight="1">
      <c r="A284" s="83" t="s">
        <v>318</v>
      </c>
      <c r="B284" s="83" t="s">
        <v>3118</v>
      </c>
      <c r="C284" s="83">
        <v>5610</v>
      </c>
      <c r="D284" s="83">
        <v>5560</v>
      </c>
      <c r="E284" s="83">
        <v>6520</v>
      </c>
      <c r="F284" s="83">
        <v>1030</v>
      </c>
      <c r="G284" s="91">
        <v>3360</v>
      </c>
    </row>
    <row r="285" spans="1:7" s="72" customFormat="1" ht="14.25" customHeight="1">
      <c r="A285" s="83" t="s">
        <v>318</v>
      </c>
      <c r="B285" s="83" t="s">
        <v>3119</v>
      </c>
      <c r="C285" s="83">
        <v>5340</v>
      </c>
      <c r="D285" s="83">
        <v>5290</v>
      </c>
      <c r="E285" s="83">
        <v>6170</v>
      </c>
      <c r="F285" s="83">
        <v>1080</v>
      </c>
      <c r="G285" s="91">
        <v>3180</v>
      </c>
    </row>
    <row r="286" spans="1:7" s="72" customFormat="1" ht="14.25" customHeight="1">
      <c r="A286" s="83" t="s">
        <v>318</v>
      </c>
      <c r="B286" s="83" t="s">
        <v>3120</v>
      </c>
      <c r="C286" s="83">
        <v>4890</v>
      </c>
      <c r="D286" s="83">
        <v>4840</v>
      </c>
      <c r="E286" s="83">
        <v>5640</v>
      </c>
      <c r="F286" s="83">
        <v>960</v>
      </c>
      <c r="G286" s="91">
        <v>2910</v>
      </c>
    </row>
    <row r="287" spans="1:7" s="72" customFormat="1" ht="14.25" customHeight="1">
      <c r="A287" s="83" t="s">
        <v>318</v>
      </c>
      <c r="B287" s="83" t="s">
        <v>3121</v>
      </c>
      <c r="C287" s="83">
        <v>4960</v>
      </c>
      <c r="D287" s="83">
        <v>4920</v>
      </c>
      <c r="E287" s="83">
        <v>5730</v>
      </c>
      <c r="F287" s="83">
        <v>930</v>
      </c>
      <c r="G287" s="91">
        <v>2960</v>
      </c>
    </row>
    <row r="288" spans="1:7" s="72" customFormat="1" ht="14.25" customHeight="1">
      <c r="A288" s="83" t="s">
        <v>318</v>
      </c>
      <c r="B288" s="83" t="s">
        <v>3122</v>
      </c>
      <c r="C288" s="83">
        <v>4350</v>
      </c>
      <c r="D288" s="83">
        <v>4300</v>
      </c>
      <c r="E288" s="83">
        <v>4900</v>
      </c>
      <c r="F288" s="83">
        <v>820</v>
      </c>
      <c r="G288" s="91">
        <v>2590</v>
      </c>
    </row>
    <row r="289" spans="1:7" s="72" customFormat="1" ht="14.25" customHeight="1">
      <c r="A289" s="83" t="s">
        <v>318</v>
      </c>
      <c r="B289" s="83" t="s">
        <v>3123</v>
      </c>
      <c r="C289" s="83">
        <v>5230</v>
      </c>
      <c r="D289" s="83">
        <v>5170</v>
      </c>
      <c r="E289" s="83">
        <v>6060</v>
      </c>
      <c r="F289" s="83">
        <v>900</v>
      </c>
      <c r="G289" s="91">
        <v>3120</v>
      </c>
    </row>
    <row r="290" spans="1:7" s="72" customFormat="1" ht="14.25" customHeight="1">
      <c r="A290" s="83" t="s">
        <v>318</v>
      </c>
      <c r="B290" s="83" t="s">
        <v>3124</v>
      </c>
      <c r="C290" s="83">
        <v>5550</v>
      </c>
      <c r="D290" s="83">
        <v>5500</v>
      </c>
      <c r="E290" s="83">
        <v>6440</v>
      </c>
      <c r="F290" s="83">
        <v>960</v>
      </c>
      <c r="G290" s="91">
        <v>3320</v>
      </c>
    </row>
    <row r="291" spans="1:7" s="72" customFormat="1" ht="14.25" customHeight="1">
      <c r="A291" s="83" t="s">
        <v>318</v>
      </c>
      <c r="B291" s="83" t="s">
        <v>3125</v>
      </c>
      <c r="C291" s="83">
        <v>5440</v>
      </c>
      <c r="D291" s="83">
        <v>5400</v>
      </c>
      <c r="E291" s="83">
        <v>6320</v>
      </c>
      <c r="F291" s="83">
        <v>930</v>
      </c>
      <c r="G291" s="91">
        <v>3250</v>
      </c>
    </row>
    <row r="292" spans="1:7" s="72" customFormat="1" ht="14.25" customHeight="1">
      <c r="A292" s="83" t="s">
        <v>318</v>
      </c>
      <c r="B292" s="83" t="s">
        <v>3126</v>
      </c>
      <c r="C292" s="83">
        <v>5400</v>
      </c>
      <c r="D292" s="83">
        <v>5360</v>
      </c>
      <c r="E292" s="83">
        <v>6270</v>
      </c>
      <c r="F292" s="83">
        <v>1040</v>
      </c>
      <c r="G292" s="91">
        <v>3230</v>
      </c>
    </row>
    <row r="293" spans="1:7" s="72" customFormat="1" ht="14.25" customHeight="1">
      <c r="A293" s="83" t="s">
        <v>318</v>
      </c>
      <c r="B293" s="83" t="s">
        <v>3127</v>
      </c>
      <c r="C293" s="83">
        <v>5320</v>
      </c>
      <c r="D293" s="83">
        <v>5270</v>
      </c>
      <c r="E293" s="83">
        <v>6160</v>
      </c>
      <c r="F293" s="83">
        <v>990</v>
      </c>
      <c r="G293" s="91">
        <v>3170</v>
      </c>
    </row>
    <row r="294" spans="1:7" s="72" customFormat="1" ht="14.25" customHeight="1">
      <c r="A294" s="83" t="s">
        <v>318</v>
      </c>
      <c r="B294" s="83" t="s">
        <v>3128</v>
      </c>
      <c r="C294" s="83">
        <v>5260</v>
      </c>
      <c r="D294" s="83">
        <v>5210</v>
      </c>
      <c r="E294" s="83">
        <v>6100</v>
      </c>
      <c r="F294" s="83">
        <v>950</v>
      </c>
      <c r="G294" s="91">
        <v>3150</v>
      </c>
    </row>
    <row r="295" spans="1:7" s="72" customFormat="1" ht="14.25" customHeight="1">
      <c r="A295" s="83" t="s">
        <v>318</v>
      </c>
      <c r="B295" s="83" t="s">
        <v>3129</v>
      </c>
      <c r="C295" s="83">
        <v>5610</v>
      </c>
      <c r="D295" s="83">
        <v>5570</v>
      </c>
      <c r="E295" s="83">
        <v>6530</v>
      </c>
      <c r="F295" s="83">
        <v>960</v>
      </c>
      <c r="G295" s="91">
        <v>3360</v>
      </c>
    </row>
    <row r="296" spans="1:7" s="72" customFormat="1" ht="14.25" customHeight="1">
      <c r="A296" s="83" t="s">
        <v>318</v>
      </c>
      <c r="B296" s="83" t="s">
        <v>3130</v>
      </c>
      <c r="C296" s="83">
        <v>5540</v>
      </c>
      <c r="D296" s="83">
        <v>5490</v>
      </c>
      <c r="E296" s="83">
        <v>6430</v>
      </c>
      <c r="F296" s="83">
        <v>980</v>
      </c>
      <c r="G296" s="91">
        <v>3310</v>
      </c>
    </row>
    <row r="297" spans="1:7" s="72" customFormat="1" ht="14.25" customHeight="1">
      <c r="A297" s="83" t="s">
        <v>318</v>
      </c>
      <c r="B297" s="83" t="s">
        <v>3131</v>
      </c>
      <c r="C297" s="83">
        <v>5480</v>
      </c>
      <c r="D297" s="83">
        <v>5420</v>
      </c>
      <c r="E297" s="83">
        <v>6370</v>
      </c>
      <c r="F297" s="83">
        <v>990</v>
      </c>
      <c r="G297" s="91">
        <v>3270</v>
      </c>
    </row>
    <row r="298" spans="1:7" s="72" customFormat="1" ht="14.25" customHeight="1">
      <c r="A298" s="83" t="s">
        <v>318</v>
      </c>
      <c r="B298" s="83" t="s">
        <v>3132</v>
      </c>
      <c r="C298" s="83">
        <v>5090</v>
      </c>
      <c r="D298" s="83">
        <v>5050</v>
      </c>
      <c r="E298" s="83">
        <v>5910</v>
      </c>
      <c r="F298" s="83">
        <v>900</v>
      </c>
      <c r="G298" s="91">
        <v>3040</v>
      </c>
    </row>
    <row r="299" spans="1:7" s="72" customFormat="1" ht="14.25" customHeight="1">
      <c r="A299" s="83" t="s">
        <v>318</v>
      </c>
      <c r="B299" s="97" t="s">
        <v>3133</v>
      </c>
      <c r="C299" s="83">
        <v>5430</v>
      </c>
      <c r="D299" s="83">
        <v>5380</v>
      </c>
      <c r="E299" s="83">
        <v>6280</v>
      </c>
      <c r="F299" s="83">
        <v>1000</v>
      </c>
      <c r="G299" s="91">
        <v>3240</v>
      </c>
    </row>
    <row r="300" spans="1:7" s="72" customFormat="1" ht="14.25" customHeight="1">
      <c r="A300" s="83" t="s">
        <v>318</v>
      </c>
      <c r="B300" s="97" t="s">
        <v>3134</v>
      </c>
      <c r="C300" s="83">
        <v>4740</v>
      </c>
      <c r="D300" s="83">
        <v>4680</v>
      </c>
      <c r="E300" s="83">
        <v>5450</v>
      </c>
      <c r="F300" s="83">
        <v>900</v>
      </c>
      <c r="G300" s="91">
        <v>2830</v>
      </c>
    </row>
    <row r="301" spans="1:7" s="72" customFormat="1" ht="14.25" customHeight="1">
      <c r="A301" s="83" t="s">
        <v>318</v>
      </c>
      <c r="B301" s="97" t="s">
        <v>3135</v>
      </c>
      <c r="C301" s="83">
        <v>4870</v>
      </c>
      <c r="D301" s="83">
        <v>4810</v>
      </c>
      <c r="E301" s="83">
        <v>5560</v>
      </c>
      <c r="F301" s="83">
        <v>990</v>
      </c>
      <c r="G301" s="91">
        <v>2910</v>
      </c>
    </row>
    <row r="302" spans="1:7" s="72" customFormat="1" ht="14.25" customHeight="1">
      <c r="A302" s="83" t="s">
        <v>318</v>
      </c>
      <c r="B302" s="83" t="s">
        <v>3136</v>
      </c>
      <c r="C302" s="83">
        <v>5520</v>
      </c>
      <c r="D302" s="83">
        <v>5470</v>
      </c>
      <c r="E302" s="83">
        <v>6410</v>
      </c>
      <c r="F302" s="83">
        <v>950</v>
      </c>
      <c r="G302" s="91">
        <v>3300</v>
      </c>
    </row>
    <row r="303" spans="1:7" s="72" customFormat="1" ht="14.25" customHeight="1">
      <c r="A303" s="83" t="s">
        <v>318</v>
      </c>
      <c r="B303" s="83" t="s">
        <v>3137</v>
      </c>
      <c r="C303" s="83">
        <v>5630</v>
      </c>
      <c r="D303" s="83">
        <v>5590</v>
      </c>
      <c r="E303" s="83">
        <v>6550</v>
      </c>
      <c r="F303" s="83">
        <v>1010</v>
      </c>
      <c r="G303" s="91">
        <v>3370</v>
      </c>
    </row>
    <row r="304" spans="1:7" s="72" customFormat="1" ht="14.25" customHeight="1">
      <c r="A304" s="83" t="s">
        <v>318</v>
      </c>
      <c r="B304" s="83" t="s">
        <v>3138</v>
      </c>
      <c r="C304" s="83">
        <v>5680</v>
      </c>
      <c r="D304" s="83">
        <v>5620</v>
      </c>
      <c r="E304" s="83">
        <v>6620</v>
      </c>
      <c r="F304" s="83">
        <v>1050</v>
      </c>
      <c r="G304" s="91">
        <v>3390</v>
      </c>
    </row>
    <row r="305" spans="1:7" s="72" customFormat="1" ht="14.25" customHeight="1">
      <c r="A305" s="83" t="s">
        <v>318</v>
      </c>
      <c r="B305" s="83" t="s">
        <v>3139</v>
      </c>
      <c r="C305" s="83">
        <v>5590</v>
      </c>
      <c r="D305" s="83">
        <v>5530</v>
      </c>
      <c r="E305" s="83">
        <v>6460</v>
      </c>
      <c r="F305" s="83">
        <v>900</v>
      </c>
      <c r="G305" s="91">
        <v>3340</v>
      </c>
    </row>
    <row r="306" spans="1:7" s="72" customFormat="1" ht="14.25" customHeight="1">
      <c r="A306" s="83" t="s">
        <v>318</v>
      </c>
      <c r="B306" s="83" t="s">
        <v>3140</v>
      </c>
      <c r="C306" s="83">
        <v>5560</v>
      </c>
      <c r="D306" s="83">
        <v>5510</v>
      </c>
      <c r="E306" s="83">
        <v>6440</v>
      </c>
      <c r="F306" s="83">
        <v>900</v>
      </c>
      <c r="G306" s="91">
        <v>3320</v>
      </c>
    </row>
    <row r="307" spans="1:7" s="72" customFormat="1" ht="14.25" customHeight="1">
      <c r="A307" s="83" t="s">
        <v>318</v>
      </c>
      <c r="B307" s="83" t="s">
        <v>3141</v>
      </c>
      <c r="C307" s="83">
        <v>5650</v>
      </c>
      <c r="D307" s="83">
        <v>5600</v>
      </c>
      <c r="E307" s="83">
        <v>6590</v>
      </c>
      <c r="F307" s="83">
        <v>930</v>
      </c>
      <c r="G307" s="91">
        <v>3380</v>
      </c>
    </row>
    <row r="308" spans="1:7" s="72" customFormat="1" ht="14.25" customHeight="1">
      <c r="A308" s="83" t="s">
        <v>318</v>
      </c>
      <c r="B308" s="83" t="s">
        <v>3142</v>
      </c>
      <c r="C308" s="83">
        <v>5620</v>
      </c>
      <c r="D308" s="83">
        <v>5580</v>
      </c>
      <c r="E308" s="83">
        <v>6540</v>
      </c>
      <c r="F308" s="83">
        <v>910</v>
      </c>
      <c r="G308" s="91">
        <v>3370</v>
      </c>
    </row>
    <row r="309" spans="1:7" s="72" customFormat="1" ht="14.25" customHeight="1">
      <c r="A309" s="83" t="s">
        <v>318</v>
      </c>
      <c r="B309" s="83" t="s">
        <v>3143</v>
      </c>
      <c r="C309" s="83">
        <v>5060</v>
      </c>
      <c r="D309" s="83">
        <v>5020</v>
      </c>
      <c r="E309" s="83">
        <v>6370</v>
      </c>
      <c r="F309" s="83">
        <v>800</v>
      </c>
      <c r="G309" s="91">
        <v>3020</v>
      </c>
    </row>
    <row r="310" spans="1:7" s="72" customFormat="1" ht="14.25" customHeight="1">
      <c r="A310" s="83" t="s">
        <v>318</v>
      </c>
      <c r="B310" s="83" t="s">
        <v>3144</v>
      </c>
      <c r="C310" s="83">
        <v>5150</v>
      </c>
      <c r="D310" s="83">
        <v>5110</v>
      </c>
      <c r="E310" s="83">
        <v>6500</v>
      </c>
      <c r="F310" s="83">
        <v>880</v>
      </c>
      <c r="G310" s="91">
        <v>3080</v>
      </c>
    </row>
    <row r="311" spans="1:7" s="72" customFormat="1" ht="14.25" customHeight="1">
      <c r="A311" s="83" t="s">
        <v>318</v>
      </c>
      <c r="B311" s="83" t="s">
        <v>3145</v>
      </c>
      <c r="C311" s="83">
        <v>4750</v>
      </c>
      <c r="D311" s="83">
        <v>4710</v>
      </c>
      <c r="E311" s="83">
        <v>5510</v>
      </c>
      <c r="F311" s="83">
        <v>880</v>
      </c>
      <c r="G311" s="91">
        <v>2840</v>
      </c>
    </row>
    <row r="312" spans="1:7" s="72" customFormat="1" ht="14.25" customHeight="1">
      <c r="A312" s="83" t="s">
        <v>318</v>
      </c>
      <c r="B312" s="83" t="s">
        <v>3146</v>
      </c>
      <c r="C312" s="83">
        <v>4690</v>
      </c>
      <c r="D312" s="83">
        <v>4640</v>
      </c>
      <c r="E312" s="83">
        <v>5420</v>
      </c>
      <c r="F312" s="83">
        <v>800</v>
      </c>
      <c r="G312" s="91">
        <v>2800</v>
      </c>
    </row>
    <row r="313" spans="1:7" s="72" customFormat="1" ht="14.25" customHeight="1">
      <c r="A313" s="83" t="s">
        <v>318</v>
      </c>
      <c r="B313" s="83" t="s">
        <v>3147</v>
      </c>
      <c r="C313" s="83">
        <v>4810</v>
      </c>
      <c r="D313" s="83">
        <v>4760</v>
      </c>
      <c r="E313" s="83">
        <v>5550</v>
      </c>
      <c r="F313" s="83">
        <v>920</v>
      </c>
      <c r="G313" s="91">
        <v>2870</v>
      </c>
    </row>
    <row r="314" spans="1:7" s="72" customFormat="1" ht="14.25" customHeight="1">
      <c r="A314" s="83" t="s">
        <v>318</v>
      </c>
      <c r="B314" s="83" t="s">
        <v>3148</v>
      </c>
      <c r="C314" s="83"/>
      <c r="D314" s="83"/>
      <c r="E314" s="83"/>
      <c r="F314" s="83">
        <v>1020</v>
      </c>
      <c r="G314" s="91"/>
    </row>
    <row r="315" spans="1:7" s="72" customFormat="1" ht="14.25" customHeight="1">
      <c r="A315" s="83" t="s">
        <v>318</v>
      </c>
      <c r="B315" s="83" t="s">
        <v>3149</v>
      </c>
      <c r="C315" s="83"/>
      <c r="D315" s="83"/>
      <c r="E315" s="83"/>
      <c r="F315" s="83">
        <v>1050</v>
      </c>
      <c r="G315" s="91"/>
    </row>
    <row r="316" spans="1:7" s="72" customFormat="1" ht="14.25" customHeight="1">
      <c r="A316" s="83" t="s">
        <v>318</v>
      </c>
      <c r="B316" s="83" t="s">
        <v>3150</v>
      </c>
      <c r="C316" s="83"/>
      <c r="D316" s="83"/>
      <c r="E316" s="83"/>
      <c r="F316" s="83">
        <v>900</v>
      </c>
      <c r="G316" s="91"/>
    </row>
    <row r="317" spans="1:7" s="72" customFormat="1" ht="14.25" customHeight="1">
      <c r="A317" s="83" t="s">
        <v>318</v>
      </c>
      <c r="B317" s="83" t="s">
        <v>3151</v>
      </c>
      <c r="C317" s="83"/>
      <c r="D317" s="83"/>
      <c r="E317" s="83"/>
      <c r="F317" s="83">
        <v>920</v>
      </c>
      <c r="G317" s="91"/>
    </row>
    <row r="318" spans="1:7" s="72" customFormat="1" ht="14.25" customHeight="1">
      <c r="A318" s="83" t="s">
        <v>318</v>
      </c>
      <c r="B318" s="83" t="s">
        <v>3152</v>
      </c>
      <c r="C318" s="83"/>
      <c r="D318" s="83"/>
      <c r="E318" s="83"/>
      <c r="F318" s="83">
        <v>1080</v>
      </c>
      <c r="G318" s="91"/>
    </row>
    <row r="319" spans="1:7" s="72" customFormat="1" ht="14.25" customHeight="1">
      <c r="A319" s="83" t="s">
        <v>318</v>
      </c>
      <c r="B319" s="83" t="s">
        <v>3153</v>
      </c>
      <c r="C319" s="83"/>
      <c r="D319" s="83"/>
      <c r="E319" s="83"/>
      <c r="F319" s="83">
        <v>1020</v>
      </c>
      <c r="G319" s="91"/>
    </row>
    <row r="320" spans="1:7" s="72" customFormat="1" ht="14.25" customHeight="1">
      <c r="A320" s="83" t="s">
        <v>318</v>
      </c>
      <c r="B320" s="83" t="s">
        <v>3154</v>
      </c>
      <c r="C320" s="83"/>
      <c r="D320" s="83"/>
      <c r="E320" s="83"/>
      <c r="F320" s="83">
        <v>1050</v>
      </c>
      <c r="G320" s="91"/>
    </row>
    <row r="321" spans="1:7" s="72" customFormat="1" ht="14.25" customHeight="1">
      <c r="A321" s="83" t="s">
        <v>318</v>
      </c>
      <c r="B321" s="83" t="s">
        <v>3155</v>
      </c>
      <c r="C321" s="83"/>
      <c r="D321" s="83"/>
      <c r="E321" s="83"/>
      <c r="F321" s="83">
        <v>960</v>
      </c>
      <c r="G321" s="91"/>
    </row>
    <row r="322" spans="1:7" s="72" customFormat="1" ht="14.25" customHeight="1">
      <c r="A322" s="83" t="s">
        <v>318</v>
      </c>
      <c r="B322" s="83" t="s">
        <v>3156</v>
      </c>
      <c r="C322" s="83"/>
      <c r="D322" s="83"/>
      <c r="E322" s="83"/>
      <c r="F322" s="83">
        <v>960</v>
      </c>
      <c r="G322" s="91"/>
    </row>
    <row r="323" spans="1:7" s="72" customFormat="1" ht="14.25" customHeight="1">
      <c r="A323" s="83" t="s">
        <v>318</v>
      </c>
      <c r="B323" s="83" t="s">
        <v>3157</v>
      </c>
      <c r="C323" s="83"/>
      <c r="D323" s="83"/>
      <c r="E323" s="83"/>
      <c r="F323" s="83">
        <v>880</v>
      </c>
      <c r="G323" s="91"/>
    </row>
    <row r="324" spans="1:7" s="72" customFormat="1" ht="14.25" customHeight="1">
      <c r="A324" s="83" t="s">
        <v>318</v>
      </c>
      <c r="B324" s="83" t="s">
        <v>3158</v>
      </c>
      <c r="C324" s="83"/>
      <c r="D324" s="83"/>
      <c r="E324" s="83"/>
      <c r="F324" s="83">
        <v>930</v>
      </c>
      <c r="G324" s="91"/>
    </row>
    <row r="325" spans="1:7" s="72" customFormat="1" ht="14.25" customHeight="1">
      <c r="A325" s="83" t="s">
        <v>318</v>
      </c>
      <c r="B325" s="84" t="s">
        <v>3159</v>
      </c>
      <c r="C325" s="83"/>
      <c r="D325" s="83"/>
      <c r="E325" s="83"/>
      <c r="F325" s="83">
        <v>900</v>
      </c>
      <c r="G325" s="91"/>
    </row>
    <row r="326" spans="1:7" s="72" customFormat="1" ht="14.25" customHeight="1">
      <c r="A326" s="92" t="s">
        <v>318</v>
      </c>
      <c r="B326" s="87" t="s">
        <v>3160</v>
      </c>
      <c r="C326" s="87"/>
      <c r="D326" s="87"/>
      <c r="E326" s="87"/>
      <c r="F326" s="87">
        <v>790</v>
      </c>
      <c r="G326" s="93"/>
    </row>
    <row r="327" spans="1:7" s="72" customFormat="1" ht="14.25" customHeight="1">
      <c r="A327" s="81" t="s">
        <v>324</v>
      </c>
      <c r="B327" s="82" t="s">
        <v>3161</v>
      </c>
      <c r="C327" s="83">
        <v>3750</v>
      </c>
      <c r="D327" s="83">
        <v>3710</v>
      </c>
      <c r="E327" s="83">
        <v>4080</v>
      </c>
      <c r="F327" s="83">
        <v>860</v>
      </c>
      <c r="G327" s="83">
        <v>2210</v>
      </c>
    </row>
    <row r="328" spans="1:7" s="72" customFormat="1" ht="14.25" customHeight="1">
      <c r="A328" s="83" t="s">
        <v>324</v>
      </c>
      <c r="B328" s="83" t="s">
        <v>3162</v>
      </c>
      <c r="C328" s="83">
        <v>3330</v>
      </c>
      <c r="D328" s="83">
        <v>3290</v>
      </c>
      <c r="E328" s="83">
        <v>3610</v>
      </c>
      <c r="F328" s="83">
        <v>850</v>
      </c>
      <c r="G328" s="83">
        <v>1960</v>
      </c>
    </row>
    <row r="329" spans="1:7" s="72" customFormat="1" ht="14.25" customHeight="1">
      <c r="A329" s="83" t="s">
        <v>324</v>
      </c>
      <c r="B329" s="83" t="s">
        <v>3163</v>
      </c>
      <c r="C329" s="83">
        <v>2730</v>
      </c>
      <c r="D329" s="83">
        <v>2690</v>
      </c>
      <c r="E329" s="83">
        <v>3100</v>
      </c>
      <c r="F329" s="83">
        <v>660</v>
      </c>
      <c r="G329" s="83">
        <v>1610</v>
      </c>
    </row>
    <row r="330" spans="1:7" s="72" customFormat="1" ht="14.25" customHeight="1">
      <c r="A330" s="83" t="s">
        <v>324</v>
      </c>
      <c r="B330" s="83" t="s">
        <v>3164</v>
      </c>
      <c r="C330" s="83">
        <v>3270</v>
      </c>
      <c r="D330" s="83">
        <v>3240</v>
      </c>
      <c r="E330" s="83">
        <v>3560</v>
      </c>
      <c r="F330" s="83">
        <v>680</v>
      </c>
      <c r="G330" s="83">
        <v>1940</v>
      </c>
    </row>
    <row r="331" spans="1:7" s="72" customFormat="1" ht="14.25" customHeight="1">
      <c r="A331" s="83" t="s">
        <v>324</v>
      </c>
      <c r="B331" s="83" t="s">
        <v>3165</v>
      </c>
      <c r="C331" s="83">
        <v>3770</v>
      </c>
      <c r="D331" s="83">
        <v>3740</v>
      </c>
      <c r="E331" s="83">
        <v>4110</v>
      </c>
      <c r="F331" s="83">
        <v>730</v>
      </c>
      <c r="G331" s="83">
        <v>2230</v>
      </c>
    </row>
    <row r="332" spans="1:7" s="72" customFormat="1" ht="14.25" customHeight="1">
      <c r="A332" s="83" t="s">
        <v>324</v>
      </c>
      <c r="B332" s="83" t="s">
        <v>3166</v>
      </c>
      <c r="C332" s="83">
        <v>3520</v>
      </c>
      <c r="D332" s="83">
        <v>3480</v>
      </c>
      <c r="E332" s="83">
        <v>3830</v>
      </c>
      <c r="F332" s="83">
        <v>720</v>
      </c>
      <c r="G332" s="83">
        <v>2090</v>
      </c>
    </row>
    <row r="333" spans="1:7" s="72" customFormat="1" ht="14.25" customHeight="1">
      <c r="A333" s="83" t="s">
        <v>324</v>
      </c>
      <c r="B333" s="83" t="s">
        <v>3167</v>
      </c>
      <c r="C333" s="83">
        <v>3840</v>
      </c>
      <c r="D333" s="83">
        <v>3800</v>
      </c>
      <c r="E333" s="83">
        <v>4200</v>
      </c>
      <c r="F333" s="83">
        <v>760</v>
      </c>
      <c r="G333" s="83">
        <v>2270</v>
      </c>
    </row>
    <row r="334" spans="1:7" s="72" customFormat="1" ht="14.25" customHeight="1">
      <c r="A334" s="83" t="s">
        <v>324</v>
      </c>
      <c r="B334" s="83" t="s">
        <v>3168</v>
      </c>
      <c r="C334" s="83">
        <v>3960</v>
      </c>
      <c r="D334" s="83">
        <v>3910</v>
      </c>
      <c r="E334" s="83">
        <v>4340</v>
      </c>
      <c r="F334" s="83">
        <v>780</v>
      </c>
      <c r="G334" s="83">
        <v>2340</v>
      </c>
    </row>
    <row r="335" spans="1:7" s="72" customFormat="1" ht="14.25" customHeight="1">
      <c r="A335" s="83" t="s">
        <v>324</v>
      </c>
      <c r="B335" s="83" t="s">
        <v>3169</v>
      </c>
      <c r="C335" s="83">
        <v>3710</v>
      </c>
      <c r="D335" s="83">
        <v>3670</v>
      </c>
      <c r="E335" s="83">
        <v>4030</v>
      </c>
      <c r="F335" s="83">
        <v>750</v>
      </c>
      <c r="G335" s="83">
        <v>2200</v>
      </c>
    </row>
    <row r="336" spans="1:7" s="72" customFormat="1" ht="14.25" customHeight="1">
      <c r="A336" s="83" t="s">
        <v>324</v>
      </c>
      <c r="B336" s="83" t="s">
        <v>3170</v>
      </c>
      <c r="C336" s="83">
        <v>3570</v>
      </c>
      <c r="D336" s="83">
        <v>3530</v>
      </c>
      <c r="E336" s="83">
        <v>3880</v>
      </c>
      <c r="F336" s="83">
        <v>770</v>
      </c>
      <c r="G336" s="83">
        <v>2110</v>
      </c>
    </row>
    <row r="337" spans="1:10" s="72" customFormat="1" ht="14.25" customHeight="1">
      <c r="A337" s="83" t="s">
        <v>324</v>
      </c>
      <c r="B337" s="83" t="s">
        <v>3171</v>
      </c>
      <c r="C337" s="83">
        <v>3780</v>
      </c>
      <c r="D337" s="83">
        <v>3750</v>
      </c>
      <c r="E337" s="83">
        <v>4130</v>
      </c>
      <c r="F337" s="83">
        <v>750</v>
      </c>
      <c r="G337" s="83">
        <v>2240</v>
      </c>
    </row>
    <row r="338" spans="1:10" s="72" customFormat="1" ht="14.25" customHeight="1">
      <c r="A338" s="83" t="s">
        <v>324</v>
      </c>
      <c r="B338" s="83" t="s">
        <v>3172</v>
      </c>
      <c r="C338" s="83">
        <v>3600</v>
      </c>
      <c r="D338" s="83">
        <v>3570</v>
      </c>
      <c r="E338" s="83">
        <v>3920</v>
      </c>
      <c r="F338" s="83">
        <v>790</v>
      </c>
      <c r="G338" s="83">
        <v>2140</v>
      </c>
    </row>
    <row r="339" spans="1:10" s="72" customFormat="1" ht="14.25" customHeight="1">
      <c r="A339" s="83" t="s">
        <v>324</v>
      </c>
      <c r="B339" s="83" t="s">
        <v>3173</v>
      </c>
      <c r="C339" s="83">
        <v>3540</v>
      </c>
      <c r="D339" s="83">
        <v>3500</v>
      </c>
      <c r="E339" s="83">
        <v>3850</v>
      </c>
      <c r="F339" s="83">
        <v>780</v>
      </c>
      <c r="G339" s="83">
        <v>2100</v>
      </c>
    </row>
    <row r="340" spans="1:10" s="72" customFormat="1" ht="14.25" customHeight="1">
      <c r="A340" s="83" t="s">
        <v>324</v>
      </c>
      <c r="B340" s="83" t="s">
        <v>3174</v>
      </c>
      <c r="C340" s="83">
        <v>3850</v>
      </c>
      <c r="D340" s="83">
        <v>3810</v>
      </c>
      <c r="E340" s="83">
        <v>4210</v>
      </c>
      <c r="F340" s="83">
        <v>750</v>
      </c>
      <c r="G340" s="83">
        <v>2280</v>
      </c>
    </row>
    <row r="341" spans="1:10" s="72" customFormat="1" ht="14.25" customHeight="1">
      <c r="A341" s="83" t="s">
        <v>324</v>
      </c>
      <c r="B341" s="83" t="s">
        <v>3175</v>
      </c>
      <c r="C341" s="83">
        <v>3780</v>
      </c>
      <c r="D341" s="83">
        <v>3750</v>
      </c>
      <c r="E341" s="83">
        <v>4140</v>
      </c>
      <c r="F341" s="83">
        <v>720</v>
      </c>
      <c r="G341" s="83">
        <v>2240</v>
      </c>
    </row>
    <row r="342" spans="1:10" s="72" customFormat="1" ht="14.25" customHeight="1">
      <c r="A342" s="83" t="s">
        <v>324</v>
      </c>
      <c r="B342" s="83" t="s">
        <v>3176</v>
      </c>
      <c r="C342" s="83">
        <v>3670</v>
      </c>
      <c r="D342" s="83">
        <v>3620</v>
      </c>
      <c r="E342" s="83">
        <v>3990</v>
      </c>
      <c r="F342" s="83">
        <v>760</v>
      </c>
      <c r="G342" s="83">
        <v>2170</v>
      </c>
    </row>
    <row r="343" spans="1:10" s="72" customFormat="1" ht="14.25" customHeight="1">
      <c r="A343" s="83" t="s">
        <v>324</v>
      </c>
      <c r="B343" s="83" t="s">
        <v>3177</v>
      </c>
      <c r="C343" s="83">
        <v>3760</v>
      </c>
      <c r="D343" s="83">
        <v>3720</v>
      </c>
      <c r="E343" s="83">
        <v>4090</v>
      </c>
      <c r="F343" s="83">
        <v>780</v>
      </c>
      <c r="G343" s="83">
        <v>2220</v>
      </c>
    </row>
    <row r="344" spans="1:10" s="72" customFormat="1" ht="14.25" customHeight="1">
      <c r="A344" s="83" t="s">
        <v>324</v>
      </c>
      <c r="B344" s="83" t="s">
        <v>3178</v>
      </c>
      <c r="C344" s="83">
        <v>3680</v>
      </c>
      <c r="D344" s="83">
        <v>3640</v>
      </c>
      <c r="E344" s="83">
        <v>4010</v>
      </c>
      <c r="F344" s="83">
        <v>750</v>
      </c>
      <c r="G344" s="83">
        <v>2180</v>
      </c>
    </row>
    <row r="345" spans="1:10">
      <c r="A345" s="83" t="s">
        <v>324</v>
      </c>
      <c r="B345" s="83" t="s">
        <v>3179</v>
      </c>
      <c r="C345" s="83">
        <v>3190</v>
      </c>
      <c r="D345" s="83">
        <v>3140</v>
      </c>
      <c r="E345" s="83">
        <v>3450</v>
      </c>
      <c r="F345" s="83">
        <v>720</v>
      </c>
      <c r="G345" s="83">
        <v>1880</v>
      </c>
      <c r="J345" s="72"/>
    </row>
    <row r="346" spans="1:10">
      <c r="A346" s="83" t="s">
        <v>324</v>
      </c>
      <c r="B346" s="83" t="s">
        <v>3180</v>
      </c>
      <c r="C346" s="83">
        <v>3630</v>
      </c>
      <c r="D346" s="83">
        <v>3590</v>
      </c>
      <c r="E346" s="83">
        <v>3940</v>
      </c>
      <c r="F346" s="83">
        <v>730</v>
      </c>
      <c r="G346" s="83">
        <v>2150</v>
      </c>
      <c r="J346" s="72"/>
    </row>
    <row r="347" spans="1:10">
      <c r="A347" s="83" t="s">
        <v>324</v>
      </c>
      <c r="B347" s="83" t="s">
        <v>3181</v>
      </c>
      <c r="C347" s="83">
        <v>3860</v>
      </c>
      <c r="D347" s="83">
        <v>3820</v>
      </c>
      <c r="E347" s="83">
        <v>4220</v>
      </c>
      <c r="F347" s="83">
        <v>750</v>
      </c>
      <c r="G347" s="83">
        <v>2280</v>
      </c>
      <c r="J347" s="72"/>
    </row>
    <row r="348" spans="1:10">
      <c r="A348" s="83" t="s">
        <v>324</v>
      </c>
      <c r="B348" s="83" t="s">
        <v>3182</v>
      </c>
      <c r="C348" s="83">
        <v>4000</v>
      </c>
      <c r="D348" s="83">
        <v>3950</v>
      </c>
      <c r="E348" s="83">
        <v>4430</v>
      </c>
      <c r="F348" s="83">
        <v>760</v>
      </c>
      <c r="G348" s="83">
        <v>2360</v>
      </c>
      <c r="J348" s="72"/>
    </row>
    <row r="349" spans="1:10">
      <c r="A349" s="83" t="s">
        <v>324</v>
      </c>
      <c r="B349" s="83" t="s">
        <v>3183</v>
      </c>
      <c r="C349" s="83">
        <v>3820</v>
      </c>
      <c r="D349" s="83">
        <v>3780</v>
      </c>
      <c r="E349" s="83">
        <v>4170</v>
      </c>
      <c r="F349" s="83">
        <v>710</v>
      </c>
      <c r="G349" s="83">
        <v>2260</v>
      </c>
      <c r="J349" s="72"/>
    </row>
    <row r="350" spans="1:10">
      <c r="A350" s="83" t="s">
        <v>324</v>
      </c>
      <c r="B350" s="83" t="s">
        <v>3184</v>
      </c>
      <c r="C350" s="83">
        <v>3760</v>
      </c>
      <c r="D350" s="83">
        <v>3730</v>
      </c>
      <c r="E350" s="83">
        <v>4100</v>
      </c>
      <c r="F350" s="83">
        <v>800</v>
      </c>
      <c r="G350" s="83">
        <v>2230</v>
      </c>
      <c r="J350" s="72"/>
    </row>
    <row r="351" spans="1:10">
      <c r="A351" s="83" t="s">
        <v>324</v>
      </c>
      <c r="B351" s="83" t="s">
        <v>3185</v>
      </c>
      <c r="C351" s="83">
        <v>3610</v>
      </c>
      <c r="D351" s="83">
        <v>3580</v>
      </c>
      <c r="E351" s="83">
        <v>3930</v>
      </c>
      <c r="F351" s="83">
        <v>700</v>
      </c>
      <c r="G351" s="83">
        <v>2140</v>
      </c>
      <c r="J351" s="72"/>
    </row>
    <row r="352" spans="1:10">
      <c r="A352" s="83" t="s">
        <v>324</v>
      </c>
      <c r="B352" s="83" t="s">
        <v>3186</v>
      </c>
      <c r="C352" s="83">
        <v>3670</v>
      </c>
      <c r="D352" s="83">
        <v>3630</v>
      </c>
      <c r="E352" s="83">
        <v>4000</v>
      </c>
      <c r="F352" s="83">
        <v>750</v>
      </c>
      <c r="G352" s="83">
        <v>2180</v>
      </c>
    </row>
    <row r="353" spans="1:7" s="73" customFormat="1">
      <c r="A353" s="83" t="s">
        <v>324</v>
      </c>
      <c r="B353" s="83" t="s">
        <v>3187</v>
      </c>
      <c r="C353" s="83">
        <v>3190</v>
      </c>
      <c r="D353" s="83">
        <v>3150</v>
      </c>
      <c r="E353" s="83">
        <v>3640</v>
      </c>
      <c r="F353" s="83">
        <v>630</v>
      </c>
      <c r="G353" s="83">
        <v>1890</v>
      </c>
    </row>
    <row r="354" spans="1:7" s="73" customFormat="1">
      <c r="A354" s="83" t="s">
        <v>324</v>
      </c>
      <c r="B354" s="83" t="s">
        <v>3188</v>
      </c>
      <c r="C354" s="83">
        <v>3450</v>
      </c>
      <c r="D354" s="83">
        <v>3420</v>
      </c>
      <c r="E354" s="83">
        <v>3960</v>
      </c>
      <c r="F354" s="83">
        <v>660</v>
      </c>
      <c r="G354" s="83">
        <v>2050</v>
      </c>
    </row>
    <row r="355" spans="1:7" s="73" customFormat="1">
      <c r="A355" s="83" t="s">
        <v>324</v>
      </c>
      <c r="B355" s="83" t="s">
        <v>3189</v>
      </c>
      <c r="C355" s="83">
        <v>3650</v>
      </c>
      <c r="D355" s="83">
        <v>3610</v>
      </c>
      <c r="E355" s="83">
        <v>4200</v>
      </c>
      <c r="F355" s="83">
        <v>640</v>
      </c>
      <c r="G355" s="83">
        <v>2160</v>
      </c>
    </row>
    <row r="356" spans="1:7" s="73" customFormat="1">
      <c r="A356" s="83" t="s">
        <v>324</v>
      </c>
      <c r="B356" s="83" t="s">
        <v>3190</v>
      </c>
      <c r="C356" s="83">
        <v>3260</v>
      </c>
      <c r="D356" s="83">
        <v>3230</v>
      </c>
      <c r="E356" s="83">
        <v>3740</v>
      </c>
      <c r="F356" s="83">
        <v>600</v>
      </c>
      <c r="G356" s="83">
        <v>1930</v>
      </c>
    </row>
    <row r="357" spans="1:7" s="73" customFormat="1">
      <c r="A357" s="85" t="s">
        <v>324</v>
      </c>
      <c r="B357" s="89" t="s">
        <v>3191</v>
      </c>
      <c r="C357" s="89">
        <v>3690</v>
      </c>
      <c r="D357" s="89">
        <v>3650</v>
      </c>
      <c r="E357" s="89">
        <v>4020</v>
      </c>
      <c r="F357" s="89">
        <v>700</v>
      </c>
      <c r="G357" s="89">
        <v>2190</v>
      </c>
    </row>
    <row r="358" spans="1:7" s="73" customFormat="1">
      <c r="A358" s="81" t="s">
        <v>330</v>
      </c>
      <c r="B358" s="82" t="s">
        <v>3192</v>
      </c>
      <c r="C358" s="82">
        <v>2080</v>
      </c>
      <c r="D358" s="82">
        <v>2040</v>
      </c>
      <c r="E358" s="82">
        <v>2010</v>
      </c>
      <c r="F358" s="82">
        <v>530</v>
      </c>
      <c r="G358" s="90">
        <v>1230</v>
      </c>
    </row>
    <row r="359" spans="1:7" s="73" customFormat="1">
      <c r="A359" s="83" t="s">
        <v>330</v>
      </c>
      <c r="B359" s="83" t="s">
        <v>3193</v>
      </c>
      <c r="C359" s="83">
        <v>1850</v>
      </c>
      <c r="D359" s="83">
        <v>1820</v>
      </c>
      <c r="E359" s="83">
        <v>1780</v>
      </c>
      <c r="F359" s="83">
        <v>520</v>
      </c>
      <c r="G359" s="91">
        <v>1100</v>
      </c>
    </row>
    <row r="360" spans="1:7" s="73" customFormat="1">
      <c r="A360" s="83" t="s">
        <v>330</v>
      </c>
      <c r="B360" s="83" t="s">
        <v>3194</v>
      </c>
      <c r="C360" s="83">
        <v>2020</v>
      </c>
      <c r="D360" s="83">
        <v>1990</v>
      </c>
      <c r="E360" s="83">
        <v>1950</v>
      </c>
      <c r="F360" s="83">
        <v>500</v>
      </c>
      <c r="G360" s="91">
        <v>1200</v>
      </c>
    </row>
    <row r="361" spans="1:7" s="73" customFormat="1">
      <c r="A361" s="83" t="s">
        <v>330</v>
      </c>
      <c r="B361" s="83" t="s">
        <v>3195</v>
      </c>
      <c r="C361" s="83">
        <v>2260</v>
      </c>
      <c r="D361" s="83">
        <v>2220</v>
      </c>
      <c r="E361" s="83">
        <v>2180</v>
      </c>
      <c r="F361" s="83">
        <v>580</v>
      </c>
      <c r="G361" s="91">
        <v>1340</v>
      </c>
    </row>
    <row r="362" spans="1:7" s="73" customFormat="1">
      <c r="A362" s="83" t="s">
        <v>330</v>
      </c>
      <c r="B362" s="83" t="s">
        <v>3196</v>
      </c>
      <c r="C362" s="83">
        <v>2650</v>
      </c>
      <c r="D362" s="83">
        <v>2610</v>
      </c>
      <c r="E362" s="83">
        <v>2570</v>
      </c>
      <c r="F362" s="83">
        <v>630</v>
      </c>
      <c r="G362" s="91">
        <v>1570</v>
      </c>
    </row>
    <row r="363" spans="1:7" s="73" customFormat="1">
      <c r="A363" s="83" t="s">
        <v>330</v>
      </c>
      <c r="B363" s="83" t="s">
        <v>3197</v>
      </c>
      <c r="C363" s="83">
        <v>2390</v>
      </c>
      <c r="D363" s="83">
        <v>2360</v>
      </c>
      <c r="E363" s="83">
        <v>2320</v>
      </c>
      <c r="F363" s="83">
        <v>600</v>
      </c>
      <c r="G363" s="91">
        <v>1420</v>
      </c>
    </row>
    <row r="364" spans="1:7" s="73" customFormat="1">
      <c r="A364" s="83" t="s">
        <v>330</v>
      </c>
      <c r="B364" s="83" t="s">
        <v>3198</v>
      </c>
      <c r="C364" s="83">
        <v>2050</v>
      </c>
      <c r="D364" s="83">
        <v>2030</v>
      </c>
      <c r="E364" s="83">
        <v>1990</v>
      </c>
      <c r="F364" s="83">
        <v>550</v>
      </c>
      <c r="G364" s="91">
        <v>1220</v>
      </c>
    </row>
    <row r="365" spans="1:7" s="73" customFormat="1">
      <c r="A365" s="83" t="s">
        <v>330</v>
      </c>
      <c r="B365" s="83" t="s">
        <v>3199</v>
      </c>
      <c r="C365" s="83">
        <v>2140</v>
      </c>
      <c r="D365" s="83">
        <v>2100</v>
      </c>
      <c r="E365" s="83">
        <v>2060</v>
      </c>
      <c r="F365" s="83">
        <v>540</v>
      </c>
      <c r="G365" s="91">
        <v>1270</v>
      </c>
    </row>
    <row r="366" spans="1:7" s="73" customFormat="1">
      <c r="A366" s="83" t="s">
        <v>330</v>
      </c>
      <c r="B366" s="83" t="s">
        <v>3200</v>
      </c>
      <c r="C366" s="83">
        <v>2410</v>
      </c>
      <c r="D366" s="83">
        <v>2370</v>
      </c>
      <c r="E366" s="83">
        <v>2330</v>
      </c>
      <c r="F366" s="83">
        <v>570</v>
      </c>
      <c r="G366" s="91">
        <v>1440</v>
      </c>
    </row>
    <row r="367" spans="1:7" s="73" customFormat="1">
      <c r="A367" s="83" t="s">
        <v>330</v>
      </c>
      <c r="B367" s="83" t="s">
        <v>3201</v>
      </c>
      <c r="C367" s="83">
        <v>2300</v>
      </c>
      <c r="D367" s="83">
        <v>2260</v>
      </c>
      <c r="E367" s="83">
        <v>2220</v>
      </c>
      <c r="F367" s="83">
        <v>560</v>
      </c>
      <c r="G367" s="91">
        <v>1370</v>
      </c>
    </row>
    <row r="368" spans="1:7" s="73" customFormat="1">
      <c r="A368" s="83" t="s">
        <v>330</v>
      </c>
      <c r="B368" s="83" t="s">
        <v>3202</v>
      </c>
      <c r="C368" s="83">
        <v>2430</v>
      </c>
      <c r="D368" s="83">
        <v>2390</v>
      </c>
      <c r="E368" s="83">
        <v>2350</v>
      </c>
      <c r="F368" s="83">
        <v>570</v>
      </c>
      <c r="G368" s="91">
        <v>1450</v>
      </c>
    </row>
    <row r="369" spans="1:7" s="73" customFormat="1">
      <c r="A369" s="83" t="s">
        <v>330</v>
      </c>
      <c r="B369" s="83" t="s">
        <v>3203</v>
      </c>
      <c r="C369" s="83">
        <v>2320</v>
      </c>
      <c r="D369" s="83">
        <v>2290</v>
      </c>
      <c r="E369" s="83">
        <v>2250</v>
      </c>
      <c r="F369" s="83">
        <v>550</v>
      </c>
      <c r="G369" s="91">
        <v>1380</v>
      </c>
    </row>
    <row r="370" spans="1:7" s="73" customFormat="1">
      <c r="A370" s="83" t="s">
        <v>330</v>
      </c>
      <c r="B370" s="83" t="s">
        <v>3204</v>
      </c>
      <c r="C370" s="83">
        <v>2190</v>
      </c>
      <c r="D370" s="83">
        <v>2170</v>
      </c>
      <c r="E370" s="83">
        <v>2130</v>
      </c>
      <c r="F370" s="83">
        <v>530</v>
      </c>
      <c r="G370" s="91">
        <v>1310</v>
      </c>
    </row>
    <row r="371" spans="1:7" s="73" customFormat="1">
      <c r="A371" s="83" t="s">
        <v>330</v>
      </c>
      <c r="B371" s="83" t="s">
        <v>3205</v>
      </c>
      <c r="C371" s="83">
        <v>2460</v>
      </c>
      <c r="D371" s="83">
        <v>2420</v>
      </c>
      <c r="E371" s="83">
        <v>2370</v>
      </c>
      <c r="F371" s="83">
        <v>560</v>
      </c>
      <c r="G371" s="91">
        <v>1470</v>
      </c>
    </row>
    <row r="372" spans="1:7" s="73" customFormat="1">
      <c r="A372" s="83" t="s">
        <v>330</v>
      </c>
      <c r="B372" s="83" t="s">
        <v>3206</v>
      </c>
      <c r="C372" s="83">
        <v>2250</v>
      </c>
      <c r="D372" s="83">
        <v>2210</v>
      </c>
      <c r="E372" s="83">
        <v>2180</v>
      </c>
      <c r="F372" s="83">
        <v>550</v>
      </c>
      <c r="G372" s="91">
        <v>1340</v>
      </c>
    </row>
    <row r="373" spans="1:7" s="73" customFormat="1">
      <c r="A373" s="83" t="s">
        <v>330</v>
      </c>
      <c r="B373" s="83" t="s">
        <v>3207</v>
      </c>
      <c r="C373" s="83">
        <v>2210</v>
      </c>
      <c r="D373" s="83">
        <v>2190</v>
      </c>
      <c r="E373" s="83">
        <v>2150</v>
      </c>
      <c r="F373" s="83">
        <v>530</v>
      </c>
      <c r="G373" s="91">
        <v>1320</v>
      </c>
    </row>
    <row r="374" spans="1:7" s="73" customFormat="1">
      <c r="A374" s="83" t="s">
        <v>330</v>
      </c>
      <c r="B374" s="83" t="s">
        <v>3208</v>
      </c>
      <c r="C374" s="83">
        <v>2320</v>
      </c>
      <c r="D374" s="83">
        <v>2280</v>
      </c>
      <c r="E374" s="83">
        <v>2230</v>
      </c>
      <c r="F374" s="83">
        <v>580</v>
      </c>
      <c r="G374" s="91">
        <v>1380</v>
      </c>
    </row>
    <row r="375" spans="1:7" s="73" customFormat="1">
      <c r="A375" s="83" t="s">
        <v>330</v>
      </c>
      <c r="B375" s="83" t="s">
        <v>3209</v>
      </c>
      <c r="C375" s="83">
        <v>2090</v>
      </c>
      <c r="D375" s="83">
        <v>2050</v>
      </c>
      <c r="E375" s="83">
        <v>2020</v>
      </c>
      <c r="F375" s="83">
        <v>520</v>
      </c>
      <c r="G375" s="91">
        <v>1240</v>
      </c>
    </row>
    <row r="376" spans="1:7" s="73" customFormat="1">
      <c r="A376" s="83" t="s">
        <v>330</v>
      </c>
      <c r="B376" s="83" t="s">
        <v>3210</v>
      </c>
      <c r="C376" s="83">
        <v>2010</v>
      </c>
      <c r="D376" s="83">
        <v>1980</v>
      </c>
      <c r="E376" s="83">
        <v>1940</v>
      </c>
      <c r="F376" s="83">
        <v>540</v>
      </c>
      <c r="G376" s="91">
        <v>1190</v>
      </c>
    </row>
    <row r="377" spans="1:7" s="73" customFormat="1">
      <c r="A377" s="85" t="s">
        <v>330</v>
      </c>
      <c r="B377" s="89" t="s">
        <v>3211</v>
      </c>
      <c r="C377" s="89">
        <v>1930</v>
      </c>
      <c r="D377" s="89">
        <v>1890</v>
      </c>
      <c r="E377" s="89">
        <v>1860</v>
      </c>
      <c r="F377" s="89">
        <v>530</v>
      </c>
      <c r="G377" s="98">
        <v>1150</v>
      </c>
    </row>
    <row r="378" spans="1:7" s="73" customFormat="1">
      <c r="A378" s="99" t="s">
        <v>336</v>
      </c>
      <c r="B378" s="82" t="s">
        <v>3212</v>
      </c>
      <c r="C378" s="82">
        <v>1520</v>
      </c>
      <c r="D378" s="82">
        <v>1490</v>
      </c>
      <c r="E378" s="82">
        <v>1460</v>
      </c>
      <c r="F378" s="82">
        <v>460</v>
      </c>
      <c r="G378" s="90">
        <v>940</v>
      </c>
    </row>
    <row r="379" spans="1:7" s="73" customFormat="1">
      <c r="A379" s="100" t="s">
        <v>336</v>
      </c>
      <c r="B379" s="83" t="s">
        <v>3213</v>
      </c>
      <c r="C379" s="83">
        <v>1500</v>
      </c>
      <c r="D379" s="83">
        <v>1470</v>
      </c>
      <c r="E379" s="83">
        <v>1430</v>
      </c>
      <c r="F379" s="83">
        <v>460</v>
      </c>
      <c r="G379" s="91">
        <v>920</v>
      </c>
    </row>
    <row r="380" spans="1:7" s="73" customFormat="1">
      <c r="A380" s="100" t="s">
        <v>336</v>
      </c>
      <c r="B380" s="83" t="s">
        <v>3214</v>
      </c>
      <c r="C380" s="83">
        <v>1620</v>
      </c>
      <c r="D380" s="83">
        <v>1590</v>
      </c>
      <c r="E380" s="83">
        <v>1560</v>
      </c>
      <c r="F380" s="83">
        <v>480</v>
      </c>
      <c r="G380" s="91">
        <v>1000</v>
      </c>
    </row>
    <row r="381" spans="1:7" s="73" customFormat="1">
      <c r="A381" s="100" t="s">
        <v>336</v>
      </c>
      <c r="B381" s="83" t="s">
        <v>3215</v>
      </c>
      <c r="C381" s="83">
        <v>1460</v>
      </c>
      <c r="D381" s="83">
        <v>1430</v>
      </c>
      <c r="E381" s="83">
        <v>1390</v>
      </c>
      <c r="F381" s="83">
        <v>450</v>
      </c>
      <c r="G381" s="91">
        <v>900</v>
      </c>
    </row>
    <row r="382" spans="1:7" s="73" customFormat="1">
      <c r="A382" s="100" t="s">
        <v>336</v>
      </c>
      <c r="B382" s="83" t="s">
        <v>3216</v>
      </c>
      <c r="C382" s="83">
        <v>1310</v>
      </c>
      <c r="D382" s="83">
        <v>1280</v>
      </c>
      <c r="E382" s="83">
        <v>1250</v>
      </c>
      <c r="F382" s="83">
        <v>440</v>
      </c>
      <c r="G382" s="91">
        <v>800</v>
      </c>
    </row>
    <row r="383" spans="1:7" s="73" customFormat="1">
      <c r="A383" s="100" t="s">
        <v>336</v>
      </c>
      <c r="B383" s="83" t="s">
        <v>3217</v>
      </c>
      <c r="C383" s="83">
        <v>1260</v>
      </c>
      <c r="D383" s="83">
        <v>1230</v>
      </c>
      <c r="E383" s="83">
        <v>1200</v>
      </c>
      <c r="F383" s="83">
        <v>420</v>
      </c>
      <c r="G383" s="91">
        <v>770</v>
      </c>
    </row>
    <row r="384" spans="1:7" s="73" customFormat="1">
      <c r="A384" s="101" t="s">
        <v>336</v>
      </c>
      <c r="B384" s="87" t="s">
        <v>3218</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W78"/>
  <sheetViews>
    <sheetView workbookViewId="0">
      <selection activeCell="G20" sqref="G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382</v>
      </c>
      <c r="C1" s="7">
        <f>项目基本情况!D3</f>
        <v>45882</v>
      </c>
      <c r="D1" s="6" t="s">
        <v>3352</v>
      </c>
      <c r="E1" s="8">
        <f>'数据-取费表'!B22</f>
        <v>2.5</v>
      </c>
      <c r="F1" s="6" t="s">
        <v>3353</v>
      </c>
      <c r="G1" s="9">
        <f ca="1">INDIRECT("d"&amp;$K$1)/100</f>
        <v>0.03</v>
      </c>
      <c r="H1" s="6" t="s">
        <v>3354</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3353</v>
      </c>
      <c r="E2" s="10"/>
      <c r="F2" s="10" t="s">
        <v>3355</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3356</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3357</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3358</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3359</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3360</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3361</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3362</v>
      </c>
      <c r="C10" s="34"/>
      <c r="D10" s="34"/>
      <c r="E10" s="34"/>
      <c r="F10" s="34"/>
      <c r="G10" s="34"/>
      <c r="H10" s="34"/>
      <c r="I10" s="2"/>
      <c r="J10" s="2"/>
      <c r="K10" s="34"/>
      <c r="L10" s="35" t="s">
        <v>3363</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3364</v>
      </c>
      <c r="C11" s="38" t="s">
        <v>3365</v>
      </c>
      <c r="D11" s="39" t="s">
        <v>3366</v>
      </c>
      <c r="E11" s="40"/>
      <c r="F11" s="39" t="s">
        <v>3367</v>
      </c>
      <c r="G11" s="41"/>
      <c r="H11" s="40"/>
      <c r="I11" s="39" t="s">
        <v>3368</v>
      </c>
      <c r="J11" s="40"/>
      <c r="K11" s="36"/>
      <c r="L11" s="37" t="s">
        <v>3364</v>
      </c>
      <c r="M11" s="38" t="s">
        <v>3365</v>
      </c>
      <c r="N11" s="37" t="s">
        <v>3369</v>
      </c>
      <c r="O11" s="39" t="s">
        <v>3370</v>
      </c>
      <c r="P11" s="41"/>
      <c r="Q11" s="41"/>
      <c r="R11" s="41"/>
      <c r="S11" s="41"/>
      <c r="T11" s="40"/>
      <c r="U11" s="39" t="s">
        <v>3371</v>
      </c>
      <c r="V11" s="41"/>
      <c r="W11" s="40"/>
      <c r="X11" s="37" t="s">
        <v>3372</v>
      </c>
      <c r="Y11" s="37" t="s">
        <v>3373</v>
      </c>
      <c r="Z11" s="37" t="s">
        <v>3374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3375</v>
      </c>
      <c r="E12" s="44" t="s">
        <v>3357</v>
      </c>
      <c r="F12" s="44" t="s">
        <v>3358</v>
      </c>
      <c r="G12" s="44" t="s">
        <v>3359</v>
      </c>
      <c r="H12" s="44" t="s">
        <v>3360</v>
      </c>
      <c r="I12" s="58" t="s">
        <v>3376</v>
      </c>
      <c r="J12" s="58" t="s">
        <v>3376</v>
      </c>
      <c r="K12" s="36"/>
      <c r="L12" s="42"/>
      <c r="M12" s="43"/>
      <c r="N12" s="42"/>
      <c r="O12" s="58" t="s">
        <v>3377</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3378</v>
      </c>
      <c r="C13" s="47">
        <v>45797</v>
      </c>
      <c r="D13" s="48">
        <v>3</v>
      </c>
      <c r="E13" s="48">
        <v>3</v>
      </c>
      <c r="F13" s="48">
        <f t="shared" ref="F13:F18" si="0">D13</f>
        <v>3</v>
      </c>
      <c r="G13" s="48">
        <f t="shared" ref="G13:G18" si="1">D13</f>
        <v>3</v>
      </c>
      <c r="H13" s="48">
        <v>3.5</v>
      </c>
      <c r="I13" s="48"/>
      <c r="J13" s="48"/>
      <c r="K13" s="45"/>
      <c r="L13" s="46" t="s">
        <v>3378</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3379</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3380</v>
      </c>
      <c r="Y42" s="50" t="s">
        <v>3380</v>
      </c>
      <c r="Z42" s="50" t="s">
        <v>3380</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3380</v>
      </c>
      <c r="Y43" s="50" t="s">
        <v>3380</v>
      </c>
      <c r="Z43" s="50" t="s">
        <v>3380</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3380</v>
      </c>
      <c r="Y44" s="50" t="s">
        <v>3380</v>
      </c>
      <c r="Z44" s="50" t="s">
        <v>3380</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3380</v>
      </c>
      <c r="Y45" s="50" t="s">
        <v>3380</v>
      </c>
      <c r="Z45" s="50" t="s">
        <v>3380</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3380</v>
      </c>
      <c r="Y46" s="50" t="s">
        <v>3380</v>
      </c>
      <c r="Z46" s="50" t="s">
        <v>3380</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3380</v>
      </c>
      <c r="Y47" s="50" t="s">
        <v>3380</v>
      </c>
      <c r="Z47" s="50" t="s">
        <v>3380</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3380</v>
      </c>
      <c r="Y48" s="50" t="s">
        <v>3380</v>
      </c>
      <c r="Z48" s="50" t="s">
        <v>3380</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3380</v>
      </c>
      <c r="Y49" s="50" t="s">
        <v>3380</v>
      </c>
      <c r="Z49" s="50" t="s">
        <v>3380</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3380</v>
      </c>
      <c r="Y50" s="50" t="s">
        <v>3380</v>
      </c>
      <c r="Z50" s="50" t="s">
        <v>3380</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3380</v>
      </c>
      <c r="V51" s="50" t="s">
        <v>3380</v>
      </c>
      <c r="W51" s="50" t="s">
        <v>3380</v>
      </c>
      <c r="X51" s="50" t="s">
        <v>3380</v>
      </c>
      <c r="Y51" s="50" t="s">
        <v>3380</v>
      </c>
      <c r="Z51" s="50" t="s">
        <v>3380</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3380</v>
      </c>
      <c r="J70" s="50" t="s">
        <v>3380</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175" customWidth="1"/>
    <col min="2" max="3" width="22.375" style="1175" customWidth="1"/>
    <col min="4" max="4" width="23" style="1175" customWidth="1"/>
    <col min="5" max="16384" width="9" style="1175"/>
  </cols>
  <sheetData>
    <row r="1" spans="1:4" ht="18.75">
      <c r="A1" s="3271" t="s">
        <v>114</v>
      </c>
      <c r="B1" s="3271"/>
      <c r="C1" s="3271"/>
      <c r="D1" s="3271"/>
    </row>
    <row r="2" spans="1:4" ht="18">
      <c r="A2" s="3272" t="s">
        <v>115</v>
      </c>
      <c r="B2" s="3272"/>
      <c r="C2" s="3272"/>
      <c r="D2" s="3272"/>
    </row>
    <row r="3" spans="1:4" ht="18.75">
      <c r="A3" s="3177" t="s">
        <v>116</v>
      </c>
      <c r="B3" s="3177" t="s">
        <v>117</v>
      </c>
      <c r="C3" s="3177" t="s">
        <v>118</v>
      </c>
      <c r="D3" s="3177" t="s">
        <v>119</v>
      </c>
    </row>
    <row r="4" spans="1:4" ht="56.25" customHeight="1">
      <c r="A4" s="3178">
        <f>项目基本情况!B4</f>
        <v>0</v>
      </c>
      <c r="B4" s="3179">
        <f>项目基本情况!C4</f>
        <v>0</v>
      </c>
      <c r="C4" s="3180"/>
      <c r="D4" s="3181" t="s">
        <v>120</v>
      </c>
    </row>
    <row r="5" spans="1:4" ht="56.25" customHeight="1">
      <c r="A5" s="3178">
        <f>项目基本情况!D4</f>
        <v>0</v>
      </c>
      <c r="B5" s="3179">
        <f>项目基本情况!E4</f>
        <v>0</v>
      </c>
      <c r="C5" s="3182"/>
      <c r="D5" s="3181" t="s">
        <v>120</v>
      </c>
    </row>
    <row r="6" spans="1:4" ht="18">
      <c r="A6" s="3272" t="s">
        <v>121</v>
      </c>
      <c r="B6" s="3272"/>
      <c r="C6" s="3272"/>
      <c r="D6" s="3272"/>
    </row>
    <row r="7" spans="1:4" ht="18.75">
      <c r="A7" s="3177" t="s">
        <v>116</v>
      </c>
      <c r="B7" s="3179" t="s">
        <v>122</v>
      </c>
      <c r="C7" s="3177" t="s">
        <v>118</v>
      </c>
      <c r="D7" s="3177" t="s">
        <v>119</v>
      </c>
    </row>
    <row r="8" spans="1:4" ht="56.25" customHeight="1">
      <c r="A8" s="3183" t="s">
        <v>123</v>
      </c>
      <c r="B8" s="3183" t="s">
        <v>124</v>
      </c>
      <c r="C8" s="3180"/>
      <c r="D8" s="3181" t="s">
        <v>120</v>
      </c>
    </row>
    <row r="10" spans="1:4" ht="18.75">
      <c r="A10" s="3176" t="s">
        <v>125</v>
      </c>
    </row>
    <row r="11" spans="1:4" ht="30" customHeight="1">
      <c r="A11" s="3273" t="s">
        <v>126</v>
      </c>
      <c r="B11" s="3266"/>
      <c r="C11" s="3266"/>
      <c r="D11" s="3266"/>
    </row>
    <row r="12" spans="1:4" ht="15.75">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9"/>
      <c r="C12" s="3269"/>
      <c r="D12" s="3269"/>
    </row>
    <row r="13" spans="1:4" ht="30" customHeight="1">
      <c r="A13" s="32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9"/>
      <c r="C13" s="3269"/>
      <c r="D13" s="3269"/>
    </row>
    <row r="14" spans="1:4" ht="15.75" customHeight="1">
      <c r="A14" s="3266" t="str">
        <f>IF(项目基本情况!B8="抵押","4.本次评估估价师所知悉的法定优先受偿款情况说明如下：","——")</f>
        <v>4.本次评估估价师所知悉的法定优先受偿款情况说明如下：</v>
      </c>
      <c r="B14" s="3269"/>
      <c r="C14" s="3269"/>
      <c r="D14" s="3269"/>
    </row>
    <row r="15" spans="1:4" ht="42" customHeight="1">
      <c r="A15" s="326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6"/>
      <c r="C15" s="3266"/>
      <c r="D15" s="3266"/>
    </row>
    <row r="16" spans="1:4" ht="30" customHeight="1">
      <c r="A16" s="3270" t="s">
        <v>127</v>
      </c>
      <c r="B16" s="3270"/>
      <c r="C16" s="3270"/>
      <c r="D16" s="3270"/>
    </row>
    <row r="17" spans="1:4" ht="144" customHeight="1">
      <c r="A17" s="3270" t="s">
        <v>128</v>
      </c>
      <c r="B17" s="3270"/>
      <c r="C17" s="3270"/>
      <c r="D17" s="3270"/>
    </row>
    <row r="18" spans="1:4" ht="15.75" customHeight="1">
      <c r="A18" s="3266" t="str">
        <f>IF(项目基本情况!B8="抵押",结果表!K120,"——")</f>
        <v>故，本次评估不存在估价师知悉的法定优先受偿款</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6"/>
      <c r="C20" s="3266"/>
      <c r="D20" s="3266"/>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129</v>
      </c>
      <c r="B22" s="3268"/>
      <c r="C22" s="3268"/>
      <c r="D22" s="3268"/>
    </row>
    <row r="23" spans="1:4">
      <c r="A23" s="3184"/>
      <c r="B23" s="1792"/>
      <c r="C23" s="1792"/>
      <c r="D23" s="1792"/>
    </row>
    <row r="24" spans="1:4">
      <c r="A24" s="3184"/>
      <c r="B24" s="1792"/>
      <c r="C24" s="1792"/>
      <c r="D24" s="1792"/>
    </row>
    <row r="25" spans="1:4" ht="18.75">
      <c r="A25" s="3185" t="s">
        <v>130</v>
      </c>
    </row>
    <row r="26" spans="1:4" ht="18">
      <c r="A26" s="3186"/>
    </row>
    <row r="27" spans="1:4" ht="18.75">
      <c r="A27" s="3186" t="s">
        <v>131</v>
      </c>
    </row>
    <row r="30" spans="1:4" ht="18.75">
      <c r="D30" s="3185" t="s">
        <v>132</v>
      </c>
    </row>
    <row r="31" spans="1:4" ht="13.5" customHeight="1">
      <c r="C31" s="3265">
        <v>42551</v>
      </c>
      <c r="D31" s="32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A2"/>
  <sheetViews>
    <sheetView workbookViewId="0">
      <selection activeCell="C5" sqref="C5"/>
    </sheetView>
  </sheetViews>
  <sheetFormatPr defaultColWidth="9" defaultRowHeight="13.5"/>
  <cols>
    <col min="1" max="2" width="13.125" style="3173" customWidth="1"/>
    <col min="3" max="10" width="12.5" style="3173" customWidth="1"/>
    <col min="11" max="16384" width="9" style="3173"/>
  </cols>
  <sheetData>
    <row r="1" spans="1:1" ht="18.75">
      <c r="A1" s="3174" t="s">
        <v>133</v>
      </c>
    </row>
    <row r="2" spans="1:1" ht="18.75">
      <c r="A2" s="3175"/>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57" customWidth="1"/>
  </cols>
  <sheetData>
    <row r="1" spans="1:7" s="3156" customFormat="1" ht="18.75">
      <c r="A1" s="3158" t="s">
        <v>134</v>
      </c>
    </row>
    <row r="3" spans="1:7">
      <c r="A3" s="3159" t="s">
        <v>135</v>
      </c>
      <c r="B3" t="s">
        <v>136</v>
      </c>
      <c r="G3" s="289"/>
    </row>
    <row r="4" spans="1:7">
      <c r="G4" s="289"/>
    </row>
    <row r="5" spans="1:7">
      <c r="A5" s="3160" t="s">
        <v>137</v>
      </c>
      <c r="B5" t="s">
        <v>138</v>
      </c>
      <c r="G5" s="289"/>
    </row>
    <row r="6" spans="1:7">
      <c r="G6" s="289"/>
    </row>
    <row r="7" spans="1:7">
      <c r="A7" s="3161" t="s">
        <v>139</v>
      </c>
      <c r="B7" t="s">
        <v>140</v>
      </c>
      <c r="G7" s="289"/>
    </row>
    <row r="8" spans="1:7">
      <c r="G8" s="289"/>
    </row>
    <row r="9" spans="1:7">
      <c r="A9" s="3162" t="s">
        <v>141</v>
      </c>
      <c r="B9" t="s">
        <v>142</v>
      </c>
    </row>
    <row r="11" spans="1:7">
      <c r="A11" s="3163" t="s">
        <v>143</v>
      </c>
      <c r="B11" s="3164" t="s">
        <v>144</v>
      </c>
    </row>
    <row r="13" spans="1:7">
      <c r="A13" s="3165" t="s">
        <v>145</v>
      </c>
    </row>
    <row r="15" spans="1:7" ht="13.5">
      <c r="A15" s="3276" t="s">
        <v>146</v>
      </c>
      <c r="B15" s="3281" t="s">
        <v>147</v>
      </c>
      <c r="C15" s="3275"/>
    </row>
    <row r="16" spans="1:7" ht="13.5">
      <c r="A16" s="3277"/>
      <c r="B16" s="3281" t="s">
        <v>148</v>
      </c>
      <c r="C16" s="3275"/>
    </row>
    <row r="17" spans="1:3" ht="13.5">
      <c r="A17" s="3277"/>
      <c r="B17" s="3280" t="s">
        <v>149</v>
      </c>
      <c r="C17" s="3166" t="s">
        <v>146</v>
      </c>
    </row>
    <row r="18" spans="1:3" ht="13.5">
      <c r="A18" s="3277"/>
      <c r="B18" s="3280"/>
      <c r="C18" s="3166" t="s">
        <v>150</v>
      </c>
    </row>
    <row r="19" spans="1:3" ht="13.5">
      <c r="A19" s="3277"/>
      <c r="B19" s="3280"/>
      <c r="C19" s="3166" t="s">
        <v>151</v>
      </c>
    </row>
    <row r="20" spans="1:3" ht="13.5">
      <c r="A20" s="3278"/>
      <c r="B20" s="3274" t="s">
        <v>152</v>
      </c>
      <c r="C20" s="3275"/>
    </row>
    <row r="21" spans="1:3" ht="13.5">
      <c r="A21" s="3167" t="s">
        <v>153</v>
      </c>
      <c r="B21" s="3168"/>
      <c r="C21" s="3169"/>
    </row>
    <row r="22" spans="1:3" ht="13.5">
      <c r="A22" s="3279" t="s">
        <v>154</v>
      </c>
      <c r="B22" s="3274" t="s">
        <v>155</v>
      </c>
      <c r="C22" s="3275"/>
    </row>
    <row r="23" spans="1:3" ht="13.5">
      <c r="A23" s="3279"/>
      <c r="B23" s="3274" t="s">
        <v>156</v>
      </c>
      <c r="C23" s="3275"/>
    </row>
    <row r="24" spans="1:3" ht="13.5">
      <c r="A24" s="3279"/>
      <c r="B24" s="3274" t="s">
        <v>157</v>
      </c>
      <c r="C24" s="3275"/>
    </row>
    <row r="25" spans="1:3" ht="13.5">
      <c r="A25" s="3279"/>
      <c r="B25" s="3280" t="s">
        <v>158</v>
      </c>
      <c r="C25" s="3166" t="s">
        <v>159</v>
      </c>
    </row>
    <row r="26" spans="1:3" ht="13.5">
      <c r="A26" s="3279"/>
      <c r="B26" s="3280"/>
      <c r="C26" s="3166" t="s">
        <v>160</v>
      </c>
    </row>
    <row r="27" spans="1:3" ht="13.5">
      <c r="A27" s="3279"/>
      <c r="B27" s="3280"/>
      <c r="C27" s="3166" t="s">
        <v>161</v>
      </c>
    </row>
    <row r="28" spans="1:3" ht="13.5">
      <c r="A28" s="3279"/>
      <c r="B28" s="3280"/>
      <c r="C28" s="3166" t="s">
        <v>162</v>
      </c>
    </row>
    <row r="29" spans="1:3" ht="13.5">
      <c r="A29" s="3279"/>
      <c r="B29" s="3280"/>
      <c r="C29" s="3166" t="s">
        <v>163</v>
      </c>
    </row>
    <row r="30" spans="1:3" ht="13.5">
      <c r="A30" s="3279"/>
      <c r="B30" s="3280"/>
      <c r="C30" s="3166" t="s">
        <v>164</v>
      </c>
    </row>
    <row r="31" spans="1:3" ht="13.5">
      <c r="A31" s="3279"/>
      <c r="B31" s="3280"/>
      <c r="C31" s="3166" t="s">
        <v>165</v>
      </c>
    </row>
    <row r="32" spans="1:3" ht="13.5">
      <c r="A32" s="3279"/>
      <c r="B32" s="3280"/>
      <c r="C32" s="3166" t="s">
        <v>166</v>
      </c>
    </row>
    <row r="33" spans="1:3" ht="13.5">
      <c r="A33" s="3279"/>
      <c r="B33" s="3280"/>
      <c r="C33" s="3166" t="s">
        <v>167</v>
      </c>
    </row>
    <row r="34" spans="1:3">
      <c r="A34" s="3170" t="s">
        <v>168</v>
      </c>
    </row>
    <row r="37" spans="1:3">
      <c r="A37" s="3170" t="s">
        <v>169</v>
      </c>
    </row>
    <row r="38" spans="1:3" ht="13.5">
      <c r="A38" s="3171" t="s">
        <v>170</v>
      </c>
    </row>
    <row r="39" spans="1:3" ht="13.5">
      <c r="A39" s="3171" t="s">
        <v>171</v>
      </c>
    </row>
    <row r="40" spans="1:3" ht="13.5">
      <c r="A40" s="3171" t="s">
        <v>172</v>
      </c>
    </row>
    <row r="41" spans="1:3" ht="13.5">
      <c r="A41" s="3172" t="s">
        <v>173</v>
      </c>
    </row>
    <row r="42" spans="1:3" ht="13.5">
      <c r="A42" s="317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129" customWidth="1"/>
    <col min="2" max="2" width="38.625" style="3129" customWidth="1"/>
    <col min="3" max="3" width="26" style="3129" customWidth="1"/>
    <col min="4" max="4" width="35" style="3129" hidden="1" customWidth="1"/>
    <col min="5" max="5" width="30.125" style="3129" customWidth="1"/>
    <col min="6" max="6" width="35.5" style="3129" customWidth="1"/>
    <col min="7" max="7" width="31" style="3129" customWidth="1"/>
    <col min="8" max="8" width="37.5" style="3129" hidden="1" customWidth="1"/>
    <col min="9" max="16384" width="22.625" style="3129"/>
  </cols>
  <sheetData>
    <row r="1" spans="1:8" ht="24" customHeight="1">
      <c r="A1" s="3130"/>
      <c r="B1" s="3130"/>
      <c r="C1" s="3130"/>
      <c r="D1" s="3130"/>
      <c r="E1" s="3130"/>
      <c r="F1" s="3130"/>
      <c r="G1" s="3130"/>
      <c r="H1" s="3130"/>
    </row>
    <row r="2" spans="1:8" ht="24" customHeight="1">
      <c r="A2" s="3131" t="s">
        <v>175</v>
      </c>
      <c r="B2" s="3132">
        <f ca="1">TODAY()</f>
        <v>45894</v>
      </c>
      <c r="C2" s="3133" t="s">
        <v>176</v>
      </c>
      <c r="D2" s="3133"/>
      <c r="E2" s="3133"/>
      <c r="F2" s="3130"/>
      <c r="G2" s="3130"/>
      <c r="H2" s="3130"/>
    </row>
    <row r="3" spans="1:8" ht="24" customHeight="1">
      <c r="A3" s="3134" t="s">
        <v>177</v>
      </c>
      <c r="B3" s="3135" t="s">
        <v>178</v>
      </c>
      <c r="C3" s="3135" t="s">
        <v>179</v>
      </c>
      <c r="D3" s="3136" t="s">
        <v>180</v>
      </c>
      <c r="E3" s="3137" t="s">
        <v>181</v>
      </c>
      <c r="F3" s="3135" t="s">
        <v>182</v>
      </c>
      <c r="G3" s="3135" t="s">
        <v>179</v>
      </c>
      <c r="H3" s="3136" t="s">
        <v>183</v>
      </c>
    </row>
    <row r="4" spans="1:8" ht="24" customHeight="1">
      <c r="A4" s="3135" t="s">
        <v>184</v>
      </c>
      <c r="B4" s="3135">
        <f ca="1">IF(C4&lt;B2,"已过期",1119970066)</f>
        <v>1119970066</v>
      </c>
      <c r="C4" s="3138">
        <v>45937</v>
      </c>
      <c r="D4" s="3139" t="str">
        <f ca="1">A4&amp;"（注册号："&amp;B4&amp;"）"</f>
        <v>梁津（注册号：1119970066）</v>
      </c>
      <c r="E4" s="3140" t="s">
        <v>184</v>
      </c>
      <c r="F4" s="3135">
        <f ca="1">IF(G4&lt;B2,"已过期",96010014)</f>
        <v>96010014</v>
      </c>
      <c r="G4" s="3141">
        <v>47118</v>
      </c>
      <c r="H4" s="3142" t="str">
        <f ca="1">E4&amp;"（注册号："&amp;F4&amp;"）"</f>
        <v>梁津（注册号：96010014）</v>
      </c>
    </row>
    <row r="5" spans="1:8" ht="24" customHeight="1">
      <c r="A5" s="3135" t="s">
        <v>185</v>
      </c>
      <c r="B5" s="3135">
        <f ca="1">IF(C5&lt;B2,"已过期",1119970111)</f>
        <v>1119970111</v>
      </c>
      <c r="C5" s="3138">
        <v>45937</v>
      </c>
      <c r="D5" s="3139" t="str">
        <f t="shared" ref="D5:D16" ca="1" si="0">A5&amp;"（注册号："&amp;B5&amp;"）"</f>
        <v>叶凌（注册号：1119970111）</v>
      </c>
      <c r="E5" s="3140" t="s">
        <v>185</v>
      </c>
      <c r="F5" s="3135">
        <f ca="1">IF(G5&lt;B2,"已过期",94010078)</f>
        <v>94010078</v>
      </c>
      <c r="G5" s="3141">
        <v>46387</v>
      </c>
      <c r="H5" s="3142" t="str">
        <f t="shared" ref="H5:H16" ca="1" si="1">E5&amp;"（注册号："&amp;F5&amp;"）"</f>
        <v>叶凌（注册号：94010078）</v>
      </c>
    </row>
    <row r="6" spans="1:8" ht="24" customHeight="1">
      <c r="A6" s="3135" t="s">
        <v>186</v>
      </c>
      <c r="B6" s="3135" t="str">
        <f ca="1">IF(C6&lt;B2,"已过期",1120050019)</f>
        <v>已过期</v>
      </c>
      <c r="C6" s="3138">
        <v>45410</v>
      </c>
      <c r="D6" s="3139" t="str">
        <f t="shared" ca="1" si="0"/>
        <v>王鹏（注册号：已过期）</v>
      </c>
      <c r="E6" s="3140" t="s">
        <v>186</v>
      </c>
      <c r="F6" s="3135">
        <f ca="1">IF(G6&lt;B2,"已过期",2002110030)</f>
        <v>2002110030</v>
      </c>
      <c r="G6" s="3141">
        <v>46387</v>
      </c>
      <c r="H6" s="3142" t="str">
        <f t="shared" ca="1" si="1"/>
        <v>王鹏（注册号：2002110030）</v>
      </c>
    </row>
    <row r="7" spans="1:8" ht="24" customHeight="1">
      <c r="A7" s="3135" t="s">
        <v>187</v>
      </c>
      <c r="B7" s="3135">
        <f ca="1">IF(C7&lt;B2,"已过期",1120000080)</f>
        <v>1120000080</v>
      </c>
      <c r="C7" s="3138">
        <v>45937</v>
      </c>
      <c r="D7" s="3139" t="str">
        <f t="shared" ca="1" si="0"/>
        <v>欧红伟（注册号：1120000080）</v>
      </c>
      <c r="E7" s="3140" t="s">
        <v>187</v>
      </c>
      <c r="F7" s="3135">
        <f ca="1">IF(G7&lt;B2,"已过期",2000110082)</f>
        <v>2000110082</v>
      </c>
      <c r="G7" s="3141">
        <v>46387</v>
      </c>
      <c r="H7" s="3142" t="str">
        <f t="shared" ca="1" si="1"/>
        <v>欧红伟（注册号：2000110082）</v>
      </c>
    </row>
    <row r="8" spans="1:8" ht="24" customHeight="1">
      <c r="A8" s="3135" t="s">
        <v>188</v>
      </c>
      <c r="B8" s="3135">
        <f ca="1">IF(C8&lt;B2,"已过期",1419970001)</f>
        <v>1419970001</v>
      </c>
      <c r="C8" s="3138">
        <v>45937</v>
      </c>
      <c r="D8" s="3139" t="str">
        <f t="shared" ca="1" si="0"/>
        <v>吴薇（注册号：1419970001）</v>
      </c>
      <c r="E8" s="3140" t="s">
        <v>188</v>
      </c>
      <c r="F8" s="3135">
        <f ca="1">IF(G8&lt;B2,"已过期",2002110125)</f>
        <v>2002110125</v>
      </c>
      <c r="G8" s="3141">
        <v>47118</v>
      </c>
      <c r="H8" s="3142" t="str">
        <f t="shared" ca="1" si="1"/>
        <v>吴薇（注册号：2002110125）</v>
      </c>
    </row>
    <row r="9" spans="1:8" ht="24" customHeight="1">
      <c r="A9" s="3135" t="s">
        <v>189</v>
      </c>
      <c r="B9" s="3135" t="str">
        <f ca="1">IF(C9&lt;B2,"已过期",1120060040)</f>
        <v>已过期</v>
      </c>
      <c r="C9" s="3143">
        <v>45592</v>
      </c>
      <c r="D9" s="3139" t="str">
        <f t="shared" ca="1" si="0"/>
        <v>陈颖（注册号：已过期）</v>
      </c>
      <c r="E9" s="3140" t="s">
        <v>189</v>
      </c>
      <c r="F9" s="3135">
        <f ca="1">IF(G9&lt;B2,"已过期",2004110096)</f>
        <v>2004110096</v>
      </c>
      <c r="G9" s="3141">
        <v>47118</v>
      </c>
      <c r="H9" s="3142" t="str">
        <f t="shared" ca="1" si="1"/>
        <v>陈颖（注册号：2004110096）</v>
      </c>
    </row>
    <row r="10" spans="1:8" ht="24" customHeight="1">
      <c r="A10" s="3135" t="s">
        <v>190</v>
      </c>
      <c r="B10" s="3135" t="str">
        <f ca="1">IF(C10&lt;B2,"已过期",1120100036)</f>
        <v>已过期</v>
      </c>
      <c r="C10" s="3143">
        <v>45752</v>
      </c>
      <c r="D10" s="3139" t="str">
        <f t="shared" ca="1" si="0"/>
        <v>崔锴（注册号：已过期）</v>
      </c>
      <c r="E10" s="3140" t="s">
        <v>190</v>
      </c>
      <c r="F10" s="3135">
        <f ca="1">IF(G10&lt;B2,"已过期",2010110070)</f>
        <v>2010110070</v>
      </c>
      <c r="G10" s="3141">
        <v>47907</v>
      </c>
      <c r="H10" s="3142" t="str">
        <f t="shared" ca="1" si="1"/>
        <v>崔锴（注册号：2010110070）</v>
      </c>
    </row>
    <row r="11" spans="1:8" ht="24" customHeight="1">
      <c r="A11" s="3135" t="s">
        <v>191</v>
      </c>
      <c r="B11" s="3135">
        <f ca="1">IF(C11&lt;B2,"已过期",1120070131)</f>
        <v>1120070131</v>
      </c>
      <c r="C11" s="3138">
        <v>45937</v>
      </c>
      <c r="D11" s="3139" t="str">
        <f t="shared" ca="1" si="0"/>
        <v>郑燚（注册号：1120070131）</v>
      </c>
      <c r="E11" s="3140" t="s">
        <v>191</v>
      </c>
      <c r="F11" s="3135">
        <f ca="1">IF(G11&lt;B2,"已过期",2014110011)</f>
        <v>2014110011</v>
      </c>
      <c r="G11" s="3141">
        <v>49302</v>
      </c>
      <c r="H11" s="3142" t="str">
        <f t="shared" ca="1" si="1"/>
        <v>郑燚（注册号：2014110011）</v>
      </c>
    </row>
    <row r="12" spans="1:8" ht="24" customHeight="1">
      <c r="A12" s="3135" t="s">
        <v>192</v>
      </c>
      <c r="B12" s="3135">
        <f ca="1">IF(C12&lt;B2,"已过期",1120040230)</f>
        <v>1120040230</v>
      </c>
      <c r="C12" s="3143">
        <v>45937</v>
      </c>
      <c r="D12" s="3139" t="str">
        <f t="shared" ca="1" si="0"/>
        <v>苏海（注册号：1120040230）</v>
      </c>
      <c r="E12" s="3140" t="s">
        <v>192</v>
      </c>
      <c r="F12" s="3135">
        <f ca="1">IF(G12&lt;B2,"已过期",98030020)</f>
        <v>98030020</v>
      </c>
      <c r="G12" s="3141">
        <v>47118</v>
      </c>
      <c r="H12" s="3142" t="str">
        <f t="shared" ca="1" si="1"/>
        <v>苏海（注册号：98030020）</v>
      </c>
    </row>
    <row r="13" spans="1:8" ht="24" customHeight="1">
      <c r="A13" s="3135" t="s">
        <v>193</v>
      </c>
      <c r="B13" s="3135" t="str">
        <f ca="1">IF(C13&lt;B2,"已过期",1120020033)</f>
        <v>已过期</v>
      </c>
      <c r="C13" s="3138">
        <v>45375</v>
      </c>
      <c r="D13" s="3139" t="str">
        <f t="shared" ca="1" si="0"/>
        <v>刘敬东（注册号：已过期）</v>
      </c>
      <c r="E13" s="3140" t="s">
        <v>193</v>
      </c>
      <c r="F13" s="3135">
        <f ca="1">IF(G13&lt;B2,"已过期",2000110137)</f>
        <v>2000110137</v>
      </c>
      <c r="G13" s="3141">
        <v>46387</v>
      </c>
      <c r="H13" s="3142" t="str">
        <f t="shared" ca="1" si="1"/>
        <v>刘敬东（注册号：2000110137）</v>
      </c>
    </row>
    <row r="14" spans="1:8" ht="24" customHeight="1">
      <c r="A14" s="3135" t="s">
        <v>194</v>
      </c>
      <c r="B14" s="3135" t="str">
        <f ca="1">IF(C14&lt;B2,"已过期",1119980106)</f>
        <v>已过期</v>
      </c>
      <c r="C14" s="3143">
        <v>44969</v>
      </c>
      <c r="D14" s="3139" t="str">
        <f t="shared" ca="1" si="0"/>
        <v>刘俊财（注册号：已过期）</v>
      </c>
      <c r="E14" s="3140" t="s">
        <v>194</v>
      </c>
      <c r="F14" s="3135">
        <f ca="1">IF(G14&lt;B2,"已过期",96010063)</f>
        <v>96010063</v>
      </c>
      <c r="G14" s="3141">
        <v>47483</v>
      </c>
      <c r="H14" s="3142" t="str">
        <f t="shared" ca="1" si="1"/>
        <v>刘俊财（注册号：96010063）</v>
      </c>
    </row>
    <row r="15" spans="1:8" ht="24" customHeight="1">
      <c r="A15" s="3135" t="s">
        <v>195</v>
      </c>
      <c r="B15" s="3135">
        <v>1120210056</v>
      </c>
      <c r="C15" s="3143">
        <v>45410</v>
      </c>
      <c r="D15" s="3139" t="str">
        <f t="shared" si="0"/>
        <v>宁小鳗（注册号：1120210056）</v>
      </c>
      <c r="E15" s="3140" t="s">
        <v>196</v>
      </c>
      <c r="F15" s="3135">
        <f ca="1">IF(G15&lt;B2,"已过期",2011110090)</f>
        <v>2011110090</v>
      </c>
      <c r="G15" s="3141">
        <v>48302</v>
      </c>
      <c r="H15" s="3142" t="str">
        <f t="shared" ca="1" si="1"/>
        <v>赵雯（注册号：2011110090）</v>
      </c>
    </row>
    <row r="16" spans="1:8" ht="24" customHeight="1">
      <c r="A16" s="3135"/>
      <c r="B16" s="3135"/>
      <c r="C16" s="3135"/>
      <c r="D16" s="3139" t="str">
        <f t="shared" si="0"/>
        <v>（注册号：）</v>
      </c>
      <c r="E16" s="3140"/>
      <c r="F16" s="3135"/>
      <c r="G16" s="3135"/>
      <c r="H16" s="3144" t="str">
        <f t="shared" si="1"/>
        <v>（注册号：）</v>
      </c>
    </row>
    <row r="17" spans="1:8" ht="24" customHeight="1">
      <c r="A17" s="3282" t="s">
        <v>197</v>
      </c>
      <c r="B17" s="3282"/>
      <c r="C17" s="3282"/>
      <c r="D17" s="3282"/>
      <c r="E17" s="3282"/>
      <c r="F17" s="3282"/>
      <c r="G17" s="3282"/>
      <c r="H17" s="3282"/>
    </row>
    <row r="18" spans="1:8" ht="24" customHeight="1">
      <c r="A18" s="3283" t="s">
        <v>198</v>
      </c>
      <c r="B18" s="3283"/>
      <c r="C18" s="3283"/>
      <c r="D18" s="3136"/>
      <c r="E18" s="3284" t="s">
        <v>199</v>
      </c>
      <c r="F18" s="3283"/>
      <c r="G18" s="3283"/>
    </row>
    <row r="19" spans="1:8" s="3128" customFormat="1" ht="24" customHeight="1">
      <c r="A19" s="3145" t="s">
        <v>200</v>
      </c>
      <c r="B19" s="3135" t="s">
        <v>201</v>
      </c>
      <c r="C19" s="3135" t="s">
        <v>179</v>
      </c>
      <c r="D19" s="3136"/>
      <c r="E19" s="3140" t="s">
        <v>200</v>
      </c>
      <c r="F19" s="3135" t="s">
        <v>201</v>
      </c>
      <c r="G19" s="3135" t="s">
        <v>179</v>
      </c>
    </row>
    <row r="20" spans="1:8" s="3128" customFormat="1" ht="24" customHeight="1">
      <c r="A20" s="3146" t="s">
        <v>202</v>
      </c>
      <c r="B20" s="3146" t="s">
        <v>203</v>
      </c>
      <c r="C20" s="3141">
        <v>45898</v>
      </c>
      <c r="D20" s="3147"/>
      <c r="E20" s="3148" t="s">
        <v>204</v>
      </c>
      <c r="F20" s="3149" t="s">
        <v>205</v>
      </c>
      <c r="G20" s="3150">
        <v>44926</v>
      </c>
    </row>
    <row r="21" spans="1:8" s="3128" customFormat="1" ht="24" customHeight="1">
      <c r="A21" s="3146"/>
      <c r="B21" s="3146"/>
      <c r="C21" s="3151"/>
      <c r="D21" s="3152"/>
      <c r="E21" s="3148"/>
      <c r="F21" s="3149"/>
      <c r="G21" s="3150"/>
    </row>
    <row r="22" spans="1:8" ht="24" customHeight="1">
      <c r="C22" s="3153"/>
      <c r="D22" s="3153"/>
      <c r="E22" s="3154"/>
      <c r="G22" s="3155"/>
    </row>
  </sheetData>
  <sheetProtection password="CEE9" sheet="1" objects="1" scenarios="1"/>
  <mergeCells count="3">
    <mergeCell ref="A17:H17"/>
    <mergeCell ref="A18:C18"/>
    <mergeCell ref="E18:G18"/>
  </mergeCells>
  <phoneticPr fontId="228"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8" master="" otherUserPermission="visible"/>
  <rangeList sheetStid="89" master="" otherUserPermission="visible"/>
  <rangeList sheetStid="87" master="" otherUserPermission="visible"/>
  <rangeList sheetStid="86" master="" otherUserPermission="visible"/>
  <rangeList sheetStid="83" master="" otherUserPermission="visible"/>
  <rangeList sheetStid="81" master="" otherUserPermission="visible"/>
  <rangeList sheetStid="34"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15" master="" otherUserPermission="visible"/>
  <rangeList sheetStid="80" master="" otherUserPermission="visible"/>
  <rangeList sheetStid="82" master="" otherUserPermission="visible"/>
  <rangeList sheetStid="68" master="" otherUserPermission="visible"/>
  <rangeList sheetStid="43" master="" otherUserPermission="visible"/>
  <rangeList sheetStid="84" master="" otherUserPermission="visible"/>
  <rangeList sheetStid="85"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159</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乐华大厦</vt:lpstr>
      <vt:lpstr>悦荣中心</vt:lpstr>
      <vt:lpstr>启华大厦</vt:lpstr>
      <vt:lpstr>新景商务楼</vt:lpstr>
      <vt:lpstr>商业大宗</vt:lpstr>
      <vt:lpstr>租约</vt:lpstr>
      <vt:lpstr>比较法-办公</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办公-收益法</vt:lpstr>
      <vt:lpstr>车库-收益法</vt:lpstr>
      <vt:lpstr>商业-收益法</vt:lpstr>
      <vt:lpstr>成本法</vt:lpstr>
      <vt:lpstr>基准地价修正</vt:lpstr>
      <vt:lpstr>Sheet4</vt:lpstr>
      <vt:lpstr>Sheet5</vt:lpstr>
      <vt:lpstr>修正</vt:lpstr>
      <vt:lpstr>容积率修正</vt:lpstr>
      <vt:lpstr>成本法（废）</vt:lpstr>
      <vt:lpstr>因素修正幅度</vt:lpstr>
      <vt:lpstr>区片价（范围）</vt:lpstr>
      <vt:lpstr>地价-分区</vt:lpstr>
      <vt:lpstr>地价</vt:lpstr>
      <vt:lpstr>区片价</vt:lpstr>
      <vt:lpstr>存贷款利率</vt:lpstr>
      <vt:lpstr>'办公-收益法'!Print_Area</vt:lpstr>
      <vt:lpstr>'比较法-办公'!Print_Area</vt:lpstr>
      <vt:lpstr>'比较法-仓储'!Print_Area</vt:lpstr>
      <vt:lpstr>'比较法-车位'!Print_Area</vt:lpstr>
      <vt:lpstr>'比较法-工业'!Print_Area</vt:lpstr>
      <vt:lpstr>'比较法-商业'!Print_Area</vt:lpstr>
      <vt:lpstr>'比较法-住宅'!Print_Area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2025-08-25T07:24:11Z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B902A81A0A904E469A0018D1413B5CD2_12</vt:lpwstr>
  </property>
</Properties>
</file>