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冯德智\"/>
    </mc:Choice>
  </mc:AlternateContent>
  <xr:revisionPtr revIDLastSave="0" documentId="13_ncr:1_{A6E93EDE-AEFF-4DC5-B817-95A8FF64A05A}" xr6:coauthVersionLast="47" xr6:coauthVersionMax="47" xr10:uidLastSave="{00000000-0000-0000-0000-000000000000}"/>
  <bookViews>
    <workbookView xWindow="-108" yWindow="-108" windowWidth="23256" windowHeight="12576"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悦荣中心" sheetId="91" r:id="rId24"/>
    <sheet name="华樾北京" sheetId="92" r:id="rId25"/>
    <sheet name="华樾北京2" sheetId="93" r:id="rId26"/>
    <sheet name="收益法-办公" sheetId="15" r:id="rId27"/>
    <sheet name="收益法-商业" sheetId="89" r:id="rId28"/>
    <sheet name="收益法-车库" sheetId="90" r:id="rId29"/>
    <sheet name="收益法-仓储" sheetId="81" r:id="rId30"/>
    <sheet name="收益法 (元)fei" sheetId="67" state="hidden" r:id="rId31"/>
    <sheet name="收益法-酒店模型" sheetId="77" state="hidden" r:id="rId32"/>
    <sheet name="收益法（汇总）" sheetId="70" r:id="rId33"/>
    <sheet name="1号楼" sheetId="86" r:id="rId34"/>
    <sheet name="2号楼" sheetId="87" r:id="rId35"/>
    <sheet name="31号楼" sheetId="88" r:id="rId36"/>
    <sheet name="典型户型修正" sheetId="31"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基准地价修正" sheetId="43" state="hidden"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3" hidden="1">'1号楼'!$A$2:$P$34</definedName>
    <definedName name="_xlnm._FilterDatabase" localSheetId="34" hidden="1">'2号楼'!$A$2:$P$40</definedName>
    <definedName name="_xlnm._FilterDatabase" localSheetId="35" hidden="1">'31号楼'!$A$2:$S$14</definedName>
    <definedName name="_xlnm._FilterDatabase" localSheetId="22"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22">'比较法-办公'!$A$1:$K$55,'比较法-办公'!$A$58:$M$132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4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8">结果表!$A$1:$I$127</definedName>
    <definedName name="_xlnm.Print_Area" localSheetId="47">'剩余法（现房）'!$A$1:$K$34</definedName>
    <definedName name="_xlnm.Print_Area" localSheetId="30">'收益法 (元)fei'!$A$1:$F$43,'收益法 (元)fei'!$H$3:$M$29,'收益法 (元)fei'!$A$45:$F$71,'收益法 (元)fei'!$I$46:$N$65</definedName>
    <definedName name="_xlnm.Print_Area" localSheetId="32">'收益法（汇总）'!$A$1:$F$13</definedName>
    <definedName name="_xlnm.Print_Area" localSheetId="26">'收益法-办公'!$A$1:$F$53,'收益法-办公'!$H$3:$M$37,'收益法-办公'!$A$55:$F$84,'收益法-办公'!$I$55:$N$74</definedName>
    <definedName name="_xlnm.Print_Area" localSheetId="29">'收益法-仓储'!$A$1:$F$53,'收益法-仓储'!$H$3:$M$37,'收益法-仓储'!$A$55:$F$84,'收益法-仓储'!$I$55:$N$74</definedName>
    <definedName name="_xlnm.Print_Area" localSheetId="28">'收益法-车库'!$A$1:$F$53,'收益法-车库'!$H$3:$M$37,'收益法-车库'!$A$55:$F$84,'收益法-车库'!$I$55:$N$74</definedName>
    <definedName name="_xlnm.Print_Area" localSheetId="27">'收益法-商业'!$A$1:$F$53,'收益法-商业'!$H$3:$M$37,'收益法-商业'!$A$55:$F$84,'收益法-商业'!$I$55:$N$74</definedName>
    <definedName name="_xlnm.Print_Area" localSheetId="14">'数据-汇总表'!$A$1:$P$32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7">系统读取表!$A$1:$I$26</definedName>
    <definedName name="_xlnm.Print_Area" localSheetId="11">项目基本情况!$A$1:$I$38</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 localSheetId="23">'[10]比较法-办公'!$B$119:$M$119</definedName>
    <definedName name="办公层高">'比较法-办公'!$B$119:$M$119</definedName>
    <definedName name="办公朝向" localSheetId="23">'[10]比较法-办公'!$B$91:$M$91</definedName>
    <definedName name="办公朝向">'比较法-办公'!$B$91:$M$91</definedName>
    <definedName name="办公道路级别" localSheetId="23">'[10]比较法-办公'!$B$87:$M$87</definedName>
    <definedName name="办公道路级别">'比较法-办公'!$B$87:$M$87</definedName>
    <definedName name="办公公共部分装修" localSheetId="23">'[10]比较法-办公'!$B$108:$M$108</definedName>
    <definedName name="办公公共部分装修">'比较法-办公'!$B$108:$M$108</definedName>
    <definedName name="办公基础设施水平" localSheetId="23">'[10]比较法-办公'!$B$117:$M$117</definedName>
    <definedName name="办公基础设施水平">'比较法-办公'!$B$117:$M$117</definedName>
    <definedName name="办公集聚程度" localSheetId="23">[10]定义!$M$1:$M$6</definedName>
    <definedName name="办公集聚程度">定义!$M$1:$M$6</definedName>
    <definedName name="办公建筑结构" localSheetId="23">'[10]比较法-办公'!$B$106:$M$106</definedName>
    <definedName name="办公建筑结构">'比较法-办公'!$B$106:$M$106</definedName>
    <definedName name="办公建筑类型" localSheetId="23">'[10]比较法-办公'!$B$101:$M$101</definedName>
    <definedName name="办公建筑类型">'比较法-办公'!$B$101:$M$101</definedName>
    <definedName name="办公交易情况" localSheetId="23">'[10]比较法-办公'!$A$62:$M$62</definedName>
    <definedName name="办公交易情况">'比较法-办公'!$A$62:$M$62</definedName>
    <definedName name="办公楼层" localSheetId="23">'[10]比较法-办公'!$B$89:$M$89</definedName>
    <definedName name="办公楼层">'比较法-办公'!$B$89:$M$89</definedName>
    <definedName name="办公内部装修" localSheetId="23">'[10]比较法-办公'!$B$123:$M$123</definedName>
    <definedName name="办公内部装修">'比较法-办公'!$B$123:$M$123</definedName>
    <definedName name="办公物业管理" localSheetId="23">'[10]比较法-办公'!$B$115:$M$115</definedName>
    <definedName name="办公物业管理">'比较法-办公'!$B$115:$M$115</definedName>
    <definedName name="办公用途" localSheetId="23">'[10]比较法-办公'!$B$64:$M$64</definedName>
    <definedName name="办公用途">'比较法-办公'!$B$64:$M$64</definedName>
    <definedName name="备用" hidden="1">{#N/A,#N/A,FALSE,"OffAdvance";#N/A,#N/A,FALSE,"OffExpRprt";#N/A,#N/A,FALSE,"Entertmnt";#N/A,#N/A,FALSE,"Promotion";#N/A,#N/A,FALSE,"Travelling"}</definedName>
    <definedName name="仓储公共部分装修" localSheetId="23">'[10]比较法-仓储'!$B$77:$M$77</definedName>
    <definedName name="仓储公共部分装修">'比较法-仓储'!$B$77:$M$77</definedName>
    <definedName name="仓储交易情况" localSheetId="23">'[10]比较法-仓储'!$A$49:$M$49</definedName>
    <definedName name="仓储交易情况">'比较法-仓储'!$A$49:$M$49</definedName>
    <definedName name="仓储楼层" localSheetId="23">'[10]比较法-仓储'!$B$69:$M$69</definedName>
    <definedName name="仓储楼层">'比较法-仓储'!$B$69:$M$69</definedName>
    <definedName name="仓储物业等级" localSheetId="23">'[10]比较法-仓储'!$B$82:$M$82</definedName>
    <definedName name="仓储物业等级">'比较法-仓储'!$B$82:$M$82</definedName>
    <definedName name="仓储用途" localSheetId="23">'[10]比较法-仓储'!$B$51:$M$51</definedName>
    <definedName name="仓储用途">'比较法-仓储'!$B$51:$M$51</definedName>
    <definedName name="产业集聚程度" localSheetId="23">[10]定义!$N$1:$N$6</definedName>
    <definedName name="产业集聚程度">定义!$N$1:$N$6</definedName>
    <definedName name="车位公共部分装修" localSheetId="23">'[10]比较法-车位'!$B$83:$M$83</definedName>
    <definedName name="车位公共部分装修">'比较法-车位'!$B$83:$M$83</definedName>
    <definedName name="车位交易情况" localSheetId="23">'[10]比较法-车位'!$A$51:$M$51</definedName>
    <definedName name="车位交易情况">'比较法-车位'!$A$51:$M$51</definedName>
    <definedName name="车位类型" localSheetId="23">'[10]比较法-车位'!$B$93:$M$93</definedName>
    <definedName name="车位类型">'比较法-车位'!$B$93:$M$93</definedName>
    <definedName name="车位楼层" localSheetId="23">'[10]比较法-车位'!$B$71:$M$71</definedName>
    <definedName name="车位楼层">'比较法-车位'!$B$71:$M$71</definedName>
    <definedName name="车位配套类型" localSheetId="23">'[10]比较法-车位'!$B$79:$M$79</definedName>
    <definedName name="车位配套类型">'比较法-车位'!$B$79:$M$79</definedName>
    <definedName name="车位物业等级" localSheetId="23">'[10]比较法-车位'!$B$88:$M$88</definedName>
    <definedName name="车位物业等级">'比较法-车位'!$B$88:$M$88</definedName>
    <definedName name="车位用途" localSheetId="23">'[10]比较法-车位'!$B$53:$M$53</definedName>
    <definedName name="车位用途">'比较法-车位'!$B$53:$M$53</definedName>
    <definedName name="城镇土地纳税等级分级范围" localSheetId="23">'[10]数据-取费表'!$A$54:$A$64</definedName>
    <definedName name="城镇土地纳税等级分级范围">'数据-取费表'!$A$54:$A$64</definedName>
    <definedName name="单价内涵" localSheetId="23">[10]定义!$V$1:$V$3</definedName>
    <definedName name="单价内涵">定义!$V$1:$V$3</definedName>
    <definedName name="地类判定" localSheetId="23">[10]定义!$H$1:$H$9</definedName>
    <definedName name="地类判定">定义!$H$1:$H$9</definedName>
    <definedName name="二级">区片价!$J$1:$J$21</definedName>
    <definedName name="二级分类">修正!$C$19:$C$53</definedName>
    <definedName name="法定最高年限" localSheetId="23">[10]定义!$G$1:$G$6</definedName>
    <definedName name="法定最高年限">定义!$G$1:$G$6</definedName>
    <definedName name="工业">定义!$AB$2:$AB$12</definedName>
    <definedName name="工业公共部分装修" localSheetId="23">'[10]比较法-工业'!$B$95:$M$95</definedName>
    <definedName name="工业公共部分装修">'比较法-工业'!$B$95:$M$95</definedName>
    <definedName name="工业基础设施水平" localSheetId="23">'[10]比较法-工业'!$B$102:$M$102</definedName>
    <definedName name="工业基础设施水平">'比较法-工业'!$B$102:$M$102</definedName>
    <definedName name="工业建筑结构" localSheetId="23">'[10]比较法-工业'!$B$93:$M$93</definedName>
    <definedName name="工业建筑结构">'比较法-工业'!$B$93:$M$93</definedName>
    <definedName name="工业建筑类型" localSheetId="23">'[10]比较法-工业'!$B$88:$M$88</definedName>
    <definedName name="工业建筑类型">'比较法-工业'!$B$88:$M$88</definedName>
    <definedName name="工业交易情况" localSheetId="23">'[10]比较法-工业'!$A$55:$M$55</definedName>
    <definedName name="工业交易情况">'比较法-工业'!$A$55:$M$55</definedName>
    <definedName name="工业内部装修" localSheetId="23">'[10]比较法-工业'!$B$104:$M$104</definedName>
    <definedName name="工业内部装修">'比较法-工业'!$B$104:$M$104</definedName>
    <definedName name="工业物业管理" localSheetId="23">'[10]比较法-工业'!$B$100:$M$100</definedName>
    <definedName name="工业物业管理">'比较法-工业'!$B$100:$M$100</definedName>
    <definedName name="工业用途" localSheetId="23">'[10]比较法-工业'!$B$57:$M$57</definedName>
    <definedName name="工业用途">'比较法-工业'!$B$57:$M$57</definedName>
    <definedName name="公共服务">定义!$Z$2:$Z$14</definedName>
    <definedName name="公共配套设施" localSheetId="23">[10]定义!$Q$1:$Q$6</definedName>
    <definedName name="公共配套设施">定义!$Q$1:$Q$6</definedName>
    <definedName name="估价范围判定" localSheetId="23">[10]定义!$D$1:$D$4</definedName>
    <definedName name="估价范围判定">定义!$D$1:$D$4</definedName>
    <definedName name="估价方法" localSheetId="23">[10]定义!$B$1:$B$50</definedName>
    <definedName name="估价方法">定义!$B$1:$B$50</definedName>
    <definedName name="环境" localSheetId="23">[10]定义!$S$1:$S$6</definedName>
    <definedName name="环境">定义!$S$1:$S$6</definedName>
    <definedName name="基础设施水平" localSheetId="23">[10]定义!$R$1:$R$6</definedName>
    <definedName name="基础设施水平">定义!$R$1:$R$6</definedName>
    <definedName name="季度">基准地价修正!$Q$19:$AD$19</definedName>
    <definedName name="价值类型2" localSheetId="23">[10]定义!$B$54:$B$56</definedName>
    <definedName name="价值类型2">定义!$B$54:$B$56</definedName>
    <definedName name="交通便捷度" localSheetId="23">[10]定义!$O$1:$O$6</definedName>
    <definedName name="交通便捷度">定义!$O$1:$O$6</definedName>
    <definedName name="借款" hidden="1">{#N/A,#N/A,FALSE,"970301";#N/A,#N/A,FALSE,"970302";#N/A,#N/A,FALSE,"970303";#N/A,#N/A,FALSE,"970304";#N/A,#N/A,FALSE,"COM1";#N/A,#N/A,FALSE,"COM2"}</definedName>
    <definedName name="九级">区片价!$Q$1:$Q$51</definedName>
    <definedName name="居住社区成熟度" localSheetId="23">[10]定义!$K$1:$K$6</definedName>
    <definedName name="居住社区成熟度">定义!$K$1:$K$6</definedName>
    <definedName name="类别" localSheetId="23">[10]定义!$J$1:$J$3</definedName>
    <definedName name="类别">定义!$J$1:$J$3</definedName>
    <definedName name="临街状况" localSheetId="23">[10]定义!$T$1:$T$5</definedName>
    <definedName name="临街状况">定义!$T$1:$T$5</definedName>
    <definedName name="六级">区片价!$N$1:$N$64</definedName>
    <definedName name="内部装修维护情况" localSheetId="23">[10]定义!$U$1:$U$6</definedName>
    <definedName name="内部装修维护情况">定义!$U$1:$U$6</definedName>
    <definedName name="七级">区片价!$O$1:$O$45</definedName>
    <definedName name="七通一平" localSheetId="23">[10]修正!$A$8:$A$16</definedName>
    <definedName name="七通一平">修正!$A$8:$A$16</definedName>
    <definedName name="区域土地利用方向" localSheetId="23">[10]定义!$P$1:$P$6</definedName>
    <definedName name="区域土地利用方向">定义!$P$1:$P$6</definedName>
    <definedName name="三级">区片价!$K$1:$K$26</definedName>
    <definedName name="商业">定义!$X$2:$X$9</definedName>
    <definedName name="商业层高" localSheetId="23">'[10]比较法-商业'!$B$116:$M$116</definedName>
    <definedName name="商业层高">'比较法-商业'!$B$116:$M$116</definedName>
    <definedName name="商业成新度">'比较法-商业'!$B$109:$M$109</definedName>
    <definedName name="商业繁华度" localSheetId="23">[10]定义!$L$1:$L$6</definedName>
    <definedName name="商业繁华度">定义!$L$1:$L$6</definedName>
    <definedName name="商业公共部分装修" localSheetId="23">'[10]比较法-商业'!$B$107:$M$107</definedName>
    <definedName name="商业公共部分装修">'比较法-商业'!$B$107:$M$107</definedName>
    <definedName name="商业基础设施水平" localSheetId="23">'[10]比较法-商业'!$B$112:$M$112</definedName>
    <definedName name="商业基础设施水平">'比较法-商业'!$B$112:$M$112</definedName>
    <definedName name="商业建筑结构" localSheetId="23">'[10]比较法-商业'!$B$105:$M$105</definedName>
    <definedName name="商业建筑结构">'比较法-商业'!$B$105:$M$105</definedName>
    <definedName name="商业交易情况" localSheetId="23">'[10]比较法-商业'!$A$61:$M$61</definedName>
    <definedName name="商业交易情况">'比较法-商业'!$A$61:$M$61</definedName>
    <definedName name="商业街名称" localSheetId="23">[10]修正!$C$73:$C$140</definedName>
    <definedName name="商业街名称">修正!$C$73:$C$140</definedName>
    <definedName name="商业进深比" localSheetId="23">'[10]比较法-商业'!$B$120:$M$120</definedName>
    <definedName name="商业进深比">'比较法-商业'!$B$120:$M$120</definedName>
    <definedName name="商业类型" localSheetId="23">'[10]比较法-商业'!$B$100:$M$100</definedName>
    <definedName name="商业类型">'比较法-商业'!$B$100:$M$100</definedName>
    <definedName name="商业临街状况" localSheetId="23">'[10]比较法-商业'!$B$86:$M$86</definedName>
    <definedName name="商业临街状况">'比较法-商业'!$B$86:$M$86</definedName>
    <definedName name="商业楼层" localSheetId="23">'[10]比较法-商业'!$B$92:$M$92</definedName>
    <definedName name="商业楼层">'比较法-商业'!$B$92:$M$92</definedName>
    <definedName name="商业内部装修" localSheetId="23">'[10]比较法-商业'!$B$122:$M$122</definedName>
    <definedName name="商业内部装修">'比较法-商业'!$B$122:$M$122</definedName>
    <definedName name="商业人流量" localSheetId="23">'[10]比较法-商业'!$B$90:$M$90</definedName>
    <definedName name="商业人流量">'比较法-商业'!$B$90:$M$90</definedName>
    <definedName name="商业业态" localSheetId="23">'[10]比较法-商业'!$B$114:$M$114</definedName>
    <definedName name="商业业态">'比较法-商业'!$B$114:$M$114</definedName>
    <definedName name="商业用途" localSheetId="23">'[10]比较法-商业'!$B$63:$M$63</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 localSheetId="23">'[10]比较法-仓储'!$B$89:$M$89</definedName>
    <definedName name="是否封闭">'比较法-仓储'!$B$89:$M$89</definedName>
    <definedName name="是否直接入户" localSheetId="23">'[10]比较法-车位'!$B$95:$M$95</definedName>
    <definedName name="是否直接入户">'比较法-车位'!$B$95:$M$95</definedName>
    <definedName name="四级">区片价!$L$1:$L$33</definedName>
    <definedName name="套工道路等级" localSheetId="23">'[10]土地比较法-工业'!$B$99:$M$99</definedName>
    <definedName name="套工道路等级">'土地比较法-工业'!$B$99:$M$99</definedName>
    <definedName name="套工地质条件" localSheetId="23">'[10]土地比较法-工业'!$B$116:$M$116</definedName>
    <definedName name="套工地质条件">'土地比较法-工业'!$B$116:$M$116</definedName>
    <definedName name="套工交易情况" localSheetId="23">'[10]土地比较法-住宅、综合'!$A$74:$M$74</definedName>
    <definedName name="套工交易情况">'土地比较法-住宅、综合'!$A$74:$M$74</definedName>
    <definedName name="套工土地级别" localSheetId="23">'[10]土地比较法-工业'!$B$101:$M$101</definedName>
    <definedName name="套工土地级别">'土地比较法-工业'!$B$101:$M$101</definedName>
    <definedName name="套工用途" localSheetId="23">'[10]土地比较法-工业'!$B$72:$M$72</definedName>
    <definedName name="套工用途">'土地比较法-工业'!$B$72:$M$72</definedName>
    <definedName name="套工宗地开发程度" localSheetId="23">'[10]土地比较法-工业'!$B$114:$M$114</definedName>
    <definedName name="套工宗地开发程度">'土地比较法-工业'!$B$114:$M$114</definedName>
    <definedName name="套工宗地形状" localSheetId="23">'[10]土地比较法-工业'!$B$112:$M$112</definedName>
    <definedName name="套工宗地形状">'土地比较法-工业'!$B$112:$M$112</definedName>
    <definedName name="套综道路等级" localSheetId="23">'[10]土地比较法-住宅、综合'!$B$107:$M$107</definedName>
    <definedName name="套综道路等级">'土地比较法-住宅、综合'!$B$107:$M$107</definedName>
    <definedName name="套综工程地质条件" localSheetId="23">'[10]土地比较法-住宅、综合'!$B$126:$M$126</definedName>
    <definedName name="套综工程地质条件">'土地比较法-住宅、综合'!$B$126:$M$126</definedName>
    <definedName name="套综交易情况" localSheetId="23">'[10]土地比较法-住宅、综合'!$A$74:$M$74</definedName>
    <definedName name="套综交易情况">'土地比较法-住宅、综合'!$A$74:$M$74</definedName>
    <definedName name="套综临街宽度及深度" localSheetId="23">'[10]土地比较法-住宅、综合'!$B$122:$M$122</definedName>
    <definedName name="套综临街宽度及深度">'土地比较法-住宅、综合'!$B$122:$M$122</definedName>
    <definedName name="套综土地级别" localSheetId="23">'[10]土地比较法-住宅、综合'!$B$109:$M$109</definedName>
    <definedName name="套综土地级别">'土地比较法-住宅、综合'!$B$109:$M$109</definedName>
    <definedName name="套综用途" localSheetId="23">'[10]土地比较法-住宅、综合'!$B$76:$M$76</definedName>
    <definedName name="套综用途">'土地比较法-住宅、综合'!$B$76:$M$76</definedName>
    <definedName name="套综宗地内开发程度" localSheetId="23">'[10]土地比较法-住宅、综合'!$B$124:$M$124</definedName>
    <definedName name="套综宗地内开发程度">'土地比较法-住宅、综合'!$B$124:$M$124</definedName>
    <definedName name="套综宗地形状" localSheetId="23">'[10]土地比较法-住宅、综合'!$B$120:$M$120</definedName>
    <definedName name="套综宗地形状">'土地比较法-住宅、综合'!$B$120:$M$120</definedName>
    <definedName name="土地估价师">估价师及机构信息!$D$3:$D$24</definedName>
    <definedName name="土地级别" localSheetId="23">[10]定义!$C$1:$C$14</definedName>
    <definedName name="土地级别">定义!$C$1:$C$14</definedName>
    <definedName name="土地利用方向">定义!$P$1:$P$6</definedName>
    <definedName name="土地年限区间">定义!$I$1:$I$16</definedName>
    <definedName name="位置" localSheetId="23">[10]定义!$E$2:$E$4</definedName>
    <definedName name="位置">定义!$E$2:$E$4</definedName>
    <definedName name="五等判定" localSheetId="23">[10]定义!$W$1:$W$6</definedName>
    <definedName name="五等判定">定义!$W$1:$W$6</definedName>
    <definedName name="五级">区片价!$M$1:$M$41</definedName>
    <definedName name="项目类型" localSheetId="31">'[11]数据-汇总表'!$C$17:$C$26</definedName>
    <definedName name="项目类型" localSheetId="23">'[10]数据-汇总表'!$C$17:$C$26</definedName>
    <definedName name="项目类型">'数据-汇总表'!$C$17:$C$26</definedName>
    <definedName name="写字楼等级" localSheetId="23">'[10]比较法-办公'!$B$113:$M$113</definedName>
    <definedName name="写字楼等级">'比较法-办公'!$B$113:$M$113</definedName>
    <definedName name="一级">区片价!$I$1:$I$6</definedName>
    <definedName name="一修多修正项2" localSheetId="23">[10]典型户型修正!$5:$5</definedName>
    <definedName name="一修多修正项2">典型户型修正!$5:$5</definedName>
    <definedName name="一修多修正项3" localSheetId="23">[10]典型户型修正!$7:$7</definedName>
    <definedName name="一修多修正项3">典型户型修正!$7:$7</definedName>
    <definedName name="一修多修正项4" localSheetId="23">[10]典型户型修正!$9:$9</definedName>
    <definedName name="一修多修正项4">典型户型修正!$9:$9</definedName>
    <definedName name="一修多修正项5" localSheetId="23">[10]典型户型修正!$11:$11</definedName>
    <definedName name="一修多修正项5">典型户型修正!$11:$11</definedName>
    <definedName name="一修多修正项6" localSheetId="23">[10]典型户型修正!$13:$13</definedName>
    <definedName name="一修多修正项6">典型户型修正!$13:$13</definedName>
    <definedName name="一修多修正项7" localSheetId="23">[10]典型户型修正!$15:$15</definedName>
    <definedName name="一修多修正项7">典型户型修正!$15:$15</definedName>
    <definedName name="一修多修正项8" localSheetId="23">[10]典型户型修正!$17:$17</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 localSheetId="23">[10]定义!$A$1:$A$50</definedName>
    <definedName name="用途明细">定义!$A$1:$A$50</definedName>
    <definedName name="有无电梯" localSheetId="23">'[10]比较法-仓储'!$B$84:$M$84</definedName>
    <definedName name="有无电梯">'比较法-仓储'!$B$84:$M$84</definedName>
    <definedName name="漳州减租每月明细" hidden="1">#REF!</definedName>
    <definedName name="主用途" localSheetId="23">[10]定义!$F$1:$F$12</definedName>
    <definedName name="主用途">定义!$F$1:$F$12</definedName>
    <definedName name="住宅">定义!$AA$2</definedName>
    <definedName name="住宅朝向" localSheetId="23">'[10]比较法-住宅'!$B$88:$M$88</definedName>
    <definedName name="住宅朝向">'比较法-住宅'!$B$88:$M$88</definedName>
    <definedName name="住宅房型" localSheetId="23">'[10]比较法-住宅'!$B$118:$M$118</definedName>
    <definedName name="住宅房型">'比较法-住宅'!$B$118:$M$118</definedName>
    <definedName name="住宅公共部分装修" localSheetId="23">'[10]比较法-住宅'!$B$109:$M$109</definedName>
    <definedName name="住宅公共部分装修">'比较法-住宅'!$B$109:$M$109</definedName>
    <definedName name="住宅基础设施水平" localSheetId="23">'[10]比较法-住宅'!$B$116:$M$116</definedName>
    <definedName name="住宅基础设施水平">'比较法-住宅'!$B$116:$M$116</definedName>
    <definedName name="住宅建筑结构" localSheetId="23">'[10]比较法-住宅'!$B$105:$M$105</definedName>
    <definedName name="住宅建筑结构">'比较法-住宅'!$B$105:$M$105</definedName>
    <definedName name="住宅建筑类型" localSheetId="23">'[10]比较法-住宅'!$B$100:$M$100</definedName>
    <definedName name="住宅建筑类型">'比较法-住宅'!$B$100:$M$100</definedName>
    <definedName name="住宅建筑品质" localSheetId="23">'[10]比较法-住宅'!$B$107:$M$107</definedName>
    <definedName name="住宅建筑品质">'比较法-住宅'!$B$107:$M$107</definedName>
    <definedName name="住宅交易情况" localSheetId="23">'[10]比较法-住宅'!$A$61:$M$61</definedName>
    <definedName name="住宅交易情况">'比较法-住宅'!$A$61:$M$61</definedName>
    <definedName name="住宅楼层" localSheetId="23">'[10]比较法-住宅'!$B$86:$M$86</definedName>
    <definedName name="住宅楼层">'比较法-住宅'!$B$86:$M$86</definedName>
    <definedName name="住宅内部装修" localSheetId="23">'[10]比较法-住宅'!$B$122:$M$122</definedName>
    <definedName name="住宅内部装修">'比较法-住宅'!$B$122:$M$122</definedName>
    <definedName name="住宅物业管理" localSheetId="23">'[10]比较法-住宅'!$B$114:$M$114</definedName>
    <definedName name="住宅物业管理">'比较法-住宅'!$B$114:$M$114</definedName>
    <definedName name="住宅用途" localSheetId="23">'[10]比较法-住宅'!$B$63:$M$63</definedName>
    <definedName name="住宅用途">'比较法-住宅'!$B$63:$M$63</definedName>
    <definedName name="住宅主力户型面积">'比较法-住宅'!$B$120:$M$120</definedName>
    <definedName name="注册房地产估价师" localSheetId="23">[10]估价师及机构信息!$A$3:$A$16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D128" i="34" l="1"/>
  <c r="E128" i="34" s="1"/>
  <c r="F128" i="34" s="1"/>
  <c r="G128" i="34" s="1"/>
  <c r="S49" i="86"/>
  <c r="S48" i="86"/>
  <c r="S47" i="86"/>
  <c r="O48" i="86"/>
  <c r="O47" i="86"/>
  <c r="Q52" i="86"/>
  <c r="R4" i="87"/>
  <c r="R41" i="87"/>
  <c r="Q47" i="86"/>
  <c r="J36" i="1"/>
  <c r="I33" i="1"/>
  <c r="J13" i="78"/>
  <c r="B53" i="78"/>
  <c r="B52" i="78"/>
  <c r="G33" i="6"/>
  <c r="O25" i="84"/>
  <c r="O24" i="84"/>
  <c r="O23" i="84"/>
  <c r="O22" i="84"/>
  <c r="O21" i="84"/>
  <c r="O20" i="84"/>
  <c r="C14" i="74"/>
  <c r="B14" i="74"/>
  <c r="K10" i="88"/>
  <c r="K9" i="88"/>
  <c r="K8" i="88"/>
  <c r="K7" i="88"/>
  <c r="K6" i="88"/>
  <c r="K4" i="88"/>
  <c r="O11" i="88"/>
  <c r="S16" i="88"/>
  <c r="Q48" i="86"/>
  <c r="Q50" i="86" s="1"/>
  <c r="Q51" i="86" s="1"/>
  <c r="R42" i="87"/>
  <c r="Q49" i="86"/>
  <c r="C34" i="34"/>
  <c r="E60" i="34"/>
  <c r="F60" i="34" s="1"/>
  <c r="G60" i="34" s="1"/>
  <c r="H60" i="34" s="1"/>
  <c r="I60" i="34" s="1"/>
  <c r="J60" i="34" s="1"/>
  <c r="K60" i="34" s="1"/>
  <c r="L60" i="34" s="1"/>
  <c r="M60" i="34" s="1"/>
  <c r="N60" i="34" s="1"/>
  <c r="O60" i="34" s="1"/>
  <c r="P60" i="34" s="1"/>
  <c r="Q60" i="34" s="1"/>
  <c r="R60" i="34" s="1"/>
  <c r="S60" i="34" s="1"/>
  <c r="T60" i="34" s="1"/>
  <c r="U60" i="34" s="1"/>
  <c r="V60" i="34" s="1"/>
  <c r="W60" i="34" s="1"/>
  <c r="X60" i="34" s="1"/>
  <c r="Y60" i="34" s="1"/>
  <c r="Z60" i="34" s="1"/>
  <c r="AA60" i="34" s="1"/>
  <c r="AB60" i="34" s="1"/>
  <c r="AC60" i="34" s="1"/>
  <c r="AD60" i="34" s="1"/>
  <c r="AE60" i="34" s="1"/>
  <c r="AF60" i="34" s="1"/>
  <c r="AG60" i="34" s="1"/>
  <c r="AH60" i="34" s="1"/>
  <c r="AI60" i="34" s="1"/>
  <c r="AJ60" i="34" s="1"/>
  <c r="D60" i="34"/>
  <c r="I37" i="34"/>
  <c r="G37" i="34"/>
  <c r="E37" i="34"/>
  <c r="C37" i="34"/>
  <c r="I34" i="34"/>
  <c r="G34" i="34"/>
  <c r="E34" i="34"/>
  <c r="I48" i="34"/>
  <c r="G48" i="34"/>
  <c r="I15" i="93"/>
  <c r="J14" i="93"/>
  <c r="K14" i="93" s="1"/>
  <c r="I14" i="93"/>
  <c r="I16" i="93" s="1"/>
  <c r="I17" i="93" s="1"/>
  <c r="M95" i="92"/>
  <c r="N94" i="92"/>
  <c r="O94" i="92" s="1"/>
  <c r="M94" i="92"/>
  <c r="M96" i="92" s="1"/>
  <c r="M97" i="92" s="1"/>
  <c r="E48" i="34" l="1"/>
  <c r="P59" i="34"/>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J20" i="91"/>
  <c r="K20" i="91" s="1"/>
  <c r="I20" i="91"/>
  <c r="Q83" i="90" l="1"/>
  <c r="D83" i="90"/>
  <c r="F72" i="90"/>
  <c r="F69" i="90"/>
  <c r="Q68" i="90"/>
  <c r="K68" i="90"/>
  <c r="P85" i="90" s="1"/>
  <c r="F68" i="90"/>
  <c r="Q67" i="90"/>
  <c r="Q60" i="90"/>
  <c r="J60" i="90"/>
  <c r="J59" i="90"/>
  <c r="M56" i="90"/>
  <c r="F66" i="90" s="1"/>
  <c r="D55" i="90"/>
  <c r="C50" i="90"/>
  <c r="D46" i="90"/>
  <c r="F45" i="90"/>
  <c r="D45" i="90" s="1"/>
  <c r="D44" i="90"/>
  <c r="F43" i="90"/>
  <c r="C43" i="90"/>
  <c r="F42" i="90"/>
  <c r="F41" i="90"/>
  <c r="F40" i="90"/>
  <c r="F39" i="90"/>
  <c r="F37" i="90"/>
  <c r="K32" i="90"/>
  <c r="F31" i="90"/>
  <c r="E31" i="90"/>
  <c r="M20" i="90"/>
  <c r="F20" i="90"/>
  <c r="M19" i="90"/>
  <c r="F19" i="90"/>
  <c r="F71" i="90" s="1"/>
  <c r="M18" i="90"/>
  <c r="F18" i="90"/>
  <c r="F70" i="90" s="1"/>
  <c r="G1" i="90"/>
  <c r="U9" i="1"/>
  <c r="Q83" i="89"/>
  <c r="D83" i="89"/>
  <c r="F72" i="89"/>
  <c r="F69" i="89"/>
  <c r="Q68" i="89"/>
  <c r="K68" i="89"/>
  <c r="P85" i="89" s="1"/>
  <c r="F68" i="89"/>
  <c r="Q67" i="89"/>
  <c r="Q60" i="89"/>
  <c r="J60" i="89"/>
  <c r="J59" i="89"/>
  <c r="M56" i="89"/>
  <c r="F66" i="89" s="1"/>
  <c r="D55" i="89"/>
  <c r="C50" i="89"/>
  <c r="D46" i="89"/>
  <c r="F45" i="89"/>
  <c r="D45" i="89" s="1"/>
  <c r="D44" i="89"/>
  <c r="F43" i="89"/>
  <c r="C43" i="89"/>
  <c r="F42" i="89"/>
  <c r="F41" i="89"/>
  <c r="F40" i="89"/>
  <c r="F39" i="89"/>
  <c r="F37" i="89"/>
  <c r="K32" i="89"/>
  <c r="F31" i="89"/>
  <c r="E31" i="89"/>
  <c r="M20" i="89"/>
  <c r="F20" i="89"/>
  <c r="M19" i="89"/>
  <c r="F19" i="89"/>
  <c r="F71" i="89" s="1"/>
  <c r="M18" i="89"/>
  <c r="F18" i="89"/>
  <c r="F70" i="89" s="1"/>
  <c r="G1" i="89"/>
  <c r="Y7" i="1"/>
  <c r="Y8" i="1"/>
  <c r="Y9" i="1"/>
  <c r="Y6" i="1"/>
  <c r="N20" i="1"/>
  <c r="L21" i="1"/>
  <c r="S15" i="88"/>
  <c r="G15" i="88"/>
  <c r="U15" i="88"/>
  <c r="U5" i="88"/>
  <c r="U6" i="88"/>
  <c r="U7" i="88"/>
  <c r="U8" i="88"/>
  <c r="U9" i="88"/>
  <c r="U10" i="88"/>
  <c r="U11" i="88"/>
  <c r="U12" i="88"/>
  <c r="U13" i="88"/>
  <c r="U14" i="88"/>
  <c r="U4" i="88"/>
  <c r="S14" i="88"/>
  <c r="K14" i="88"/>
  <c r="S13" i="88"/>
  <c r="K13" i="88"/>
  <c r="S9" i="88"/>
  <c r="S6" i="88"/>
  <c r="T4" i="88"/>
  <c r="L14" i="88"/>
  <c r="G43" i="87"/>
  <c r="R43" i="87"/>
  <c r="L43" i="87" s="1"/>
  <c r="L44" i="87" s="1"/>
  <c r="G42" i="87"/>
  <c r="R5" i="87"/>
  <c r="R6" i="87"/>
  <c r="R7" i="87"/>
  <c r="L41" i="87" s="1"/>
  <c r="R8" i="87"/>
  <c r="R9" i="87"/>
  <c r="R10" i="87"/>
  <c r="R11" i="87"/>
  <c r="R12" i="87"/>
  <c r="R13" i="87"/>
  <c r="R14" i="87"/>
  <c r="R15" i="87"/>
  <c r="R16" i="87"/>
  <c r="R17" i="87"/>
  <c r="R18" i="87"/>
  <c r="R19" i="87"/>
  <c r="R20" i="87"/>
  <c r="R21" i="87"/>
  <c r="R22" i="87"/>
  <c r="R23" i="87"/>
  <c r="R24" i="87"/>
  <c r="R25" i="87"/>
  <c r="R26" i="87"/>
  <c r="R27" i="87"/>
  <c r="R28" i="87"/>
  <c r="R29" i="87"/>
  <c r="R30" i="87"/>
  <c r="R31" i="87"/>
  <c r="R32" i="87"/>
  <c r="R33" i="87"/>
  <c r="R34" i="87"/>
  <c r="R35" i="87"/>
  <c r="R36" i="87"/>
  <c r="R37" i="87"/>
  <c r="R38" i="87"/>
  <c r="R39" i="87"/>
  <c r="R40" i="87"/>
  <c r="E17" i="88"/>
  <c r="T14" i="88"/>
  <c r="J14" i="88"/>
  <c r="O13" i="88"/>
  <c r="T13" i="88"/>
  <c r="J13" i="88"/>
  <c r="R12" i="88"/>
  <c r="O12" i="88"/>
  <c r="K12" i="88"/>
  <c r="T12" i="88" s="1"/>
  <c r="J12" i="88"/>
  <c r="R11" i="88"/>
  <c r="K11" i="88"/>
  <c r="T11" i="88" s="1"/>
  <c r="J11" i="88"/>
  <c r="T10" i="88"/>
  <c r="R10" i="88"/>
  <c r="O10" i="88"/>
  <c r="J10" i="88"/>
  <c r="T9" i="88"/>
  <c r="O9" i="88"/>
  <c r="J9" i="88"/>
  <c r="P8" i="88"/>
  <c r="S8" i="88" s="1"/>
  <c r="T8" i="88"/>
  <c r="J8" i="88"/>
  <c r="P7" i="88"/>
  <c r="T7" i="88"/>
  <c r="J7" i="88"/>
  <c r="T6" i="88"/>
  <c r="J6" i="88"/>
  <c r="T5" i="88"/>
  <c r="G5" i="88"/>
  <c r="E16" i="88" s="1"/>
  <c r="R4" i="88"/>
  <c r="O4" i="88"/>
  <c r="T18" i="88"/>
  <c r="T19" i="88" s="1"/>
  <c r="J4" i="88"/>
  <c r="E44" i="87"/>
  <c r="E43" i="87"/>
  <c r="E42" i="87"/>
  <c r="G41" i="87"/>
  <c r="Q40" i="87"/>
  <c r="P40" i="87"/>
  <c r="N40" i="87"/>
  <c r="K40" i="87"/>
  <c r="J40" i="87"/>
  <c r="P39" i="87"/>
  <c r="N39" i="87"/>
  <c r="K39" i="87"/>
  <c r="J39" i="87"/>
  <c r="Q38" i="87"/>
  <c r="P38" i="87"/>
  <c r="N38" i="87"/>
  <c r="K38" i="87"/>
  <c r="J38" i="87"/>
  <c r="P37" i="87"/>
  <c r="K37" i="87"/>
  <c r="J37" i="87"/>
  <c r="Q35" i="87"/>
  <c r="K35" i="87"/>
  <c r="J35" i="87"/>
  <c r="Q34" i="87"/>
  <c r="K34" i="87"/>
  <c r="J34" i="87"/>
  <c r="Q33" i="87"/>
  <c r="P33" i="87"/>
  <c r="K33" i="87"/>
  <c r="J33" i="87"/>
  <c r="Q32" i="87"/>
  <c r="P32" i="87"/>
  <c r="K32" i="87"/>
  <c r="J32" i="87"/>
  <c r="P31" i="87"/>
  <c r="K31" i="87"/>
  <c r="J31" i="87"/>
  <c r="P30" i="87"/>
  <c r="K30" i="87"/>
  <c r="J30" i="87"/>
  <c r="L29" i="87"/>
  <c r="K29" i="87" s="1"/>
  <c r="J29" i="87"/>
  <c r="Q28" i="87"/>
  <c r="P28" i="87"/>
  <c r="K28" i="87"/>
  <c r="Q27" i="87"/>
  <c r="K27" i="87"/>
  <c r="J27" i="87"/>
  <c r="M25" i="87"/>
  <c r="L25" i="87"/>
  <c r="K25" i="87" s="1"/>
  <c r="J25" i="87"/>
  <c r="Q24" i="87"/>
  <c r="P24" i="87"/>
  <c r="K24" i="87"/>
  <c r="J24" i="87"/>
  <c r="Q23" i="87"/>
  <c r="K23" i="87"/>
  <c r="J23" i="87"/>
  <c r="Q22" i="87"/>
  <c r="P22" i="87"/>
  <c r="K22" i="87"/>
  <c r="J22" i="87"/>
  <c r="Q19" i="87"/>
  <c r="K19" i="87"/>
  <c r="J19" i="87"/>
  <c r="Q18" i="87"/>
  <c r="P18" i="87"/>
  <c r="K18" i="87"/>
  <c r="J18" i="87"/>
  <c r="Q17" i="87"/>
  <c r="K17" i="87"/>
  <c r="J17" i="87"/>
  <c r="Q16" i="87"/>
  <c r="K16" i="87"/>
  <c r="J16" i="87"/>
  <c r="Q15" i="87"/>
  <c r="K15" i="87"/>
  <c r="J15" i="87"/>
  <c r="Q14" i="87"/>
  <c r="K14" i="87"/>
  <c r="J14" i="87"/>
  <c r="Q13" i="87"/>
  <c r="K13" i="87"/>
  <c r="J13" i="87"/>
  <c r="Q12" i="87"/>
  <c r="K12" i="87"/>
  <c r="J12" i="87"/>
  <c r="Q11" i="87"/>
  <c r="K11" i="87"/>
  <c r="J11" i="87"/>
  <c r="L10" i="87"/>
  <c r="K10" i="87" s="1"/>
  <c r="J10" i="87"/>
  <c r="Q9" i="87"/>
  <c r="K9" i="87"/>
  <c r="J9" i="87"/>
  <c r="Q8" i="87"/>
  <c r="K8" i="87"/>
  <c r="J8" i="87"/>
  <c r="P7" i="87"/>
  <c r="K7" i="87"/>
  <c r="J7" i="87"/>
  <c r="P6" i="87"/>
  <c r="K6" i="87"/>
  <c r="J6" i="87"/>
  <c r="Q5" i="87"/>
  <c r="K5" i="87"/>
  <c r="K4" i="87"/>
  <c r="J4" i="87"/>
  <c r="E47" i="86"/>
  <c r="E38" i="86"/>
  <c r="E37" i="86"/>
  <c r="E48" i="86" s="1"/>
  <c r="E49" i="86" s="1"/>
  <c r="E36" i="86"/>
  <c r="E43" i="86" s="1"/>
  <c r="G35" i="86"/>
  <c r="Q34" i="86"/>
  <c r="P34" i="86"/>
  <c r="K34" i="86"/>
  <c r="S34" i="86" s="1"/>
  <c r="J34" i="86"/>
  <c r="Q33" i="86"/>
  <c r="P33" i="86"/>
  <c r="K33" i="86"/>
  <c r="R33" i="86" s="1"/>
  <c r="J33" i="86"/>
  <c r="Q32" i="86"/>
  <c r="K32" i="86"/>
  <c r="S32" i="86" s="1"/>
  <c r="J32" i="86"/>
  <c r="R31" i="86"/>
  <c r="Q31" i="86"/>
  <c r="K31" i="86"/>
  <c r="S31" i="86" s="1"/>
  <c r="J31" i="86"/>
  <c r="Q30" i="86"/>
  <c r="P30" i="86"/>
  <c r="K30" i="86"/>
  <c r="R30" i="86" s="1"/>
  <c r="J30" i="86"/>
  <c r="Q29" i="86"/>
  <c r="P29" i="86"/>
  <c r="K29" i="86"/>
  <c r="S29" i="86" s="1"/>
  <c r="J29" i="86"/>
  <c r="S28" i="86"/>
  <c r="R28" i="86"/>
  <c r="Q28" i="86"/>
  <c r="K28" i="86"/>
  <c r="J28" i="86"/>
  <c r="Q27" i="86"/>
  <c r="K27" i="86"/>
  <c r="S27" i="86" s="1"/>
  <c r="J27" i="86"/>
  <c r="Q26" i="86"/>
  <c r="P26" i="86"/>
  <c r="K26" i="86"/>
  <c r="S26" i="86" s="1"/>
  <c r="J26" i="86"/>
  <c r="Q25" i="86"/>
  <c r="P25" i="86"/>
  <c r="K25" i="86"/>
  <c r="R25" i="86" s="1"/>
  <c r="J25" i="86"/>
  <c r="Q24" i="86"/>
  <c r="P24" i="86"/>
  <c r="K24" i="86"/>
  <c r="S24" i="86" s="1"/>
  <c r="J24" i="86"/>
  <c r="S23" i="86"/>
  <c r="R23" i="86"/>
  <c r="Q23" i="86"/>
  <c r="K23" i="86"/>
  <c r="S22" i="86"/>
  <c r="R22" i="86"/>
  <c r="Q22" i="86"/>
  <c r="K22" i="86"/>
  <c r="Q21" i="86"/>
  <c r="P21" i="86"/>
  <c r="K21" i="86"/>
  <c r="R21" i="86" s="1"/>
  <c r="J21" i="86"/>
  <c r="Q20" i="86"/>
  <c r="P20" i="86"/>
  <c r="K20" i="86"/>
  <c r="S20" i="86" s="1"/>
  <c r="J20" i="86"/>
  <c r="S19" i="86"/>
  <c r="Q18" i="86"/>
  <c r="P18" i="86"/>
  <c r="K18" i="86"/>
  <c r="S18" i="86" s="1"/>
  <c r="J18" i="86"/>
  <c r="R17" i="86"/>
  <c r="Q17" i="86"/>
  <c r="K17" i="86"/>
  <c r="S17" i="86" s="1"/>
  <c r="J17" i="86"/>
  <c r="Q16" i="86"/>
  <c r="P16" i="86"/>
  <c r="K16" i="86"/>
  <c r="R16" i="86" s="1"/>
  <c r="J16" i="86"/>
  <c r="Q15" i="86"/>
  <c r="P15" i="86"/>
  <c r="K15" i="86"/>
  <c r="S15" i="86" s="1"/>
  <c r="J15" i="86"/>
  <c r="S14" i="86"/>
  <c r="K14" i="86"/>
  <c r="J14" i="86"/>
  <c r="S13" i="86"/>
  <c r="S12" i="86"/>
  <c r="K12" i="86"/>
  <c r="J12" i="86"/>
  <c r="K11" i="86"/>
  <c r="S11" i="86" s="1"/>
  <c r="J11" i="86"/>
  <c r="Q10" i="86"/>
  <c r="P10" i="86"/>
  <c r="L10" i="86"/>
  <c r="K10" i="86" s="1"/>
  <c r="J10" i="86"/>
  <c r="S9" i="86"/>
  <c r="R9" i="86"/>
  <c r="Q9" i="86"/>
  <c r="P9" i="86"/>
  <c r="J9" i="86"/>
  <c r="Q8" i="86"/>
  <c r="K8" i="86"/>
  <c r="S8" i="86" s="1"/>
  <c r="J8" i="86"/>
  <c r="Q7" i="86"/>
  <c r="P7" i="86"/>
  <c r="L7" i="86"/>
  <c r="K7" i="86"/>
  <c r="S7" i="86" s="1"/>
  <c r="J7" i="86"/>
  <c r="Q6" i="86"/>
  <c r="P6" i="86"/>
  <c r="K6" i="86"/>
  <c r="S6" i="86" s="1"/>
  <c r="J6" i="86"/>
  <c r="S5" i="86"/>
  <c r="R5" i="86"/>
  <c r="Q5" i="86"/>
  <c r="Q35" i="86" s="1"/>
  <c r="L35" i="86" s="1"/>
  <c r="K5" i="86"/>
  <c r="J5" i="86"/>
  <c r="Q4" i="86"/>
  <c r="K4" i="86"/>
  <c r="S4" i="86" s="1"/>
  <c r="J4" i="86"/>
  <c r="C88" i="90"/>
  <c r="C88" i="89"/>
  <c r="Q82" i="90" l="1"/>
  <c r="E14" i="90"/>
  <c r="M14" i="90"/>
  <c r="P70" i="90"/>
  <c r="F14" i="90"/>
  <c r="Q82" i="89"/>
  <c r="E14" i="89"/>
  <c r="M14" i="89"/>
  <c r="P70" i="89"/>
  <c r="F14" i="89"/>
  <c r="S10" i="86"/>
  <c r="S35" i="86" s="1"/>
  <c r="R10" i="86"/>
  <c r="Q10" i="87"/>
  <c r="Q25" i="87"/>
  <c r="Q29" i="87"/>
  <c r="E18" i="88"/>
  <c r="R7" i="86"/>
  <c r="S16" i="86"/>
  <c r="S21" i="86"/>
  <c r="S25" i="86"/>
  <c r="S30" i="86"/>
  <c r="S33" i="86"/>
  <c r="R6" i="86"/>
  <c r="R8" i="86"/>
  <c r="R15" i="86"/>
  <c r="R20" i="86"/>
  <c r="R24" i="86"/>
  <c r="R26" i="86"/>
  <c r="R29" i="86"/>
  <c r="R32" i="86"/>
  <c r="R34" i="86"/>
  <c r="E42" i="86"/>
  <c r="E44" i="86" s="1"/>
  <c r="Q4" i="87"/>
  <c r="Q6" i="87"/>
  <c r="Q30" i="87"/>
  <c r="R4" i="86"/>
  <c r="R18" i="86"/>
  <c r="R27" i="86"/>
  <c r="Q7" i="87"/>
  <c r="Q31" i="87"/>
  <c r="Q37" i="87"/>
  <c r="Q39" i="87"/>
  <c r="G22" i="6"/>
  <c r="G21" i="6"/>
  <c r="G20" i="6"/>
  <c r="F20" i="6"/>
  <c r="F19" i="6"/>
  <c r="C22" i="6"/>
  <c r="C21" i="6"/>
  <c r="C20" i="6"/>
  <c r="C19" i="6"/>
  <c r="Q16" i="3"/>
  <c r="O15" i="3"/>
  <c r="M14" i="3"/>
  <c r="K14" i="3"/>
  <c r="I13" i="3"/>
  <c r="I31" i="84"/>
  <c r="F52" i="90"/>
  <c r="M31" i="90"/>
  <c r="M31" i="89"/>
  <c r="M22" i="89"/>
  <c r="M28" i="90"/>
  <c r="F6" i="89"/>
  <c r="M8" i="89"/>
  <c r="M36" i="90"/>
  <c r="M22" i="90"/>
  <c r="F7" i="89"/>
  <c r="F32" i="89"/>
  <c r="M26" i="90"/>
  <c r="F9" i="89"/>
  <c r="C71" i="89"/>
  <c r="M8" i="90"/>
  <c r="F52" i="89"/>
  <c r="F22" i="89"/>
  <c r="M6" i="90"/>
  <c r="F26" i="89"/>
  <c r="C36" i="89"/>
  <c r="F38" i="90"/>
  <c r="M9" i="90"/>
  <c r="M30" i="89"/>
  <c r="M29" i="89"/>
  <c r="F22" i="90"/>
  <c r="F24" i="89"/>
  <c r="F28" i="89"/>
  <c r="F24" i="90"/>
  <c r="L56" i="90"/>
  <c r="F38" i="89"/>
  <c r="M9" i="89"/>
  <c r="C71" i="90"/>
  <c r="F28" i="90"/>
  <c r="M28" i="89"/>
  <c r="F30" i="89"/>
  <c r="F48" i="90"/>
  <c r="F32" i="90"/>
  <c r="F8" i="89"/>
  <c r="F6" i="90"/>
  <c r="F30" i="90"/>
  <c r="M24" i="89"/>
  <c r="F48" i="89"/>
  <c r="F26" i="90"/>
  <c r="M29" i="90"/>
  <c r="M26" i="89"/>
  <c r="F8" i="90"/>
  <c r="M30" i="90"/>
  <c r="M6" i="89"/>
  <c r="C36" i="90"/>
  <c r="M24" i="90"/>
  <c r="M36" i="89"/>
  <c r="L56" i="89"/>
  <c r="F7" i="90"/>
  <c r="L57" i="90"/>
  <c r="L57" i="89"/>
  <c r="F9" i="90"/>
  <c r="L65" i="90" l="1"/>
  <c r="L66" i="90"/>
  <c r="I63" i="90"/>
  <c r="J62" i="90"/>
  <c r="J66" i="90"/>
  <c r="J64" i="90" s="1"/>
  <c r="J67" i="90" s="1"/>
  <c r="Q59" i="90" s="1"/>
  <c r="L69" i="90"/>
  <c r="F84" i="90"/>
  <c r="L68" i="90"/>
  <c r="M68" i="90"/>
  <c r="N68" i="90"/>
  <c r="L67" i="90"/>
  <c r="F80" i="90"/>
  <c r="F75" i="90"/>
  <c r="F59" i="90"/>
  <c r="M7" i="90"/>
  <c r="J7" i="90" s="1"/>
  <c r="C49" i="90"/>
  <c r="F60" i="90"/>
  <c r="F78" i="90"/>
  <c r="F77" i="90"/>
  <c r="C7" i="90"/>
  <c r="C40" i="90"/>
  <c r="C41" i="90"/>
  <c r="C37" i="90"/>
  <c r="E66" i="90"/>
  <c r="L14" i="90"/>
  <c r="F84" i="89"/>
  <c r="C49" i="89"/>
  <c r="L68" i="89"/>
  <c r="M68" i="89"/>
  <c r="N68" i="89"/>
  <c r="L67" i="89"/>
  <c r="F75" i="89"/>
  <c r="F80" i="89"/>
  <c r="C40" i="89"/>
  <c r="C37" i="89"/>
  <c r="C41" i="89"/>
  <c r="L65" i="89"/>
  <c r="L66" i="89"/>
  <c r="L69" i="89"/>
  <c r="I63" i="89"/>
  <c r="J62" i="89"/>
  <c r="J66" i="89"/>
  <c r="J64" i="89" s="1"/>
  <c r="J67" i="89" s="1"/>
  <c r="Q59" i="89" s="1"/>
  <c r="F60" i="89"/>
  <c r="F59" i="89"/>
  <c r="M7" i="89"/>
  <c r="J7" i="89" s="1"/>
  <c r="F77" i="89"/>
  <c r="C7" i="89"/>
  <c r="F78" i="89"/>
  <c r="E66" i="89"/>
  <c r="L14" i="89"/>
  <c r="S37" i="86"/>
  <c r="Q41" i="87"/>
  <c r="K41" i="87" s="1"/>
  <c r="R35" i="86"/>
  <c r="K35" i="86" s="1"/>
  <c r="C38" i="90"/>
  <c r="C38" i="89"/>
  <c r="C39" i="89"/>
  <c r="C39" i="90"/>
  <c r="C35" i="90" l="1"/>
  <c r="J9" i="90"/>
  <c r="J6" i="90" s="1"/>
  <c r="Q70" i="90"/>
  <c r="Q85" i="90"/>
  <c r="Q69" i="90"/>
  <c r="Q84" i="90"/>
  <c r="F1" i="90"/>
  <c r="Q61" i="90"/>
  <c r="C9" i="90"/>
  <c r="C6" i="90" s="1"/>
  <c r="C59" i="90"/>
  <c r="Q75" i="90"/>
  <c r="Q66" i="90"/>
  <c r="C59" i="89"/>
  <c r="C61" i="89" s="1"/>
  <c r="C58" i="89" s="1"/>
  <c r="C35" i="89"/>
  <c r="J9" i="89"/>
  <c r="J6" i="89" s="1"/>
  <c r="F1" i="89"/>
  <c r="Q61" i="89"/>
  <c r="Q70" i="89"/>
  <c r="Q85" i="89"/>
  <c r="Q69" i="89"/>
  <c r="Q84" i="89"/>
  <c r="C9" i="89"/>
  <c r="C6" i="89" s="1"/>
  <c r="Q75" i="89"/>
  <c r="Q66" i="89"/>
  <c r="J16" i="90" l="1"/>
  <c r="C16" i="90"/>
  <c r="C19" i="90"/>
  <c r="C61" i="90"/>
  <c r="C58" i="90" s="1"/>
  <c r="C42" i="90"/>
  <c r="C48" i="90" s="1"/>
  <c r="C47" i="90" s="1"/>
  <c r="C68" i="89"/>
  <c r="C16" i="89"/>
  <c r="C19" i="89"/>
  <c r="J16" i="89"/>
  <c r="C42" i="89"/>
  <c r="C48" i="89" s="1"/>
  <c r="C47" i="89" s="1"/>
  <c r="C68" i="90"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40" i="79"/>
  <c r="AG40" i="79" s="1"/>
  <c r="S42" i="79"/>
  <c r="AG42" i="79" s="1"/>
  <c r="S38" i="79"/>
  <c r="AG38" i="79" s="1"/>
  <c r="S39" i="79"/>
  <c r="AG39" i="79" s="1"/>
  <c r="S37" i="79"/>
  <c r="AG37" i="79" s="1"/>
  <c r="S43" i="79"/>
  <c r="AG43" i="79" s="1"/>
  <c r="AA35" i="79"/>
  <c r="AD35" i="79" s="1"/>
  <c r="T48" i="79"/>
  <c r="U54" i="79"/>
  <c r="AI54" i="79" s="1"/>
  <c r="AD55" i="79"/>
  <c r="S56" i="79"/>
  <c r="AG56" i="79" s="1"/>
  <c r="U58" i="79"/>
  <c r="AI58" i="79" s="1"/>
  <c r="AD59" i="79"/>
  <c r="T38" i="79"/>
  <c r="T42" i="79"/>
  <c r="T40" i="79"/>
  <c r="T41" i="79"/>
  <c r="T39" i="79"/>
  <c r="T37" i="79"/>
  <c r="T43" i="79"/>
  <c r="AD45" i="79"/>
  <c r="AD46" i="79"/>
  <c r="AD44" i="79"/>
  <c r="AD42" i="79"/>
  <c r="AD43" i="79"/>
  <c r="AR48" i="79"/>
  <c r="AR49" i="79" s="1"/>
  <c r="AR50" i="79" s="1"/>
  <c r="AR51" i="79" s="1"/>
  <c r="AR52" i="79" s="1"/>
  <c r="AR53" i="79" s="1"/>
  <c r="AR54" i="79" s="1"/>
  <c r="AR55" i="79" s="1"/>
  <c r="AR56" i="79" s="1"/>
  <c r="AR57" i="79" s="1"/>
  <c r="AR58" i="79" s="1"/>
  <c r="AR59" i="79" s="1"/>
  <c r="AR60" i="79" s="1"/>
  <c r="U41" i="79"/>
  <c r="AI41" i="79" s="1"/>
  <c r="U38" i="79"/>
  <c r="AI38" i="79" s="1"/>
  <c r="U42" i="79"/>
  <c r="AI42" i="79" s="1"/>
  <c r="U40" i="79"/>
  <c r="AI40"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38" i="79"/>
  <c r="AK38" i="79" s="1"/>
  <c r="AH38" i="79"/>
  <c r="W41" i="79"/>
  <c r="AK41" i="79" s="1"/>
  <c r="AH41" i="79"/>
  <c r="W43" i="79"/>
  <c r="AK43" i="79" s="1"/>
  <c r="AH43" i="79"/>
  <c r="W40" i="79"/>
  <c r="AK40" i="79" s="1"/>
  <c r="AH40" i="79"/>
  <c r="AH37" i="79"/>
  <c r="W37" i="79"/>
  <c r="AK37"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J15" i="40" s="1"/>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B131" i="34"/>
  <c r="B129" i="34"/>
  <c r="B127" i="34"/>
  <c r="F45" i="34" s="1"/>
  <c r="B99" i="34"/>
  <c r="J32" i="34" s="1"/>
  <c r="W32" i="34" s="1"/>
  <c r="B97" i="34"/>
  <c r="B95" i="34"/>
  <c r="B93" i="34"/>
  <c r="B75" i="34"/>
  <c r="H14" i="34" s="1"/>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s="1"/>
  <c r="F86" i="34" s="1"/>
  <c r="G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J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7" i="39"/>
  <c r="S47" i="39" s="1"/>
  <c r="J47" i="39"/>
  <c r="W47" i="39" s="1"/>
  <c r="F38" i="39"/>
  <c r="S38" i="39" s="1"/>
  <c r="F37" i="39"/>
  <c r="AA37" i="39"/>
  <c r="W25" i="37"/>
  <c r="U30" i="37"/>
  <c r="F39" i="37"/>
  <c r="S39" i="37" s="1"/>
  <c r="F29" i="36"/>
  <c r="AA29" i="36" s="1"/>
  <c r="F16" i="36"/>
  <c r="AA16" i="36" s="1"/>
  <c r="W28" i="36"/>
  <c r="U31" i="36"/>
  <c r="J33" i="36"/>
  <c r="AC33" i="36" s="1"/>
  <c r="H22" i="35"/>
  <c r="AB22" i="35"/>
  <c r="AC27" i="35"/>
  <c r="U31" i="35"/>
  <c r="S31" i="35"/>
  <c r="F36" i="34"/>
  <c r="J35" i="34"/>
  <c r="W35" i="34" s="1"/>
  <c r="H39" i="33"/>
  <c r="AB39" i="33"/>
  <c r="F26" i="33"/>
  <c r="U35" i="33"/>
  <c r="S40" i="33"/>
  <c r="W39" i="33"/>
  <c r="H39" i="37"/>
  <c r="AB39" i="37"/>
  <c r="F13" i="40"/>
  <c r="AA13" i="40" s="1"/>
  <c r="H13" i="40"/>
  <c r="AB13" i="40" s="1"/>
  <c r="W10" i="40"/>
  <c r="AB41" i="40"/>
  <c r="U11" i="40"/>
  <c r="S36" i="40"/>
  <c r="U40" i="40"/>
  <c r="W33" i="40"/>
  <c r="U36" i="40"/>
  <c r="S40" i="40"/>
  <c r="F44" i="39"/>
  <c r="AA44" i="39" s="1"/>
  <c r="F43" i="39"/>
  <c r="S43" i="39" s="1"/>
  <c r="H42" i="39"/>
  <c r="AB42" i="39" s="1"/>
  <c r="H41" i="39"/>
  <c r="U41"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H13" i="39"/>
  <c r="AB13" i="39" s="1"/>
  <c r="H32" i="33"/>
  <c r="AB32" i="33"/>
  <c r="H11" i="21"/>
  <c r="U11" i="21" s="1"/>
  <c r="J11" i="21"/>
  <c r="W11" i="21" s="1"/>
  <c r="H39" i="40"/>
  <c r="U39" i="40" s="1"/>
  <c r="H38" i="40"/>
  <c r="AB38" i="40" s="1"/>
  <c r="F37" i="40"/>
  <c r="AA37" i="40"/>
  <c r="H25" i="40"/>
  <c r="AB25" i="40" s="1"/>
  <c r="H19" i="40"/>
  <c r="U19" i="40" s="1"/>
  <c r="J17" i="40"/>
  <c r="W17" i="40" s="1"/>
  <c r="J13" i="40"/>
  <c r="AB10" i="39"/>
  <c r="AC12" i="34"/>
  <c r="F39" i="39"/>
  <c r="AA39" i="39" s="1"/>
  <c r="J34" i="36"/>
  <c r="W34" i="36" s="1"/>
  <c r="U30" i="36"/>
  <c r="J30" i="35"/>
  <c r="W30" i="35" s="1"/>
  <c r="H30" i="35"/>
  <c r="AB30" i="35" s="1"/>
  <c r="F22" i="35"/>
  <c r="AA22" i="35"/>
  <c r="H10" i="35"/>
  <c r="U10" i="35" s="1"/>
  <c r="F33" i="36"/>
  <c r="AA33" i="36" s="1"/>
  <c r="W30" i="36"/>
  <c r="H16" i="36"/>
  <c r="AB16" i="36"/>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H36" i="34"/>
  <c r="U36" i="34" s="1"/>
  <c r="F37" i="34"/>
  <c r="AA37" i="34" s="1"/>
  <c r="F25" i="34"/>
  <c r="S25" i="34" s="1"/>
  <c r="H23" i="34"/>
  <c r="U23" i="34" s="1"/>
  <c r="J23" i="34"/>
  <c r="AC23" i="34" s="1"/>
  <c r="H17" i="34"/>
  <c r="U17" i="34" s="1"/>
  <c r="W8" i="34"/>
  <c r="F41" i="33"/>
  <c r="AA41" i="33"/>
  <c r="S38" i="33"/>
  <c r="E113" i="33"/>
  <c r="F32" i="33"/>
  <c r="AA32" i="33"/>
  <c r="J19" i="33"/>
  <c r="AC19" i="33"/>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I123" i="21"/>
  <c r="J123" i="21" s="1"/>
  <c r="K123" i="21" s="1"/>
  <c r="L123" i="21" s="1"/>
  <c r="M123" i="21" s="1"/>
  <c r="J42" i="21"/>
  <c r="AC42" i="21"/>
  <c r="H42" i="21"/>
  <c r="U42" i="21" s="1"/>
  <c r="J44" i="34"/>
  <c r="W44" i="34" s="1"/>
  <c r="F44" i="34"/>
  <c r="AA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H29" i="33"/>
  <c r="U29" i="33" s="1"/>
  <c r="J31" i="33"/>
  <c r="W31" i="33"/>
  <c r="H31" i="33"/>
  <c r="F31" i="33"/>
  <c r="J45" i="33"/>
  <c r="W45" i="33" s="1"/>
  <c r="J14" i="34"/>
  <c r="W14" i="34" s="1"/>
  <c r="F14" i="34"/>
  <c r="S14" i="34" s="1"/>
  <c r="H30" i="34"/>
  <c r="F30" i="34"/>
  <c r="S30" i="34" s="1"/>
  <c r="J30" i="34"/>
  <c r="H32" i="34"/>
  <c r="F32" i="34"/>
  <c r="H46" i="34"/>
  <c r="U46" i="34" s="1"/>
  <c r="F46" i="34"/>
  <c r="AA46" i="34" s="1"/>
  <c r="J46" i="34"/>
  <c r="W46" i="34" s="1"/>
  <c r="H11" i="35"/>
  <c r="AB11" i="35" s="1"/>
  <c r="J11" i="35"/>
  <c r="W11" i="35" s="1"/>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4" i="40"/>
  <c r="W14" i="40"/>
  <c r="H14" i="33"/>
  <c r="U14" i="33" s="1"/>
  <c r="F14" i="33"/>
  <c r="AA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c r="J38" i="37"/>
  <c r="AC38" i="37" s="1"/>
  <c r="F38" i="37"/>
  <c r="S38" i="37" s="1"/>
  <c r="F45" i="39"/>
  <c r="AA45" i="39" s="1"/>
  <c r="J16" i="39"/>
  <c r="AC16" i="39" s="1"/>
  <c r="F16" i="39"/>
  <c r="H16" i="39"/>
  <c r="AB16" i="39" s="1"/>
  <c r="F14" i="40"/>
  <c r="S14" i="40"/>
  <c r="H14" i="40"/>
  <c r="AB14" i="40" s="1"/>
  <c r="H32" i="40"/>
  <c r="AB32" i="40"/>
  <c r="F35" i="40"/>
  <c r="AA35" i="40" s="1"/>
  <c r="H35" i="40"/>
  <c r="U35" i="40"/>
  <c r="J37" i="40"/>
  <c r="AC37" i="40" s="1"/>
  <c r="J39" i="40"/>
  <c r="AC39" i="40"/>
  <c r="H15" i="40"/>
  <c r="U15" i="40" s="1"/>
  <c r="W15" i="40"/>
  <c r="F15" i="40"/>
  <c r="AA15" i="40"/>
  <c r="F14" i="37"/>
  <c r="S14" i="37"/>
  <c r="F27" i="37"/>
  <c r="AA27" i="37"/>
  <c r="F15" i="39"/>
  <c r="J15" i="39"/>
  <c r="W15" i="39" s="1"/>
  <c r="H15" i="39"/>
  <c r="H16" i="40"/>
  <c r="U16" i="40" s="1"/>
  <c r="J16" i="40"/>
  <c r="W16" i="40" s="1"/>
  <c r="F16" i="40"/>
  <c r="AA16" i="40" s="1"/>
  <c r="J14" i="37"/>
  <c r="AA44" i="33"/>
  <c r="U46" i="33"/>
  <c r="J36" i="37"/>
  <c r="AC36" i="37" s="1"/>
  <c r="J10" i="36"/>
  <c r="AC10" i="36" s="1"/>
  <c r="AB26" i="33"/>
  <c r="AB30" i="21"/>
  <c r="AA14" i="37"/>
  <c r="W31" i="34"/>
  <c r="S11" i="36"/>
  <c r="AC28" i="21"/>
  <c r="BA586" i="3"/>
  <c r="F17" i="21"/>
  <c r="AA17" i="21" s="1"/>
  <c r="H17" i="21"/>
  <c r="AB17" i="21" s="1"/>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78" i="3"/>
  <c r="BA576" i="3"/>
  <c r="AZ576" i="3" s="1"/>
  <c r="BA574" i="3"/>
  <c r="BA572" i="3"/>
  <c r="AZ572" i="3" s="1"/>
  <c r="BA570" i="3"/>
  <c r="BA568" i="3"/>
  <c r="AZ568" i="3" s="1"/>
  <c r="BA566" i="3"/>
  <c r="AZ566" i="3" s="1"/>
  <c r="BA564" i="3"/>
  <c r="BA562" i="3"/>
  <c r="BA560" i="3"/>
  <c r="AZ560" i="3" s="1"/>
  <c r="BA558" i="3"/>
  <c r="BA556" i="3"/>
  <c r="AZ556" i="3" s="1"/>
  <c r="BA554" i="3"/>
  <c r="AZ554" i="3" s="1"/>
  <c r="BA552" i="3"/>
  <c r="AZ552" i="3"/>
  <c r="BA548" i="3"/>
  <c r="BA546" i="3"/>
  <c r="BA544" i="3"/>
  <c r="AZ544" i="3"/>
  <c r="BA542" i="3"/>
  <c r="BA540" i="3"/>
  <c r="BA538" i="3"/>
  <c r="AZ538" i="3" s="1"/>
  <c r="BA536" i="3"/>
  <c r="AZ536" i="3" s="1"/>
  <c r="BA534" i="3"/>
  <c r="AZ534" i="3" s="1"/>
  <c r="BA532" i="3"/>
  <c r="AZ532" i="3" s="1"/>
  <c r="BA530" i="3"/>
  <c r="BA528" i="3"/>
  <c r="AZ528" i="3" s="1"/>
  <c r="BA526" i="3"/>
  <c r="BA524" i="3"/>
  <c r="AZ524" i="3" s="1"/>
  <c r="BA522" i="3"/>
  <c r="BA520" i="3"/>
  <c r="BA518" i="3"/>
  <c r="BA516" i="3"/>
  <c r="AZ516" i="3" s="1"/>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499" i="3"/>
  <c r="AZ509" i="3"/>
  <c r="G509" i="3"/>
  <c r="BL493" i="3"/>
  <c r="AZ493" i="3"/>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133" i="3"/>
  <c r="AZ74" i="3"/>
  <c r="F25" i="39"/>
  <c r="AA25" i="39" s="1"/>
  <c r="H27" i="36"/>
  <c r="U27" i="36" s="1"/>
  <c r="F27" i="36"/>
  <c r="AA27" i="36" s="1"/>
  <c r="H33" i="34"/>
  <c r="U33" i="34" s="1"/>
  <c r="F32" i="37"/>
  <c r="AA32" i="37"/>
  <c r="F20" i="36"/>
  <c r="AA20" i="36" s="1"/>
  <c r="J33" i="34"/>
  <c r="AC33" i="34" s="1"/>
  <c r="H25" i="39"/>
  <c r="U25" i="39" s="1"/>
  <c r="K9" i="1"/>
  <c r="M9" i="1" s="1"/>
  <c r="K6" i="1"/>
  <c r="AC26" i="33"/>
  <c r="W26" i="33"/>
  <c r="W27" i="34"/>
  <c r="AC27" i="34"/>
  <c r="AB34" i="36"/>
  <c r="U34" i="36"/>
  <c r="AB33" i="36"/>
  <c r="U33" i="36"/>
  <c r="AC14" i="39"/>
  <c r="W14" i="39"/>
  <c r="AC41" i="40"/>
  <c r="W41" i="40"/>
  <c r="AZ433" i="3"/>
  <c r="AZ586" i="3"/>
  <c r="W12" i="33"/>
  <c r="AC12" i="33"/>
  <c r="AZ437" i="3"/>
  <c r="AZ473" i="3"/>
  <c r="BL14" i="3"/>
  <c r="U30" i="33"/>
  <c r="AC13" i="34"/>
  <c r="AA47" i="34"/>
  <c r="W28" i="37"/>
  <c r="S21" i="39"/>
  <c r="F12" i="33"/>
  <c r="H14" i="39"/>
  <c r="AB14" i="39"/>
  <c r="F41" i="40"/>
  <c r="AA41" i="40" s="1"/>
  <c r="BA14" i="3"/>
  <c r="AZ367"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S23" i="36"/>
  <c r="U26" i="36"/>
  <c r="S33" i="36"/>
  <c r="AA26"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25" i="34"/>
  <c r="U28" i="34"/>
  <c r="AA29" i="34"/>
  <c r="U27"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W19" i="39"/>
  <c r="AC19" i="39"/>
  <c r="S25" i="39"/>
  <c r="AA47" i="39"/>
  <c r="W36" i="39"/>
  <c r="U40" i="39"/>
  <c r="S10" i="39"/>
  <c r="S20" i="36"/>
  <c r="AC25" i="36"/>
  <c r="W29" i="36"/>
  <c r="AC20" i="36"/>
  <c r="U25" i="36"/>
  <c r="AB28"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U25" i="34"/>
  <c r="AC14" i="34"/>
  <c r="AC32" i="34"/>
  <c r="AC29" i="34"/>
  <c r="W29" i="34"/>
  <c r="S32" i="34"/>
  <c r="AA32" i="34"/>
  <c r="U30" i="34"/>
  <c r="AB30" i="34"/>
  <c r="U38" i="34"/>
  <c r="AC40" i="34"/>
  <c r="W40" i="34"/>
  <c r="AA36" i="34"/>
  <c r="S36" i="34"/>
  <c r="AA8" i="34"/>
  <c r="S8"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U32" i="40"/>
  <c r="B56" i="43"/>
  <c r="B67" i="43"/>
  <c r="B54" i="43"/>
  <c r="B58"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AA19" i="33"/>
  <c r="H19" i="33"/>
  <c r="AB19" i="33" s="1"/>
  <c r="G81" i="33"/>
  <c r="H17" i="33"/>
  <c r="U17" i="33" s="1"/>
  <c r="F17" i="33"/>
  <c r="S17" i="33" s="1"/>
  <c r="W17" i="33"/>
  <c r="AC17" i="33"/>
  <c r="S37" i="21"/>
  <c r="AA23" i="21"/>
  <c r="AB15" i="21"/>
  <c r="J23" i="21"/>
  <c r="F85" i="21"/>
  <c r="G85" i="21" s="1"/>
  <c r="H23" i="21"/>
  <c r="S13" i="21"/>
  <c r="AP7" i="1"/>
  <c r="AB45" i="21"/>
  <c r="AB9" i="21"/>
  <c r="U9" i="21"/>
  <c r="S32" i="21"/>
  <c r="AB32" i="21"/>
  <c r="U32" i="21"/>
  <c r="W34" i="39"/>
  <c r="W23" i="37"/>
  <c r="AC23" i="37"/>
  <c r="J11" i="37"/>
  <c r="AC11" i="37" s="1"/>
  <c r="J11" i="34"/>
  <c r="W11" i="34" s="1"/>
  <c r="W27" i="33"/>
  <c r="W25" i="33"/>
  <c r="AA17" i="33"/>
  <c r="U23" i="21"/>
  <c r="AB23" i="21"/>
  <c r="AC23" i="21"/>
  <c r="W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8" i="15"/>
  <c r="M26" i="67"/>
  <c r="F4" i="73"/>
  <c r="M8" i="67"/>
  <c r="F42" i="67"/>
  <c r="B8" i="76"/>
  <c r="M31" i="15"/>
  <c r="F7" i="67"/>
  <c r="F52" i="15"/>
  <c r="M28" i="67"/>
  <c r="F38" i="15"/>
  <c r="AO13" i="1"/>
  <c r="F8" i="67"/>
  <c r="C88" i="15"/>
  <c r="B10" i="76"/>
  <c r="L56" i="15"/>
  <c r="F43" i="67"/>
  <c r="F9" i="67"/>
  <c r="F26" i="67"/>
  <c r="M22" i="67"/>
  <c r="E9" i="76"/>
  <c r="F32" i="15"/>
  <c r="E7" i="76"/>
  <c r="E12" i="76"/>
  <c r="M9" i="15"/>
  <c r="F16" i="67"/>
  <c r="F8" i="15"/>
  <c r="M6" i="67"/>
  <c r="F13" i="67"/>
  <c r="F26" i="15"/>
  <c r="M36" i="15"/>
  <c r="F40" i="67"/>
  <c r="F22" i="15"/>
  <c r="F30" i="15"/>
  <c r="F6" i="15"/>
  <c r="M23" i="67"/>
  <c r="F7" i="15"/>
  <c r="E13" i="76"/>
  <c r="B11" i="76"/>
  <c r="M24" i="15"/>
  <c r="D6" i="73"/>
  <c r="F5" i="73"/>
  <c r="M26" i="15"/>
  <c r="F36" i="67"/>
  <c r="F6" i="67"/>
  <c r="B9" i="76"/>
  <c r="B12" i="76"/>
  <c r="M22" i="15"/>
  <c r="M30" i="15"/>
  <c r="J15" i="67"/>
  <c r="L47" i="67"/>
  <c r="M28" i="15"/>
  <c r="E8" i="76"/>
  <c r="M29" i="67"/>
  <c r="C76" i="67"/>
  <c r="F9" i="15"/>
  <c r="M24" i="67"/>
  <c r="B7" i="76"/>
  <c r="B13" i="76"/>
  <c r="F7" i="73"/>
  <c r="M6" i="15"/>
  <c r="F3" i="73"/>
  <c r="M9" i="67"/>
  <c r="F38" i="67"/>
  <c r="M8" i="15"/>
  <c r="E10" i="76"/>
  <c r="F37" i="67"/>
  <c r="E11" i="76"/>
  <c r="E2" i="69"/>
  <c r="F28" i="15"/>
  <c r="F24" i="15"/>
  <c r="F20" i="31"/>
  <c r="C71" i="15"/>
  <c r="F6" i="73"/>
  <c r="F78" i="34" l="1"/>
  <c r="G78" i="34" s="1"/>
  <c r="J15" i="34"/>
  <c r="H15" i="34"/>
  <c r="F15" i="34"/>
  <c r="AA15" i="34" s="1"/>
  <c r="AB33" i="34"/>
  <c r="S46" i="34"/>
  <c r="F82" i="34"/>
  <c r="G82" i="34" s="1"/>
  <c r="H19" i="34"/>
  <c r="AB19" i="34" s="1"/>
  <c r="F19" i="34"/>
  <c r="J19" i="34"/>
  <c r="AC19" i="34" s="1"/>
  <c r="AC44" i="34"/>
  <c r="U39" i="34"/>
  <c r="W23" i="34"/>
  <c r="W19" i="34"/>
  <c r="W33" i="34"/>
  <c r="AC35" i="34"/>
  <c r="S35" i="34"/>
  <c r="AC36" i="34"/>
  <c r="AC39" i="34"/>
  <c r="AB36" i="34"/>
  <c r="AB35" i="34"/>
  <c r="AC46" i="34"/>
  <c r="AB46" i="34"/>
  <c r="W43" i="34"/>
  <c r="U43" i="34"/>
  <c r="S45" i="34"/>
  <c r="AA45" i="34"/>
  <c r="J45" i="34"/>
  <c r="AB45" i="34"/>
  <c r="S23" i="34"/>
  <c r="S17" i="34"/>
  <c r="AC17" i="34"/>
  <c r="AA33" i="34"/>
  <c r="S44" i="34"/>
  <c r="S43" i="34"/>
  <c r="S21" i="34"/>
  <c r="J9" i="34"/>
  <c r="AC9" i="34" s="1"/>
  <c r="C23" i="40"/>
  <c r="B51" i="43"/>
  <c r="B62" i="43"/>
  <c r="C17" i="39"/>
  <c r="C31" i="39"/>
  <c r="B57" i="43"/>
  <c r="AB34" i="35"/>
  <c r="U34" i="35"/>
  <c r="D22" i="71"/>
  <c r="U19" i="33"/>
  <c r="W35" i="33"/>
  <c r="AB34" i="33"/>
  <c r="AB20" i="36"/>
  <c r="AZ311" i="3"/>
  <c r="AZ364" i="3"/>
  <c r="AZ329" i="3"/>
  <c r="AZ306" i="3"/>
  <c r="AZ577" i="3"/>
  <c r="AZ513" i="3"/>
  <c r="AZ575" i="3"/>
  <c r="AZ570" i="3"/>
  <c r="AZ502" i="3"/>
  <c r="AC11" i="35"/>
  <c r="AB17" i="34"/>
  <c r="BL587" i="3"/>
  <c r="AZ587" i="3" s="1"/>
  <c r="BA585" i="3"/>
  <c r="B101" i="43"/>
  <c r="B79" i="43"/>
  <c r="C27" i="39"/>
  <c r="J23" i="35"/>
  <c r="H23" i="35"/>
  <c r="AC22" i="35"/>
  <c r="W22" i="35"/>
  <c r="F13" i="36"/>
  <c r="H13" i="36"/>
  <c r="F32" i="36"/>
  <c r="H32" i="36"/>
  <c r="J32" i="36"/>
  <c r="W32" i="36" s="1"/>
  <c r="AC34" i="40"/>
  <c r="W34" i="40"/>
  <c r="BA580" i="3"/>
  <c r="AZ580" i="3" s="1"/>
  <c r="BL574" i="3"/>
  <c r="W13" i="40"/>
  <c r="AC13" i="40"/>
  <c r="AA28" i="34"/>
  <c r="S28" i="34"/>
  <c r="F29" i="33"/>
  <c r="J29" i="33"/>
  <c r="F45" i="33"/>
  <c r="H45" i="33"/>
  <c r="F12" i="35"/>
  <c r="J12" i="35"/>
  <c r="AC31" i="37"/>
  <c r="W31" i="37"/>
  <c r="H38" i="39"/>
  <c r="J38" i="39"/>
  <c r="AC38" i="39" s="1"/>
  <c r="G582" i="3"/>
  <c r="U34" i="39"/>
  <c r="W9" i="21"/>
  <c r="AA40" i="34"/>
  <c r="S20" i="35"/>
  <c r="G29" i="6"/>
  <c r="AZ379" i="3"/>
  <c r="AZ322" i="3"/>
  <c r="AZ372" i="3"/>
  <c r="AZ347" i="3"/>
  <c r="AZ337" i="3"/>
  <c r="AZ376" i="3"/>
  <c r="AZ309" i="3"/>
  <c r="AZ515" i="3"/>
  <c r="AZ523" i="3"/>
  <c r="AZ547" i="3"/>
  <c r="AZ569" i="3"/>
  <c r="AZ571" i="3"/>
  <c r="AZ579" i="3"/>
  <c r="AZ558" i="3"/>
  <c r="AZ574" i="3"/>
  <c r="AA14" i="34"/>
  <c r="S14" i="33"/>
  <c r="AB23" i="34"/>
  <c r="AA26" i="33"/>
  <c r="S26" i="33"/>
  <c r="AB33" i="33"/>
  <c r="U33" i="33"/>
  <c r="H12" i="35"/>
  <c r="AC28" i="35"/>
  <c r="W28" i="35"/>
  <c r="H27" i="37"/>
  <c r="J27" i="37"/>
  <c r="AZ345" i="3"/>
  <c r="AZ505" i="3"/>
  <c r="AZ525" i="3"/>
  <c r="AZ529" i="3"/>
  <c r="AZ537" i="3"/>
  <c r="AZ518" i="3"/>
  <c r="AZ526" i="3"/>
  <c r="J9" i="33"/>
  <c r="H9" i="33"/>
  <c r="F9" i="33"/>
  <c r="AA9" i="33" s="1"/>
  <c r="AB34" i="34"/>
  <c r="U34" i="34"/>
  <c r="J9" i="36"/>
  <c r="H33" i="39"/>
  <c r="F33" i="39"/>
  <c r="J33" i="39"/>
  <c r="J45" i="39"/>
  <c r="H45" i="39"/>
  <c r="S11" i="40"/>
  <c r="AA11" i="40"/>
  <c r="AZ458" i="3"/>
  <c r="AZ462" i="3"/>
  <c r="G587" i="3"/>
  <c r="G574" i="3"/>
  <c r="BL16" i="3"/>
  <c r="AZ16" i="3" s="1"/>
  <c r="G398" i="3"/>
  <c r="BL400" i="3"/>
  <c r="BL408" i="3"/>
  <c r="AZ408" i="3" s="1"/>
  <c r="BL411" i="3"/>
  <c r="BL413" i="3"/>
  <c r="AZ413" i="3" s="1"/>
  <c r="G415" i="3"/>
  <c r="BL417" i="3"/>
  <c r="AZ417" i="3" s="1"/>
  <c r="BL418" i="3"/>
  <c r="BL420" i="3"/>
  <c r="G422" i="3"/>
  <c r="BL424" i="3"/>
  <c r="G426" i="3"/>
  <c r="G427" i="3"/>
  <c r="BL428" i="3"/>
  <c r="BL429" i="3"/>
  <c r="BL432" i="3"/>
  <c r="BL435" i="3"/>
  <c r="BL436" i="3"/>
  <c r="BA439" i="3"/>
  <c r="BA440" i="3"/>
  <c r="AZ440" i="3" s="1"/>
  <c r="BA442" i="3"/>
  <c r="BA445" i="3"/>
  <c r="BA447" i="3"/>
  <c r="AZ447" i="3" s="1"/>
  <c r="BA449" i="3"/>
  <c r="BL453" i="3"/>
  <c r="BL454" i="3"/>
  <c r="BL459" i="3"/>
  <c r="G461" i="3"/>
  <c r="BA465" i="3"/>
  <c r="AZ465" i="3" s="1"/>
  <c r="BL469" i="3"/>
  <c r="BL476" i="3"/>
  <c r="AZ476" i="3" s="1"/>
  <c r="S36" i="39"/>
  <c r="U11" i="39"/>
  <c r="J46" i="39"/>
  <c r="BL585" i="3"/>
  <c r="BA551" i="3"/>
  <c r="AZ551" i="3" s="1"/>
  <c r="BA550" i="3"/>
  <c r="BL548" i="3"/>
  <c r="AZ548" i="3" s="1"/>
  <c r="AZ400" i="3"/>
  <c r="AZ402" i="3"/>
  <c r="AZ411" i="3"/>
  <c r="BL422" i="3"/>
  <c r="BL425" i="3"/>
  <c r="BL426" i="3"/>
  <c r="BA428" i="3"/>
  <c r="AZ428" i="3" s="1"/>
  <c r="BA429" i="3"/>
  <c r="AZ429" i="3" s="1"/>
  <c r="BA430" i="3"/>
  <c r="AZ430" i="3" s="1"/>
  <c r="BA432" i="3"/>
  <c r="AZ432" i="3" s="1"/>
  <c r="BA434" i="3"/>
  <c r="BA436" i="3"/>
  <c r="BA438" i="3"/>
  <c r="G442" i="3"/>
  <c r="BA446" i="3"/>
  <c r="AZ453" i="3"/>
  <c r="BL461" i="3"/>
  <c r="BL463" i="3"/>
  <c r="AZ469" i="3"/>
  <c r="BL470" i="3"/>
  <c r="G489" i="3"/>
  <c r="AZ546" i="3"/>
  <c r="AZ564" i="3"/>
  <c r="J28" i="34"/>
  <c r="J29" i="39"/>
  <c r="W29" i="39" s="1"/>
  <c r="S27" i="35"/>
  <c r="W33" i="33"/>
  <c r="H9" i="34"/>
  <c r="J23" i="36"/>
  <c r="F46" i="39"/>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AZ425" i="3"/>
  <c r="AZ435" i="3"/>
  <c r="BL448" i="3"/>
  <c r="AZ448" i="3" s="1"/>
  <c r="G451" i="3"/>
  <c r="BA454" i="3"/>
  <c r="AZ454" i="3" s="1"/>
  <c r="BA457" i="3"/>
  <c r="AZ457" i="3" s="1"/>
  <c r="BA459" i="3"/>
  <c r="AZ459" i="3" s="1"/>
  <c r="BA460" i="3"/>
  <c r="AZ460" i="3" s="1"/>
  <c r="AZ461" i="3"/>
  <c r="BL464" i="3"/>
  <c r="BL467" i="3"/>
  <c r="BL468" i="3"/>
  <c r="BL471" i="3"/>
  <c r="BL475" i="3"/>
  <c r="BA477" i="3"/>
  <c r="BA478" i="3"/>
  <c r="BL550" i="3"/>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BA467" i="3"/>
  <c r="BA468" i="3"/>
  <c r="BL479" i="3"/>
  <c r="G481" i="3"/>
  <c r="BA482"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BA282" i="3"/>
  <c r="BL282" i="3"/>
  <c r="BA28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1" i="3"/>
  <c r="BL271" i="3"/>
  <c r="BA273" i="3"/>
  <c r="AZ273" i="3" s="1"/>
  <c r="BA279" i="3"/>
  <c r="BL286" i="3"/>
  <c r="AZ286"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AZ64"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75" i="3"/>
  <c r="BA84" i="3"/>
  <c r="AZ84" i="3" s="1"/>
  <c r="BA89" i="3"/>
  <c r="BA98" i="3"/>
  <c r="BL103" i="3"/>
  <c r="B13" i="1"/>
  <c r="E13" i="1" s="1"/>
  <c r="K13" i="1"/>
  <c r="M13" i="1" s="1"/>
  <c r="O13" i="1" s="1"/>
  <c r="P13" i="1" s="1"/>
  <c r="T40" i="71"/>
  <c r="D40" i="71"/>
  <c r="V24" i="71"/>
  <c r="E23" i="71"/>
  <c r="E22" i="71" s="1"/>
  <c r="E21" i="71" s="1"/>
  <c r="E20" i="71"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G71" i="3"/>
  <c r="BA73" i="3"/>
  <c r="BL77" i="3"/>
  <c r="AZ77" i="3" s="1"/>
  <c r="BA79" i="3"/>
  <c r="AZ79" i="3" s="1"/>
  <c r="BA87" i="3"/>
  <c r="BA109" i="3"/>
  <c r="P65" i="71"/>
  <c r="P66" i="71"/>
  <c r="C32" i="71"/>
  <c r="D31" i="71"/>
  <c r="D46" i="71"/>
  <c r="C47" i="71"/>
  <c r="D47" i="71" s="1"/>
  <c r="C52" i="71"/>
  <c r="D51" i="71"/>
  <c r="BL284" i="3"/>
  <c r="AZ284" i="3" s="1"/>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A29" i="3"/>
  <c r="AZ29" i="3" s="1"/>
  <c r="BA36" i="3"/>
  <c r="BL38" i="3"/>
  <c r="AZ38" i="3" s="1"/>
  <c r="BA39" i="3"/>
  <c r="BL47" i="3"/>
  <c r="AZ47" i="3" s="1"/>
  <c r="G49" i="3"/>
  <c r="BA52" i="3"/>
  <c r="AZ52" i="3" s="1"/>
  <c r="BA53" i="3"/>
  <c r="AZ53" i="3" s="1"/>
  <c r="BA54" i="3"/>
  <c r="BL57" i="3"/>
  <c r="G62" i="3"/>
  <c r="BL62" i="3"/>
  <c r="AZ62" i="3" s="1"/>
  <c r="BL63" i="3"/>
  <c r="G65" i="3"/>
  <c r="BL65" i="3"/>
  <c r="AZ65" i="3" s="1"/>
  <c r="BL66" i="3"/>
  <c r="G68" i="3"/>
  <c r="BL68" i="3"/>
  <c r="BA69" i="3"/>
  <c r="AZ69" i="3" s="1"/>
  <c r="G80" i="3"/>
  <c r="G85" i="3"/>
  <c r="BL85" i="3"/>
  <c r="BA86" i="3"/>
  <c r="AZ86" i="3" s="1"/>
  <c r="BA92" i="3"/>
  <c r="BL96" i="3"/>
  <c r="AZ103" i="3"/>
  <c r="G106" i="3"/>
  <c r="C55" i="71"/>
  <c r="D54" i="71"/>
  <c r="C64" i="71"/>
  <c r="D63" i="71"/>
  <c r="AB21" i="33"/>
  <c r="B68" i="43"/>
  <c r="B88" i="43"/>
  <c r="D39" i="71"/>
  <c r="C74" i="71"/>
  <c r="D74" i="71" s="1"/>
  <c r="AA3" i="71"/>
  <c r="C27" i="71"/>
  <c r="D62" i="71"/>
  <c r="U68" i="71"/>
  <c r="D30" i="71"/>
  <c r="Y27" i="71"/>
  <c r="Z27" i="71" s="1"/>
  <c r="AA34" i="71"/>
  <c r="AB35" i="71"/>
  <c r="B51" i="71"/>
  <c r="B52" i="71" s="1"/>
  <c r="S52" i="71" s="1"/>
  <c r="B71" i="71"/>
  <c r="B70" i="71" s="1"/>
  <c r="BL88" i="3"/>
  <c r="AZ88" i="3" s="1"/>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F84" i="15"/>
  <c r="F66" i="67"/>
  <c r="N68" i="15"/>
  <c r="M68" i="15"/>
  <c r="L68" i="15" s="1"/>
  <c r="F78" i="15"/>
  <c r="Q71" i="67"/>
  <c r="F75" i="15"/>
  <c r="C27" i="67"/>
  <c r="F71" i="67"/>
  <c r="C49" i="15"/>
  <c r="F77" i="15"/>
  <c r="N59" i="67"/>
  <c r="L59" i="67"/>
  <c r="M59" i="67"/>
  <c r="B13" i="70"/>
  <c r="M7" i="67"/>
  <c r="J6" i="67" s="1"/>
  <c r="F50" i="67"/>
  <c r="F68" i="67"/>
  <c r="F64" i="67"/>
  <c r="F80" i="15"/>
  <c r="D9" i="69"/>
  <c r="D15" i="80"/>
  <c r="D21" i="12"/>
  <c r="D15" i="68"/>
  <c r="M24" i="81"/>
  <c r="F48" i="81"/>
  <c r="F38" i="81"/>
  <c r="F30" i="81"/>
  <c r="D3" i="73"/>
  <c r="F24" i="81"/>
  <c r="L48" i="67"/>
  <c r="F8" i="81"/>
  <c r="C16" i="67"/>
  <c r="M26" i="81"/>
  <c r="L56" i="81"/>
  <c r="F32" i="81"/>
  <c r="F28" i="81"/>
  <c r="C38" i="15"/>
  <c r="C88" i="81"/>
  <c r="C71" i="81"/>
  <c r="F9" i="81"/>
  <c r="F22" i="81"/>
  <c r="M28" i="81"/>
  <c r="M6" i="81"/>
  <c r="L57" i="81"/>
  <c r="F52" i="81"/>
  <c r="D5" i="73"/>
  <c r="F6" i="81"/>
  <c r="M9" i="81"/>
  <c r="M8" i="81"/>
  <c r="F26" i="81"/>
  <c r="D4" i="73"/>
  <c r="M31" i="81"/>
  <c r="M22" i="81"/>
  <c r="F7" i="81"/>
  <c r="D7" i="73"/>
  <c r="M36" i="81"/>
  <c r="M30" i="81"/>
  <c r="L57" i="15"/>
  <c r="S15" i="34" l="1"/>
  <c r="AB15" i="34"/>
  <c r="U15" i="34"/>
  <c r="W15" i="34"/>
  <c r="AC15" i="34"/>
  <c r="U19" i="34"/>
  <c r="AA19" i="34"/>
  <c r="S19" i="34"/>
  <c r="W45" i="34"/>
  <c r="AC45" i="34"/>
  <c r="W9" i="34"/>
  <c r="M11" i="90"/>
  <c r="J10" i="90" s="1"/>
  <c r="J5" i="90" s="1"/>
  <c r="F11" i="90"/>
  <c r="M11" i="89"/>
  <c r="J10" i="89" s="1"/>
  <c r="J5" i="89" s="1"/>
  <c r="F11" i="89"/>
  <c r="E13" i="6"/>
  <c r="H16" i="1"/>
  <c r="Q16" i="1"/>
  <c r="F27" i="69" s="1"/>
  <c r="C47" i="69" s="1"/>
  <c r="D45" i="69" s="1"/>
  <c r="E12" i="6"/>
  <c r="E59" i="40" s="1"/>
  <c r="D20" i="53"/>
  <c r="B40" i="72" s="1"/>
  <c r="C44" i="71"/>
  <c r="D43" i="71"/>
  <c r="C56" i="71"/>
  <c r="D55" i="71"/>
  <c r="AZ39" i="3"/>
  <c r="AZ75" i="3"/>
  <c r="AZ58" i="3"/>
  <c r="AZ49" i="3"/>
  <c r="AZ5" i="3" s="1"/>
  <c r="AZ130" i="3"/>
  <c r="AZ20" i="3"/>
  <c r="AZ244" i="3"/>
  <c r="AZ239" i="3"/>
  <c r="AZ397" i="3"/>
  <c r="U45" i="39"/>
  <c r="AB45" i="39"/>
  <c r="AB33" i="39"/>
  <c r="U33" i="39"/>
  <c r="W12" i="35"/>
  <c r="AC12" i="35"/>
  <c r="AB32" i="36"/>
  <c r="U32" i="36"/>
  <c r="AZ102" i="3"/>
  <c r="AZ101" i="3"/>
  <c r="T52" i="71"/>
  <c r="D52" i="71"/>
  <c r="T32" i="71"/>
  <c r="D32" i="71"/>
  <c r="AZ277" i="3"/>
  <c r="AZ368" i="3"/>
  <c r="AZ353" i="3"/>
  <c r="AZ271" i="3"/>
  <c r="AZ464" i="3"/>
  <c r="AZ422" i="3"/>
  <c r="AA46" i="39"/>
  <c r="S46" i="39"/>
  <c r="AC46" i="39"/>
  <c r="W46" i="39"/>
  <c r="W45" i="39"/>
  <c r="AC45" i="39"/>
  <c r="AC9" i="36"/>
  <c r="W9" i="36"/>
  <c r="AB9" i="33"/>
  <c r="U9" i="33"/>
  <c r="AC27" i="37"/>
  <c r="W27" i="37"/>
  <c r="U12" i="35"/>
  <c r="AB12" i="35"/>
  <c r="AB38" i="39"/>
  <c r="U38" i="39"/>
  <c r="S29" i="33"/>
  <c r="AA29" i="33"/>
  <c r="AA32" i="36"/>
  <c r="S32" i="36"/>
  <c r="G5" i="3"/>
  <c r="B3" i="3" s="1"/>
  <c r="AT6" i="3" s="1"/>
  <c r="C86" i="71"/>
  <c r="D86" i="71" s="1"/>
  <c r="D87" i="71"/>
  <c r="B27" i="71"/>
  <c r="B26" i="71" s="1"/>
  <c r="S28" i="71"/>
  <c r="C26" i="71"/>
  <c r="D26" i="71" s="1"/>
  <c r="D27" i="71"/>
  <c r="AZ137" i="3"/>
  <c r="AZ178" i="3"/>
  <c r="AC23" i="36"/>
  <c r="W23" i="36"/>
  <c r="AZ550" i="3"/>
  <c r="W33" i="39"/>
  <c r="AC33" i="39"/>
  <c r="AC9" i="33"/>
  <c r="W9" i="33"/>
  <c r="U27" i="37"/>
  <c r="AB27" i="37"/>
  <c r="AB45" i="33"/>
  <c r="U45" i="33"/>
  <c r="U13" i="36"/>
  <c r="AB13" i="36"/>
  <c r="U23" i="35"/>
  <c r="AB23" i="35"/>
  <c r="C36" i="71"/>
  <c r="D35" i="71"/>
  <c r="AZ63" i="3"/>
  <c r="AZ57" i="3"/>
  <c r="AZ45" i="3"/>
  <c r="AZ51" i="3"/>
  <c r="AZ302" i="3"/>
  <c r="AZ256" i="3"/>
  <c r="AZ282" i="3"/>
  <c r="AB9" i="34"/>
  <c r="U9" i="34"/>
  <c r="W28" i="34"/>
  <c r="AC28" i="34"/>
  <c r="AA33" i="39"/>
  <c r="S33" i="39"/>
  <c r="AA45" i="33"/>
  <c r="S45" i="33"/>
  <c r="S13" i="36"/>
  <c r="AA13" i="36"/>
  <c r="AC23" i="35"/>
  <c r="W23" i="35"/>
  <c r="AZ58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S52" i="86"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C18" i="12"/>
  <c r="F27" i="68"/>
  <c r="C19" i="81"/>
  <c r="C19" i="15"/>
  <c r="G1" i="73"/>
  <c r="C38" i="81"/>
  <c r="AE9" i="1"/>
  <c r="C62" i="90" l="1"/>
  <c r="C57" i="90" s="1"/>
  <c r="C10" i="90"/>
  <c r="C5" i="90" s="1"/>
  <c r="J28" i="90"/>
  <c r="J26" i="90"/>
  <c r="C62" i="89"/>
  <c r="C57" i="89" s="1"/>
  <c r="C10" i="89"/>
  <c r="C5" i="89" s="1"/>
  <c r="J28" i="89"/>
  <c r="J26" i="89"/>
  <c r="F27" i="80"/>
  <c r="F52" i="80" s="1"/>
  <c r="F33" i="12"/>
  <c r="C34" i="12" s="1"/>
  <c r="F30" i="83"/>
  <c r="F45" i="69"/>
  <c r="C29" i="69"/>
  <c r="D27" i="69" s="1"/>
  <c r="E27" i="6"/>
  <c r="K26" i="6" s="1"/>
  <c r="M26" i="6" s="1"/>
  <c r="I26" i="6" s="1"/>
  <c r="S26" i="6" s="1"/>
  <c r="AY6" i="3"/>
  <c r="G16" i="1"/>
  <c r="H12" i="40" s="1"/>
  <c r="AB12" i="40" s="1"/>
  <c r="D56" i="71"/>
  <c r="T56" i="71"/>
  <c r="U7" i="36"/>
  <c r="E30" i="6"/>
  <c r="D36" i="71"/>
  <c r="T36" i="71"/>
  <c r="E16" i="6"/>
  <c r="R36" i="36"/>
  <c r="V36" i="36"/>
  <c r="I36" i="36" s="1"/>
  <c r="T44" i="71"/>
  <c r="D44" i="71"/>
  <c r="Q61" i="15"/>
  <c r="F1" i="15"/>
  <c r="J9" i="81"/>
  <c r="C10" i="15"/>
  <c r="C5" i="15" s="1"/>
  <c r="C62" i="15"/>
  <c r="C54" i="80"/>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M29" i="15"/>
  <c r="M27" i="67"/>
  <c r="AE7" i="1"/>
  <c r="AE8" i="1"/>
  <c r="F41" i="67"/>
  <c r="AE6" i="1"/>
  <c r="F29" i="15" s="1"/>
  <c r="M29" i="81"/>
  <c r="R50" i="34" l="1"/>
  <c r="I53" i="34"/>
  <c r="J53" i="34" s="1"/>
  <c r="C26" i="90"/>
  <c r="F46" i="89"/>
  <c r="C46" i="89" s="1"/>
  <c r="F46" i="90"/>
  <c r="C78" i="90"/>
  <c r="C29" i="80"/>
  <c r="C26" i="89"/>
  <c r="C78" i="89"/>
  <c r="F12" i="40"/>
  <c r="S12" i="40" s="1"/>
  <c r="J12" i="39"/>
  <c r="W12" i="39" s="1"/>
  <c r="H12" i="39"/>
  <c r="U12" i="39" s="1"/>
  <c r="F12" i="39"/>
  <c r="AA12" i="39" s="1"/>
  <c r="J12" i="40"/>
  <c r="AC12" i="40" s="1"/>
  <c r="J6" i="81"/>
  <c r="J16" i="81" s="1"/>
  <c r="C57" i="15"/>
  <c r="C26"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F29" i="89"/>
  <c r="C39" i="81"/>
  <c r="C36" i="81"/>
  <c r="C14" i="67"/>
  <c r="F29" i="90"/>
  <c r="C17" i="67"/>
  <c r="C39" i="15"/>
  <c r="C30" i="43" l="1"/>
  <c r="F81" i="81"/>
  <c r="J31" i="89"/>
  <c r="J32" i="89" s="1"/>
  <c r="F81" i="89"/>
  <c r="F81" i="90"/>
  <c r="J31" i="90"/>
  <c r="J32" i="90" s="1"/>
  <c r="C45" i="89"/>
  <c r="C44" i="89" s="1"/>
  <c r="C46" i="90"/>
  <c r="C45" i="90"/>
  <c r="D17" i="80"/>
  <c r="C17" i="80" s="1"/>
  <c r="AA12" i="40"/>
  <c r="S12" i="39"/>
  <c r="D2" i="34"/>
  <c r="B2" i="34" s="1"/>
  <c r="W12" i="40"/>
  <c r="E54" i="34"/>
  <c r="F54" i="34"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F21" i="90"/>
  <c r="B6" i="76"/>
  <c r="E6" i="76"/>
  <c r="C36" i="15"/>
  <c r="M21" i="90"/>
  <c r="D18" i="80" l="1"/>
  <c r="C51" i="89"/>
  <c r="F74" i="89" s="1"/>
  <c r="C74" i="89" s="1"/>
  <c r="F73" i="90"/>
  <c r="C72" i="90" s="1"/>
  <c r="C20" i="90"/>
  <c r="J20" i="90"/>
  <c r="C44" i="90"/>
  <c r="C51" i="90"/>
  <c r="C18" i="80"/>
  <c r="C44" i="80" s="1"/>
  <c r="C40" i="80" s="1"/>
  <c r="C47" i="80" s="1"/>
  <c r="C53" i="80" s="1"/>
  <c r="C52" i="80" s="1"/>
  <c r="D31" i="6"/>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2" i="89" l="1"/>
  <c r="J68" i="89"/>
  <c r="J69" i="89" s="1"/>
  <c r="Q57" i="89" s="1"/>
  <c r="C52" i="89"/>
  <c r="Q81" i="89" s="1"/>
  <c r="Q58" i="89"/>
  <c r="J35" i="89"/>
  <c r="J22" i="89" s="1"/>
  <c r="J19" i="89"/>
  <c r="C13" i="80"/>
  <c r="C9" i="80" s="1"/>
  <c r="C21" i="80" s="1"/>
  <c r="C28" i="80" s="1"/>
  <c r="C27" i="80" s="1"/>
  <c r="F23" i="89"/>
  <c r="F74" i="90"/>
  <c r="C74" i="90" s="1"/>
  <c r="F23" i="90"/>
  <c r="C22" i="90"/>
  <c r="J19" i="90"/>
  <c r="J35" i="90"/>
  <c r="Q58" i="90"/>
  <c r="C52" i="90"/>
  <c r="Q81" i="90" s="1"/>
  <c r="J68" i="90"/>
  <c r="J69" i="90" s="1"/>
  <c r="J36" i="89"/>
  <c r="J37" i="89"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L55" i="89" l="1"/>
  <c r="C53" i="89"/>
  <c r="F76" i="89" s="1"/>
  <c r="C76" i="89" s="1"/>
  <c r="C69" i="89" s="1"/>
  <c r="C70" i="89" s="1"/>
  <c r="C67" i="89" s="1"/>
  <c r="C25" i="80"/>
  <c r="C23" i="80" s="1"/>
  <c r="M23" i="89"/>
  <c r="J36" i="90"/>
  <c r="J37" i="90" s="1"/>
  <c r="J22" i="90"/>
  <c r="M23" i="90"/>
  <c r="C53" i="90"/>
  <c r="Q57" i="90"/>
  <c r="L55" i="90"/>
  <c r="J24" i="89"/>
  <c r="J17" i="89" s="1"/>
  <c r="J18" i="89" s="1"/>
  <c r="J15" i="89" s="1"/>
  <c r="M25" i="89"/>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15"/>
  <c r="M21" i="67"/>
  <c r="F21" i="89"/>
  <c r="M21" i="81"/>
  <c r="F35" i="67"/>
  <c r="M21" i="89"/>
  <c r="F21" i="15"/>
  <c r="C24" i="89" l="1"/>
  <c r="C17" i="89" s="1"/>
  <c r="C18" i="89" s="1"/>
  <c r="C15" i="89" s="1"/>
  <c r="C87" i="89"/>
  <c r="F25" i="89"/>
  <c r="C5" i="80"/>
  <c r="C32" i="80" s="1"/>
  <c r="C33" i="80" s="1"/>
  <c r="D3" i="80" s="1"/>
  <c r="B2" i="80" s="1"/>
  <c r="J24" i="90"/>
  <c r="J17" i="90" s="1"/>
  <c r="J18" i="90" s="1"/>
  <c r="J15" i="90" s="1"/>
  <c r="J14" i="90" s="1"/>
  <c r="J13" i="90" s="1"/>
  <c r="J27" i="90" s="1"/>
  <c r="M25" i="90"/>
  <c r="C87" i="90"/>
  <c r="F25" i="90"/>
  <c r="C24" i="90"/>
  <c r="C17" i="90" s="1"/>
  <c r="C18" i="90" s="1"/>
  <c r="C15" i="90" s="1"/>
  <c r="C14" i="90" s="1"/>
  <c r="C13" i="90" s="1"/>
  <c r="C27" i="90" s="1"/>
  <c r="F76" i="90"/>
  <c r="C76" i="90" s="1"/>
  <c r="C69" i="90" s="1"/>
  <c r="C70" i="90" s="1"/>
  <c r="C67" i="90" s="1"/>
  <c r="C66" i="90" s="1"/>
  <c r="C65" i="90" s="1"/>
  <c r="C79" i="90" s="1"/>
  <c r="C80" i="90" s="1"/>
  <c r="C83" i="90" s="1"/>
  <c r="F73" i="89"/>
  <c r="C72" i="89" s="1"/>
  <c r="C66" i="89" s="1"/>
  <c r="C65" i="89" s="1"/>
  <c r="C79" i="89" s="1"/>
  <c r="C80" i="89" s="1"/>
  <c r="C83" i="89" s="1"/>
  <c r="C20" i="89"/>
  <c r="C14" i="89" s="1"/>
  <c r="C13" i="89" s="1"/>
  <c r="C27" i="89" s="1"/>
  <c r="J20" i="89"/>
  <c r="J14" i="89" s="1"/>
  <c r="J13" i="89" s="1"/>
  <c r="J27" i="89"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84" i="90" l="1"/>
  <c r="F33" i="90"/>
  <c r="Q80" i="90"/>
  <c r="Q79" i="90" s="1"/>
  <c r="C28" i="90"/>
  <c r="C92" i="90"/>
  <c r="C91" i="90" s="1"/>
  <c r="F33" i="89"/>
  <c r="Q80" i="89"/>
  <c r="Q79" i="89" s="1"/>
  <c r="C28" i="89"/>
  <c r="C84" i="89"/>
  <c r="C92" i="89"/>
  <c r="C91" i="89" s="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L60" i="90"/>
  <c r="L60" i="89"/>
  <c r="Q77" i="90" l="1"/>
  <c r="Q65" i="90"/>
  <c r="Q71" i="90" s="1"/>
  <c r="Q74" i="90"/>
  <c r="Q86" i="90" s="1"/>
  <c r="Q56" i="90"/>
  <c r="Q62" i="90" s="1"/>
  <c r="C31" i="90"/>
  <c r="B2" i="90"/>
  <c r="B3" i="90" s="1"/>
  <c r="C95" i="90"/>
  <c r="C94" i="90" s="1"/>
  <c r="Q77" i="89"/>
  <c r="Q56" i="89"/>
  <c r="Q62" i="89" s="1"/>
  <c r="C31" i="89"/>
  <c r="B2" i="89"/>
  <c r="B3" i="89" s="1"/>
  <c r="Q74" i="89"/>
  <c r="Q86" i="89" s="1"/>
  <c r="Q65" i="89"/>
  <c r="Q71" i="89" s="1"/>
  <c r="C95" i="89"/>
  <c r="C94" i="89"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C19" i="9"/>
  <c r="C32" i="90" l="1"/>
  <c r="C55" i="90"/>
  <c r="C32" i="89"/>
  <c r="C55" i="89"/>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7"/>
  <c r="F2" i="35"/>
  <c r="F2" i="34"/>
  <c r="F2" i="36"/>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1" i="1"/>
  <c r="AO10" i="1"/>
  <c r="AO12" i="1"/>
  <c r="C103" i="9"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5" i="15"/>
  <c r="C94" i="15" s="1"/>
  <c r="AO8" i="1"/>
  <c r="AO9" i="1"/>
  <c r="AO6" i="1"/>
  <c r="B9" i="70" l="1"/>
  <c r="B8" i="70"/>
  <c r="B6" i="70"/>
  <c r="B3" i="15"/>
  <c r="B2" i="70" l="1"/>
  <c r="D19" i="9"/>
  <c r="D102" i="9" l="1"/>
  <c r="I19" i="9"/>
  <c r="D22" i="9"/>
  <c r="G19" i="9"/>
  <c r="B3" i="70"/>
  <c r="D35" i="9"/>
  <c r="D20" i="9"/>
  <c r="D34" i="9"/>
  <c r="G22" i="9" l="1"/>
  <c r="D103" i="9"/>
  <c r="G20" i="9"/>
  <c r="C32" i="9" s="1"/>
  <c r="N119" i="9" l="1"/>
  <c r="H118" i="9" s="1"/>
  <c r="C35" i="9"/>
  <c r="C34" i="9" s="1"/>
  <c r="N117" i="9"/>
  <c r="I118" i="9" s="1"/>
  <c r="L119" i="9" l="1"/>
  <c r="L117" i="9"/>
  <c r="I4" i="52"/>
  <c r="C105" i="9"/>
  <c r="H102" i="9"/>
  <c r="D7" i="53" s="1"/>
  <c r="B21" i="72" s="1"/>
  <c r="M119" i="9"/>
  <c r="M117" i="9"/>
  <c r="H119" i="9"/>
  <c r="H5" i="52" s="1"/>
  <c r="H101" i="9"/>
  <c r="D14" i="74" s="1"/>
  <c r="G14" i="74" s="1"/>
  <c r="B6" i="74" s="1"/>
  <c r="H4" i="52"/>
  <c r="C104" i="9"/>
  <c r="D6" i="74" l="1"/>
  <c r="C6" i="74"/>
  <c r="E14" i="74"/>
  <c r="F14" i="74"/>
  <c r="B5" i="74"/>
  <c r="D118" i="9"/>
  <c r="F118" i="9"/>
  <c r="G118" i="9" s="1"/>
  <c r="G4" i="52" s="1"/>
  <c r="B52" i="72" s="1"/>
  <c r="D5" i="53"/>
  <c r="M48" i="9"/>
  <c r="H107" i="9"/>
  <c r="D45" i="9"/>
  <c r="D5" i="74" l="1"/>
  <c r="C5" i="74"/>
  <c r="D119" i="9"/>
  <c r="D5" i="52" s="1"/>
  <c r="B49" i="72" s="1"/>
  <c r="D4" i="52"/>
  <c r="B47" i="72" s="1"/>
  <c r="E118" i="9"/>
  <c r="E4" i="52" s="1"/>
  <c r="B48" i="72" s="1"/>
  <c r="F4" i="52"/>
  <c r="B51" i="72" s="1"/>
  <c r="F119" i="9"/>
  <c r="F5" i="52" s="1"/>
  <c r="B53" i="72" s="1"/>
  <c r="D56" i="9"/>
  <c r="D52" i="9"/>
  <c r="C64" i="9"/>
  <c r="C63" i="9" s="1"/>
  <c r="C67" i="9" s="1"/>
  <c r="H65" i="9"/>
  <c r="H64" i="9" s="1"/>
  <c r="H63" i="9" s="1"/>
  <c r="C85" i="9"/>
  <c r="C72" i="9"/>
  <c r="D55" i="9"/>
  <c r="M53" i="9" s="1"/>
  <c r="H122" i="9"/>
  <c r="M49" i="9"/>
  <c r="H108" i="9"/>
  <c r="D15" i="53" s="1"/>
  <c r="B31" i="72" s="1"/>
  <c r="D13" i="53"/>
  <c r="D6" i="53"/>
  <c r="B22" i="72" s="1"/>
  <c r="B20" i="72"/>
  <c r="I4" i="84"/>
  <c r="I5" i="84"/>
  <c r="I8" i="84"/>
  <c r="I9" i="84"/>
  <c r="I10" i="84"/>
  <c r="I17" i="84"/>
  <c r="M8" i="84"/>
  <c r="M9" i="84" s="1"/>
  <c r="H123" i="9" l="1"/>
  <c r="D9" i="52" s="1"/>
  <c r="D8" i="52"/>
  <c r="D53" i="9"/>
  <c r="D54" i="9"/>
  <c r="C68" i="9"/>
  <c r="D59" i="9"/>
  <c r="M55" i="9" s="1"/>
  <c r="C78" i="9"/>
  <c r="C73" i="9" s="1"/>
  <c r="C79" i="9" s="1"/>
  <c r="D14" i="53"/>
  <c r="B32" i="72" s="1"/>
  <c r="B30" i="72"/>
  <c r="L63" i="9"/>
  <c r="M63" i="9" s="1"/>
  <c r="L67" i="9"/>
  <c r="M67" i="9" s="1"/>
  <c r="L68" i="9"/>
  <c r="M68" i="9" s="1"/>
  <c r="L66" i="9"/>
  <c r="M66" i="9" s="1"/>
  <c r="L64" i="9"/>
  <c r="M64" i="9" s="1"/>
  <c r="L65" i="9"/>
  <c r="M65" i="9" s="1"/>
  <c r="C93" i="9"/>
  <c r="C86" i="9" s="1"/>
  <c r="C95" i="9" s="1"/>
  <c r="M17" i="84"/>
  <c r="M69" i="9" l="1"/>
  <c r="N69" i="9" s="1"/>
  <c r="C96" i="9"/>
  <c r="E96" i="9" s="1"/>
  <c r="E97" i="9" s="1"/>
  <c r="C80" i="9"/>
  <c r="E80" i="9" s="1"/>
  <c r="E81" i="9" s="1"/>
  <c r="C97" i="9" l="1"/>
  <c r="D58" i="9" s="1"/>
  <c r="M54" i="9" s="1"/>
  <c r="N57" i="9" s="1"/>
  <c r="P57" i="9" s="1"/>
  <c r="C81" i="9"/>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F8BE3B8A-4C26-4855-98E3-537FAAE4A45D}">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E8E80B9A-9329-432D-BECF-593D577EED57}">
      <text>
        <r>
          <rPr>
            <sz val="9"/>
            <color indexed="81"/>
            <rFont val="宋体"/>
            <family val="3"/>
            <charset val="134"/>
          </rPr>
          <t>依据一般经验，应比建筑物资本化率高0.5%</t>
        </r>
      </text>
    </comment>
    <comment ref="L61" authorId="0" shapeId="0" xr:uid="{4FE0FCB1-6269-4A4D-B6C0-505FA665ABC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2AFEC8DD-E323-45BF-9D65-41ACDE87F4FB}">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EF24B842-3D69-44A6-9474-5B9D60E09BED}">
      <text>
        <r>
          <rPr>
            <sz val="9"/>
            <color indexed="81"/>
            <rFont val="宋体"/>
            <family val="3"/>
            <charset val="134"/>
          </rPr>
          <t>在建项目均选择“是”</t>
        </r>
      </text>
    </comment>
    <comment ref="F66" authorId="1" shapeId="0" xr:uid="{DDD0785B-7A78-4C19-AD4B-BB99365EE7E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2FD23A39-C4E6-45F6-933A-BD7F8645D1B1}">
      <text>
        <r>
          <rPr>
            <sz val="10"/>
            <color indexed="81"/>
            <rFont val="宋体"/>
            <family val="3"/>
            <charset val="134"/>
          </rPr>
          <t xml:space="preserve">在建
</t>
        </r>
      </text>
    </comment>
    <comment ref="N68" authorId="0" shapeId="0" xr:uid="{0E121F80-9EC8-4D8B-B11C-C5827E18EA66}">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C360F955-7487-4BDD-805A-6E2D406C2108}">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3F484B3A-5B29-40F7-B3D5-76219D614BC0}">
      <text>
        <r>
          <rPr>
            <sz val="9"/>
            <color indexed="81"/>
            <rFont val="宋体"/>
            <family val="3"/>
            <charset val="134"/>
          </rPr>
          <t>依据一般经验，应比建筑物资本化率高0.5%</t>
        </r>
      </text>
    </comment>
    <comment ref="L61" authorId="0" shapeId="0" xr:uid="{6E531B89-C733-4A77-B17D-CD827502681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B321F4C3-30E5-41A6-9B4C-8D1D981BB1EA}">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93930007-6255-4309-B773-0A3C85066BD1}">
      <text>
        <r>
          <rPr>
            <sz val="9"/>
            <color indexed="81"/>
            <rFont val="宋体"/>
            <family val="3"/>
            <charset val="134"/>
          </rPr>
          <t>在建项目均选择“是”</t>
        </r>
      </text>
    </comment>
    <comment ref="F66" authorId="1" shapeId="0" xr:uid="{EB823E3A-FC2B-465E-B054-04DFE5FB18B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B0EB2EA4-D1E6-489D-B2CC-5FC0471DFAE8}">
      <text>
        <r>
          <rPr>
            <sz val="10"/>
            <color indexed="81"/>
            <rFont val="宋体"/>
            <family val="3"/>
            <charset val="134"/>
          </rPr>
          <t xml:space="preserve">在建
</t>
        </r>
      </text>
    </comment>
    <comment ref="N68" authorId="0" shapeId="0" xr:uid="{96738C11-DB4D-44E8-816E-093428658A3F}">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huangying</author>
  </authors>
  <commentList>
    <comment ref="D6" authorId="0" shapeId="0" xr:uid="{21DAEB6D-8DEB-4AD9-8ACD-B8A82B69E2B6}">
      <text>
        <r>
          <rPr>
            <sz val="9"/>
            <rFont val="宋体"/>
            <family val="3"/>
            <charset val="134"/>
          </rPr>
          <t xml:space="preserve">2027年11月15日起递增6%
</t>
        </r>
      </text>
    </comment>
    <comment ref="D7" authorId="0" shapeId="0" xr:uid="{5465E99F-A86A-442C-8A88-684F65D4F598}">
      <text>
        <r>
          <rPr>
            <sz val="9"/>
            <rFont val="宋体"/>
            <family val="3"/>
            <charset val="134"/>
          </rPr>
          <t xml:space="preserve">2027年4月16日起租金递6%
</t>
        </r>
      </text>
    </comment>
    <comment ref="D9" authorId="0" shapeId="0" xr:uid="{5B8297F3-12EA-43E4-9E7D-A67AD3BCE679}">
      <text>
        <r>
          <rPr>
            <sz val="9"/>
            <rFont val="宋体"/>
            <family val="3"/>
            <charset val="134"/>
          </rPr>
          <t xml:space="preserve">2025.11.1日起租，2027.11.1日起递增6%
</t>
        </r>
      </text>
    </comment>
    <comment ref="D10" authorId="0" shapeId="0" xr:uid="{51116077-D953-4FA2-8785-E95E188F2707}">
      <text>
        <r>
          <rPr>
            <sz val="9"/>
            <rFont val="宋体"/>
            <family val="3"/>
            <charset val="134"/>
          </rPr>
          <t>2027年6月23日起租金递增6%</t>
        </r>
      </text>
    </comment>
    <comment ref="D15" authorId="0" shapeId="0" xr:uid="{BFE86985-A3DA-4851-94F8-A72756A5F875}">
      <text>
        <r>
          <rPr>
            <sz val="9"/>
            <rFont val="宋体"/>
            <family val="3"/>
            <charset val="134"/>
          </rPr>
          <t xml:space="preserve">2027年5月8日起租金递增6%
</t>
        </r>
      </text>
    </comment>
    <comment ref="D16" authorId="0" shapeId="0" xr:uid="{A2E5277D-1139-4648-A9DA-AE7D70A6DF3A}">
      <text>
        <r>
          <rPr>
            <sz val="9"/>
            <rFont val="宋体"/>
            <family val="3"/>
            <charset val="134"/>
          </rPr>
          <t xml:space="preserve">2027年5月8日起租金递增6%
</t>
        </r>
      </text>
    </comment>
    <comment ref="D18" authorId="0" shapeId="0" xr:uid="{9A87F159-C975-43AD-9C48-49EE6CECC82B}">
      <text>
        <r>
          <rPr>
            <sz val="9"/>
            <rFont val="宋体"/>
            <family val="3"/>
            <charset val="134"/>
          </rPr>
          <t xml:space="preserve">
2027年5月4日起租金递6%
</t>
        </r>
      </text>
    </comment>
    <comment ref="D20" authorId="0" shapeId="0" xr:uid="{4EBAB866-B75B-4E06-9907-7FFAE4789B8A}">
      <text>
        <r>
          <rPr>
            <sz val="9"/>
            <rFont val="宋体"/>
            <family val="3"/>
            <charset val="134"/>
          </rPr>
          <t xml:space="preserve">2027年12月20日起租金递增6%
</t>
        </r>
      </text>
    </comment>
    <comment ref="D21" authorId="0" shapeId="0" xr:uid="{B5899621-E2FD-42BC-ADEB-4D48687D324C}">
      <text>
        <r>
          <rPr>
            <sz val="9"/>
            <rFont val="宋体"/>
            <family val="3"/>
            <charset val="134"/>
          </rPr>
          <t xml:space="preserve">2027年12月20日起租金递增6%
</t>
        </r>
      </text>
    </comment>
    <comment ref="D24" authorId="0" shapeId="0" xr:uid="{E0F46823-2AE1-46CC-9BD3-AA92266CB12C}">
      <text>
        <r>
          <rPr>
            <sz val="9"/>
            <rFont val="宋体"/>
            <family val="3"/>
            <charset val="134"/>
          </rPr>
          <t xml:space="preserve">
2026年12月1日起租金递6%</t>
        </r>
      </text>
    </comment>
    <comment ref="D25" authorId="0" shapeId="0" xr:uid="{B2D9890A-E41A-46F2-8397-867CAC90E84A}">
      <text>
        <r>
          <rPr>
            <sz val="9"/>
            <rFont val="宋体"/>
            <family val="3"/>
            <charset val="134"/>
          </rPr>
          <t xml:space="preserve">
2026年12月1日起租金递6%
</t>
        </r>
      </text>
    </comment>
    <comment ref="D26" authorId="0" shapeId="0" xr:uid="{A0C2344C-8737-4072-B55B-CC1A799BEAA8}">
      <text>
        <r>
          <rPr>
            <sz val="9"/>
            <rFont val="宋体"/>
            <family val="3"/>
            <charset val="134"/>
          </rPr>
          <t xml:space="preserve">2026年12月1日起租金递6%
</t>
        </r>
      </text>
    </comment>
    <comment ref="D27" authorId="0" shapeId="0" xr:uid="{85BF57A6-9008-4161-9103-9374A9BA03E4}">
      <text>
        <r>
          <rPr>
            <sz val="9"/>
            <rFont val="宋体"/>
            <family val="3"/>
            <charset val="134"/>
          </rPr>
          <t>管委会推荐，租金优惠
2026年3月14日起租，客户已盖章</t>
        </r>
      </text>
    </comment>
    <comment ref="D30" authorId="0" shapeId="0" xr:uid="{06940894-C298-4724-8EBC-3446EA412325}">
      <text>
        <r>
          <rPr>
            <sz val="9"/>
            <rFont val="宋体"/>
            <family val="3"/>
            <charset val="134"/>
          </rPr>
          <t xml:space="preserve">2027年12月20日起租金递增6%
</t>
        </r>
      </text>
    </comment>
    <comment ref="D33" authorId="0" shapeId="0" xr:uid="{FD34045F-28B4-47D3-A715-BDE65C00D5E0}">
      <text>
        <r>
          <rPr>
            <sz val="9"/>
            <rFont val="宋体"/>
            <family val="3"/>
            <charset val="134"/>
          </rPr>
          <t xml:space="preserve">2027年10月1日起租金递增6%
</t>
        </r>
      </text>
    </comment>
    <comment ref="D34" authorId="0" shapeId="0" xr:uid="{BCDBA1DE-0A5A-4BDC-83E4-A44F3C200A46}">
      <text>
        <r>
          <rPr>
            <sz val="9"/>
            <rFont val="宋体"/>
            <family val="3"/>
            <charset val="134"/>
          </rPr>
          <t xml:space="preserve">2027年10月1日起租金递增6%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huangying</author>
    <author>59218</author>
  </authors>
  <commentList>
    <comment ref="D6" authorId="0" shapeId="0" xr:uid="{DC9BA3AC-E355-4F40-ABE9-7FA33ADFCA1F}">
      <text>
        <r>
          <rPr>
            <sz val="9"/>
            <rFont val="宋体"/>
            <family val="3"/>
            <charset val="134"/>
          </rPr>
          <t xml:space="preserve">2027年7月15日起租金递增6%
</t>
        </r>
      </text>
    </comment>
    <comment ref="D7" authorId="0" shapeId="0" xr:uid="{523CE7F5-6E3C-4E6D-8881-774E19D502AB}">
      <text>
        <r>
          <rPr>
            <sz val="9"/>
            <rFont val="宋体"/>
            <family val="3"/>
            <charset val="134"/>
          </rPr>
          <t xml:space="preserve">
2026年8月1日起租金递增6%
</t>
        </r>
      </text>
    </comment>
    <comment ref="D18" authorId="0" shapeId="0" xr:uid="{D1D87E50-8AFA-4F06-9455-EDFF44BD9588}">
      <text>
        <r>
          <rPr>
            <sz val="9"/>
            <rFont val="宋体"/>
            <family val="3"/>
            <charset val="134"/>
          </rPr>
          <t xml:space="preserve">
2027年9月16日起租金递增6%
</t>
        </r>
      </text>
    </comment>
    <comment ref="D22" authorId="1" shapeId="0" xr:uid="{DC3B4902-DBCC-4DAC-BB66-3EC1307B088C}">
      <text>
        <r>
          <rPr>
            <sz val="9"/>
            <rFont val="宋体"/>
            <family val="3"/>
            <charset val="134"/>
          </rPr>
          <t xml:space="preserve">2027年1月30日起租金递增6%
</t>
        </r>
      </text>
    </comment>
    <comment ref="D24" authorId="0" shapeId="0" xr:uid="{0552F854-F4C6-4D0C-97BA-2F97EA8961A8}">
      <text>
        <r>
          <rPr>
            <sz val="9"/>
            <rFont val="宋体"/>
            <family val="3"/>
            <charset val="134"/>
          </rPr>
          <t xml:space="preserve">
2027年1月30日起租金递增6%
</t>
        </r>
      </text>
    </comment>
    <comment ref="D28" authorId="0" shapeId="0" xr:uid="{39BA05D4-CF62-4298-9ABF-54592E38549C}">
      <text>
        <r>
          <rPr>
            <sz val="9"/>
            <rFont val="宋体"/>
            <family val="3"/>
            <charset val="134"/>
          </rPr>
          <t xml:space="preserve">
2027年8月15日起租金递增6%
</t>
        </r>
      </text>
    </comment>
    <comment ref="D30" authorId="0" shapeId="0" xr:uid="{6E02300D-DE5A-4B49-AC03-1C5B74A3BC48}">
      <text>
        <r>
          <rPr>
            <sz val="9"/>
            <rFont val="宋体"/>
            <family val="3"/>
            <charset val="134"/>
          </rPr>
          <t xml:space="preserve">2026年9月25日起租金递增6%
</t>
        </r>
      </text>
    </comment>
    <comment ref="D31" authorId="0" shapeId="0" xr:uid="{DBA12EB4-5091-426E-9992-C7B45FC53A43}">
      <text>
        <r>
          <rPr>
            <sz val="9"/>
            <rFont val="宋体"/>
            <family val="3"/>
            <charset val="134"/>
          </rPr>
          <t xml:space="preserve">
2026年9月25日起租金递增6%
</t>
        </r>
      </text>
    </comment>
    <comment ref="D32" authorId="0" shapeId="0" xr:uid="{B258C58E-EC36-431E-8C86-FB543A14D907}">
      <text>
        <r>
          <rPr>
            <sz val="9"/>
            <rFont val="宋体"/>
            <family val="3"/>
            <charset val="134"/>
          </rPr>
          <t xml:space="preserve">
2026年9月25日起租金递增6%
</t>
        </r>
      </text>
    </comment>
    <comment ref="D33" authorId="0" shapeId="0" xr:uid="{59229918-EB66-4748-812B-F30A20B258A0}">
      <text>
        <r>
          <rPr>
            <sz val="9"/>
            <rFont val="宋体"/>
            <family val="3"/>
            <charset val="134"/>
          </rPr>
          <t xml:space="preserve">
2026年9月25日起租金递增6%
</t>
        </r>
      </text>
    </comment>
    <comment ref="D37" authorId="0" shapeId="0" xr:uid="{72A8C730-DBDE-4810-B7F8-69AA4F688EB0}">
      <text>
        <r>
          <rPr>
            <sz val="9"/>
            <rFont val="宋体"/>
            <family val="3"/>
            <charset val="134"/>
          </rPr>
          <t xml:space="preserve">2027年5月25日起租金递增6%
</t>
        </r>
      </text>
    </comment>
    <comment ref="D38" authorId="0" shapeId="0" xr:uid="{794EF7E4-1C1B-40C4-8ADC-F33FE2F1DE8B}">
      <text>
        <r>
          <rPr>
            <sz val="9"/>
            <rFont val="宋体"/>
            <family val="3"/>
            <charset val="134"/>
          </rPr>
          <t xml:space="preserve">计划新租客户，2025.12.1日起租，2027.12.1日起递增6%
</t>
        </r>
      </text>
    </comment>
    <comment ref="D39" authorId="0" shapeId="0" xr:uid="{E68C85EE-CA0E-423C-92B3-CB64603FDFA8}">
      <text>
        <r>
          <rPr>
            <sz val="9"/>
            <rFont val="宋体"/>
            <family val="3"/>
            <charset val="134"/>
          </rPr>
          <t>计划新租客户，2025.12.1日起租，2027.12.1日起递增6%</t>
        </r>
      </text>
    </comment>
    <comment ref="D40" authorId="0" shapeId="0" xr:uid="{7B9070BB-0928-45C7-A37E-492770EC44CE}">
      <text>
        <r>
          <rPr>
            <sz val="9"/>
            <rFont val="宋体"/>
            <family val="3"/>
            <charset val="134"/>
          </rPr>
          <t>计划新租客户，2025.12.1日起租，2027.12.1日起递增6%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huangying</author>
    <author>CH</author>
  </authors>
  <commentList>
    <comment ref="L4" authorId="0" shapeId="0" xr:uid="{427FF4EC-A7F5-4B1A-9A55-D62D074AFDD5}">
      <text>
        <r>
          <rPr>
            <sz val="9"/>
            <rFont val="宋体"/>
            <family val="3"/>
            <charset val="134"/>
          </rPr>
          <t>签约价4元，2019年6月1日第一次涨租后，4.5元</t>
        </r>
      </text>
    </comment>
    <comment ref="N4" authorId="0" shapeId="0" xr:uid="{0F35AD3D-BBD6-4F41-A522-B4A837ADD551}">
      <text>
        <r>
          <rPr>
            <sz val="9"/>
            <rFont val="宋体"/>
            <family val="3"/>
            <charset val="134"/>
          </rPr>
          <t>第二次涨租</t>
        </r>
      </text>
    </comment>
    <comment ref="Q4" authorId="0" shapeId="0" xr:uid="{4567BFC0-2508-401D-A7BD-903EB7A59387}">
      <text>
        <r>
          <rPr>
            <sz val="9"/>
            <rFont val="宋体"/>
            <family val="3"/>
            <charset val="134"/>
          </rPr>
          <t>第三次涨租</t>
        </r>
      </text>
    </comment>
    <comment ref="D9" authorId="1" shapeId="0" xr:uid="{81731050-105A-46BB-9709-C666F6B7EF1B}">
      <text>
        <r>
          <rPr>
            <sz val="9"/>
            <rFont val="楷体"/>
            <family val="3"/>
            <charset val="134"/>
          </rPr>
          <t>员工配套食堂</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<sst xmlns="http://schemas.openxmlformats.org/spreadsheetml/2006/main" count="11527" uniqueCount="4303">
  <si>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</si>
  <si>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</si>
  <si>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</si>
  <si>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</si>
  <si>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</si>
  <si>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</si>
  <si>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</si>
  <si>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</si>
  <si>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</si>
  <si>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</si>
  <si>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</si>
  <si>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</si>
  <si>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</si>
  <si>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</si>
  <si>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</si>
  <si>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</si>
  <si>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</si>
  <si>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</si>
  <si>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</si>
  <si>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</si>
  <si>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</si>
  <si>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</si>
  <si>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</si>
  <si>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</si>
  <si>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</si>
  <si>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</si>
  <si>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</si>
  <si>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</si>
  <si>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</si>
  <si>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</si>
  <si>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</si>
  <si>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</si>
  <si>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</si>
  <si>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</si>
  <si>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</si>
  <si>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</si>
  <si>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</si>
  <si>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</si>
  <si>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</si>
  <si>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</si>
  <si>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</si>
  <si>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</si>
  <si>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</si>
  <si>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</si>
  <si>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</si>
  <si>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</si>
  <si>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</si>
  <si>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</si>
  <si>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</si>
  <si>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</si>
  <si>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</si>
  <si>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</si>
  <si>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</si>
  <si>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</si>
  <si>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</si>
  <si>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</si>
  <si>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</si>
  <si>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</si>
  <si>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</si>
  <si>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</si>
  <si>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</si>
  <si>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</si>
  <si>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</si>
  <si>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</si>
  <si>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</si>
  <si>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</si>
  <si>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</si>
  <si>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</si>
  <si>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</si>
  <si>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</si>
  <si>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</si>
  <si>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</si>
  <si>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</si>
  <si>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</si>
  <si>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</si>
  <si>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</si>
  <si>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</si>
  <si>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</si>
  <si>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</si>
  <si>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</si>
  <si>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</si>
  <si>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</si>
  <si>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</si>
  <si>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</si>
  <si>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</si>
  <si>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</si>
  <si>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</si>
  <si>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</si>
  <si>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</si>
  <si>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</si>
  <si>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</si>
  <si>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</si>
  <si>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</si>
  <si>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</si>
  <si>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</si>
  <si>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</si>
  <si>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</si>
  <si>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</si>
  <si>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</si>
  <si>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</si>
  <si>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</si>
  <si>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</si>
  <si>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</si>
  <si>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</si>
  <si>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</si>
  <si>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</si>
  <si>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</si>
  <si>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</si>
  <si>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</si>
  <si>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</si>
  <si>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</si>
  <si>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</si>
  <si>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</si>
  <si>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</si>
  <si>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</si>
  <si>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</si>
  <si>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</si>
  <si>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</si>
  <si>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</si>
  <si>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</si>
  <si>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</si>
  <si>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</si>
  <si>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</si>
  <si>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</si>
  <si>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</si>
  <si>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</si>
  <si>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</si>
  <si>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</si>
  <si>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</si>
  <si>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</si>
  <si>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</si>
  <si>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</si>
  <si>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</si>
  <si>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</si>
  <si>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</si>
  <si>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</si>
  <si>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</si>
  <si>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</si>
  <si>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</si>
  <si>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</si>
  <si>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</si>
  <si>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</si>
  <si>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</si>
  <si>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</si>
  <si>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</si>
  <si>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</si>
  <si>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</si>
  <si>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</si>
  <si>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</si>
  <si>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</si>
  <si>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</si>
  <si>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</si>
  <si>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</si>
  <si>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</si>
  <si>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</si>
  <si>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</si>
  <si>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</si>
  <si>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</si>
  <si>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</si>
  <si>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</si>
  <si>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</si>
  <si>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</si>
  <si>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</si>
  <si>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</si>
  <si>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</si>
  <si>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</si>
  <si>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</si>
  <si>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</si>
  <si>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</si>
  <si>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</si>
  <si>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</si>
  <si>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</si>
  <si>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</si>
  <si>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</si>
  <si>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</si>
  <si>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</si>
  <si>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</si>
  <si>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</si>
  <si>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</si>
  <si>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</si>
  <si>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</si>
  <si>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</si>
  <si>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</si>
  <si>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</si>
  <si>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</si>
  <si>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</si>
  <si>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</si>
  <si>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</si>
  <si>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</si>
  <si>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</si>
  <si>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</si>
  <si>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</si>
  <si>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</si>
  <si>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</si>
  <si>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</si>
  <si>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</si>
  <si>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</si>
  <si>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</si>
  <si>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</si>
  <si>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</si>
  <si>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</si>
  <si>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</si>
  <si>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</si>
  <si>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</si>
  <si>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</si>
  <si>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</si>
  <si>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</si>
  <si>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</si>
  <si>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</si>
  <si>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</si>
  <si>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</si>
  <si>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</si>
  <si>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</si>
  <si>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</si>
  <si>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</si>
  <si>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</si>
  <si>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</si>
  <si>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</si>
  <si>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</si>
  <si>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</si>
  <si>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</si>
  <si>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</si>
  <si>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</si>
  <si>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</si>
  <si>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</si>
  <si>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</si>
  <si>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</si>
  <si>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</si>
  <si>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</si>
  <si>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</si>
  <si>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</si>
  <si>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</si>
  <si>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</si>
  <si>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</si>
  <si>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</si>
  <si>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</si>
  <si>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</si>
  <si>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</si>
  <si>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</si>
  <si>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</si>
  <si>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</si>
  <si>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</si>
  <si>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</si>
  <si>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</si>
  <si>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</si>
  <si>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</si>
  <si>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</si>
  <si>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</si>
  <si>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</si>
  <si>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</si>
  <si>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</si>
  <si>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</si>
  <si>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</si>
  <si>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</si>
  <si>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</si>
  <si>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</si>
  <si>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</si>
  <si>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</si>
  <si>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</si>
  <si>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</si>
  <si>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</si>
  <si>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</si>
  <si>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</si>
  <si>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</si>
  <si>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</si>
  <si>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</si>
  <si>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</si>
  <si>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</si>
  <si>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</si>
  <si>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</si>
  <si>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</si>
  <si>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</si>
  <si>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</si>
  <si>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</si>
  <si>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</si>
  <si>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</si>
  <si>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</si>
  <si>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</si>
  <si>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</si>
  <si>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</si>
  <si>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</si>
  <si>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</si>
  <si>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</si>
  <si>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</si>
  <si>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</si>
  <si>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</si>
  <si>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</si>
  <si>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</si>
  <si>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</si>
  <si>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</si>
  <si>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</si>
  <si>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</si>
  <si>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</si>
  <si>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</si>
  <si>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</si>
  <si>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</si>
  <si>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</si>
  <si>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</si>
  <si>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</si>
  <si>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</si>
  <si>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</si>
  <si>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</si>
  <si>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</si>
  <si>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</si>
  <si>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</si>
  <si>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</si>
  <si>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</si>
  <si>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</si>
  <si>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</si>
  <si>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</si>
  <si>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</si>
  <si>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</si>
  <si>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</si>
  <si>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</si>
  <si>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</si>
  <si>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</si>
  <si>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</si>
  <si>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</si>
  <si>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</si>
  <si>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</si>
  <si>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</si>
  <si>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</si>
  <si>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</si>
  <si>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</si>
  <si>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</si>
  <si>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</si>
  <si>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</si>
  <si>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</si>
  <si>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</si>
  <si>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</si>
  <si>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</si>
  <si>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</si>
  <si>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</si>
  <si>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</si>
  <si>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</si>
  <si>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</si>
  <si>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</si>
  <si>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</si>
  <si>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</si>
  <si>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</si>
  <si>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</si>
  <si>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</si>
  <si>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</si>
  <si>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</si>
  <si>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</si>
  <si>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</si>
  <si>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</si>
  <si>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</si>
  <si>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</si>
  <si>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</si>
  <si>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</si>
  <si>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</si>
  <si>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</si>
  <si>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</si>
  <si>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</si>
  <si>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</si>
  <si>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</si>
  <si>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</si>
  <si>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</si>
  <si>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</si>
  <si>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</si>
  <si>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</si>
  <si>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</si>
  <si>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</si>
  <si>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</si>
  <si>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</si>
  <si>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</si>
  <si>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</si>
  <si>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</si>
  <si>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</si>
  <si>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</si>
  <si>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</si>
  <si>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</si>
  <si>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</si>
  <si>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</si>
  <si>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</si>
  <si>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</si>
  <si>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</si>
  <si>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</si>
  <si>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</si>
  <si>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</si>
  <si>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</si>
  <si>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</si>
  <si>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</si>
  <si>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</si>
  <si>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</si>
  <si>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</si>
  <si>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</si>
  <si>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</si>
  <si>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</si>
  <si>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</si>
  <si>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</si>
  <si>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</si>
  <si>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</si>
  <si>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</si>
  <si>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</si>
  <si>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</si>
  <si>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</si>
  <si>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</si>
  <si>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</si>
  <si>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</si>
  <si>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</si>
  <si>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</si>
  <si>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</si>
  <si>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</si>
  <si>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</si>
  <si>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</si>
  <si>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</si>
  <si>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</si>
  <si>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</si>
  <si>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</si>
  <si>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</si>
  <si>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</si>
  <si>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</si>
  <si>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</si>
  <si>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</si>
  <si>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</si>
  <si>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</si>
  <si>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</si>
  <si>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</si>
  <si>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</si>
  <si>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</si>
  <si>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</si>
  <si>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</si>
  <si>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</si>
  <si>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</si>
  <si>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</si>
  <si>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</si>
  <si>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</si>
  <si>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</si>
  <si>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</si>
  <si>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</si>
  <si>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</si>
  <si>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</si>
  <si>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</si>
  <si>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</si>
  <si>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</si>
  <si>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</si>
  <si>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</si>
  <si>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</si>
  <si>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</si>
  <si>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</si>
  <si>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</si>
  <si>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</si>
  <si>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</si>
  <si>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</si>
  <si>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</si>
  <si>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</si>
  <si>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</si>
  <si>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</si>
  <si>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</si>
  <si>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</si>
  <si>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</si>
  <si>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</si>
  <si>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</si>
  <si>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</si>
  <si>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</si>
  <si>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</si>
  <si>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</si>
  <si>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</si>
  <si>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</si>
  <si>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</si>
  <si>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</si>
  <si>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</si>
  <si>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</si>
  <si>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</si>
  <si>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</si>
  <si>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</si>
  <si>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</si>
  <si>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</si>
  <si>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</si>
  <si>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</si>
  <si>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</si>
  <si>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</si>
  <si>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</si>
  <si>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</si>
  <si>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</si>
  <si>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</si>
  <si>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</si>
  <si>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</si>
  <si>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</si>
  <si>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</si>
  <si>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</si>
  <si>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</si>
  <si>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</si>
  <si>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</si>
  <si>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</si>
  <si>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</si>
  <si>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</si>
  <si>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</si>
  <si>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</si>
  <si>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</si>
  <si>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</si>
  <si>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</si>
  <si>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</si>
  <si>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</si>
  <si>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</si>
  <si>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</si>
  <si>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</si>
  <si>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</si>
  <si>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</si>
  <si>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</si>
  <si>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</si>
  <si>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</si>
  <si>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</si>
  <si>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</si>
  <si>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</si>
  <si>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</si>
  <si>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</si>
  <si>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</si>
  <si>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</si>
  <si>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</si>
  <si>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</si>
  <si>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</si>
  <si>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</si>
  <si>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</si>
  <si>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</si>
  <si>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</si>
  <si>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</si>
  <si>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</si>
  <si>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</si>
  <si>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</si>
  <si>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</si>
  <si>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</si>
  <si>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</si>
  <si>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</si>
  <si>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</si>
  <si>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</si>
  <si>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</si>
  <si>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</si>
  <si>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</si>
  <si>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</si>
  <si>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</si>
  <si>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</si>
  <si>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</si>
  <si>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</si>
  <si>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</si>
  <si>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</si>
  <si>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</si>
  <si>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</si>
  <si>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</si>
  <si>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</si>
  <si>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</si>
  <si>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</si>
  <si>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</si>
  <si>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</si>
  <si>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</si>
  <si>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</si>
  <si>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</si>
  <si>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</si>
  <si>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</si>
  <si>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</si>
  <si>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</si>
  <si>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</si>
  <si>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</si>
  <si>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</si>
  <si>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</si>
  <si>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</si>
  <si>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</si>
  <si>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</si>
  <si>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</si>
  <si>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</si>
  <si>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</si>
  <si>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</si>
  <si>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</si>
  <si>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</si>
  <si>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</si>
  <si>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</si>
  <si>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</si>
  <si>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</si>
  <si>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</si>
  <si>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</si>
  <si>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</si>
  <si>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</si>
  <si>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</si>
  <si>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</si>
  <si>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</si>
  <si>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</si>
  <si>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</si>
  <si>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</si>
  <si>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</si>
  <si>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</si>
  <si>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</si>
  <si>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</si>
  <si>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</si>
  <si>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</si>
  <si>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</si>
  <si>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</si>
  <si>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</si>
  <si>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</si>
  <si>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</si>
  <si>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</si>
  <si>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</si>
  <si>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</si>
  <si>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</si>
  <si>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</si>
  <si>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</si>
  <si>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</si>
  <si>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</si>
  <si>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</si>
  <si>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</si>
  <si>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</si>
  <si>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</si>
  <si>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</si>
  <si>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</si>
  <si>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</si>
  <si>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</si>
  <si>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</si>
  <si>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</si>
  <si>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</si>
  <si>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</si>
  <si>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</si>
  <si>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</si>
  <si>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</si>
  <si>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</si>
  <si>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</si>
  <si>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</si>
  <si>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</si>
  <si>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</si>
  <si>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</si>
  <si>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</si>
  <si>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</si>
  <si>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</si>
  <si>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</si>
  <si>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</si>
  <si>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</si>
  <si>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</si>
  <si>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</si>
  <si>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</si>
  <si>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</si>
  <si>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</si>
  <si>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</si>
  <si>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</si>
  <si>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</si>
  <si>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</si>
  <si>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</si>
  <si>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</si>
  <si>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</si>
  <si>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</si>
  <si>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</si>
  <si>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</si>
  <si>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</si>
  <si>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</si>
  <si>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</si>
  <si>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</si>
  <si>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</si>
  <si>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</si>
  <si>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</si>
  <si>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</si>
  <si>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</si>
  <si>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</si>
  <si>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</si>
  <si>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</si>
  <si>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</si>
  <si>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</si>
  <si>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</si>
  <si>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</si>
  <si>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</si>
  <si>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</si>
  <si>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</si>
  <si>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</si>
  <si>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</si>
  <si>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</si>
  <si>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</si>
  <si>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</si>
  <si>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</si>
  <si>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</si>
  <si>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</si>
  <si>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</si>
  <si>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</si>
  <si>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</si>
  <si>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</si>
  <si>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</si>
  <si>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</si>
  <si>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</si>
  <si>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</si>
  <si>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</si>
  <si>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</si>
  <si>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</si>
  <si>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</si>
  <si>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</si>
  <si>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</si>
  <si>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</si>
  <si>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</si>
  <si>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</si>
  <si>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</si>
  <si>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</si>
  <si>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</si>
  <si>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</si>
  <si>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</si>
  <si>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</si>
  <si>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</si>
  <si>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</si>
  <si>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</si>
  <si>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</si>
  <si>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</si>
  <si>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</si>
  <si>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</si>
  <si>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</si>
  <si>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</si>
  <si>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</si>
  <si>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</si>
  <si>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</si>
  <si>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</si>
  <si>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</si>
  <si>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</si>
  <si>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</si>
  <si>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</si>
  <si>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</si>
  <si>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</si>
  <si>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</si>
  <si>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</si>
  <si>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</si>
  <si>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</si>
  <si>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</si>
  <si>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</si>
  <si>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</si>
  <si>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</si>
  <si>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</si>
  <si>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</si>
  <si>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</si>
  <si>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</si>
  <si>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</si>
  <si>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</si>
  <si>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</si>
  <si>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</si>
  <si>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</si>
  <si>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</si>
  <si>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</si>
  <si>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</si>
  <si>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</si>
  <si>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</si>
  <si>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</si>
  <si>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</si>
  <si>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</si>
  <si>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</si>
  <si>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</si>
  <si>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</si>
  <si>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</si>
  <si>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</si>
  <si>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</si>
  <si>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</si>
  <si>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</si>
  <si>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</si>
  <si>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</si>
  <si>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</si>
  <si>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</si>
  <si>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</si>
  <si>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</si>
  <si>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</si>
  <si>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</si>
  <si>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</si>
  <si>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</si>
  <si>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</si>
  <si>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</si>
  <si>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</si>
  <si>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</si>
  <si>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</si>
  <si>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</si>
  <si>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</si>
  <si>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</si>
  <si>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</si>
  <si>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</si>
  <si>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</si>
  <si>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</si>
  <si>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</si>
  <si>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</si>
  <si>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</si>
  <si>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</si>
  <si>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</si>
  <si>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</si>
  <si>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</si>
  <si>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</si>
  <si>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</si>
  <si>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</si>
  <si>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</si>
  <si>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</si>
  <si>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</si>
  <si>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</si>
  <si>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</si>
  <si>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</si>
  <si>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</si>
  <si>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</si>
  <si>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</si>
  <si>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</si>
  <si>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</si>
  <si>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</si>
  <si>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</si>
  <si>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</si>
  <si>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</si>
  <si>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</si>
  <si>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</si>
  <si>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</si>
  <si>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</si>
  <si>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</si>
  <si>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</si>
  <si>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</si>
  <si>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</si>
  <si>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</si>
  <si>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</si>
  <si>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</si>
  <si>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</si>
  <si>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</si>
  <si>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</si>
  <si>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</si>
  <si>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</si>
  <si>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</si>
  <si>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</si>
  <si>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</si>
  <si>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</si>
  <si>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</si>
  <si>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</si>
  <si>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</si>
  <si>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</si>
  <si>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</si>
  <si>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</si>
  <si>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</si>
  <si>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</si>
  <si>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</si>
  <si>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</si>
  <si>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</si>
  <si>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</si>
  <si>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</si>
  <si>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</si>
  <si>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</si>
  <si>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</si>
  <si>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</si>
  <si>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</si>
  <si>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</si>
  <si>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</si>
  <si>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</si>
  <si>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</si>
  <si>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</si>
  <si>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</si>
  <si>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</si>
  <si>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</si>
  <si>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</si>
  <si>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</si>
  <si>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</si>
  <si>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</si>
  <si>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</si>
  <si>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</si>
  <si>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</si>
  <si>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</si>
  <si>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</si>
  <si>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</si>
  <si>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</si>
  <si>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</si>
  <si>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</si>
  <si>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</si>
  <si>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</si>
  <si>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</si>
  <si>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</si>
  <si>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</si>
  <si>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</si>
  <si>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</si>
  <si>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</si>
  <si>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</si>
  <si>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</si>
  <si>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</si>
  <si>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</si>
  <si>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</si>
  <si>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</si>
  <si>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</si>
  <si>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</si>
  <si>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</si>
  <si>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</si>
  <si>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</si>
  <si>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</si>
  <si>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</si>
  <si>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</si>
  <si>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</si>
  <si>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</si>
  <si>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</si>
  <si>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</si>
  <si>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</si>
  <si>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</si>
  <si>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</si>
  <si>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</si>
  <si>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</si>
  <si>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</si>
  <si>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</si>
  <si>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</si>
  <si>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</si>
  <si>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</si>
  <si>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</si>
  <si>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</si>
  <si>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</si>
  <si>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</si>
  <si>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</si>
  <si>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</si>
  <si>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</si>
  <si>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</si>
  <si>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</si>
  <si>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</si>
  <si>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</si>
  <si>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</si>
  <si>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</si>
  <si>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</si>
  <si>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</si>
  <si>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</si>
  <si>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</si>
  <si>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</si>
  <si>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</si>
  <si>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</si>
  <si>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</si>
  <si>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</si>
  <si>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</si>
  <si>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</si>
  <si>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</si>
  <si>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</si>
  <si>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</si>
  <si>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</si>
  <si>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</si>
  <si>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</si>
  <si>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</si>
  <si>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</si>
  <si>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</si>
  <si>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</si>
  <si>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</si>
  <si>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</si>
  <si>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</si>
  <si>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</si>
  <si>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</si>
  <si>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</si>
  <si>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</si>
  <si>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</si>
  <si>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</si>
  <si>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</si>
  <si>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</si>
  <si>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</si>
  <si>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</si>
  <si>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</si>
  <si>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</si>
  <si>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</si>
  <si>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</si>
  <si>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</si>
  <si>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</si>
  <si>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</si>
  <si>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</si>
  <si>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</si>
  <si>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</si>
  <si>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</si>
  <si>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</si>
  <si>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</si>
  <si>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</si>
  <si>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</si>
  <si>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</si>
  <si>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</si>
  <si>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</si>
  <si>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</si>
  <si>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</si>
  <si>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</si>
  <si>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</si>
  <si>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</si>
  <si>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</si>
  <si>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</si>
  <si>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</si>
  <si>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</si>
  <si>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</si>
  <si>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</si>
  <si>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</si>
  <si>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</si>
  <si>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</si>
  <si>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</si>
  <si>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</si>
  <si>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</si>
  <si>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</si>
  <si>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</si>
  <si>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</si>
  <si>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</si>
  <si>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</si>
  <si>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</si>
  <si>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</si>
  <si>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</si>
  <si>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</si>
  <si>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</si>
  <si>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</si>
  <si>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</si>
  <si>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</si>
  <si>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</si>
  <si>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</si>
  <si>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</si>
  <si>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</si>
  <si>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</si>
  <si>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</si>
  <si>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</si>
  <si>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</si>
  <si>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</si>
  <si>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</si>
  <si>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</si>
  <si>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</si>
  <si>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</si>
  <si>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</si>
  <si>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</si>
  <si>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</si>
  <si>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</si>
  <si>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</si>
  <si>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</si>
  <si>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</si>
  <si>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</si>
  <si>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</si>
  <si>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</si>
  <si>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</si>
  <si>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</si>
  <si>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</si>
  <si>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</si>
  <si>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</si>
  <si>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</si>
  <si>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</si>
  <si>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</si>
  <si>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</si>
  <si>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</si>
  <si>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</si>
  <si>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</si>
  <si>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</si>
  <si>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</si>
  <si>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</si>
  <si>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</si>
  <si>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</si>
  <si>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</si>
  <si>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</si>
  <si>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</si>
  <si>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</si>
  <si>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</si>
  <si>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</si>
  <si>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</si>
  <si>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</si>
  <si>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</si>
  <si>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</si>
  <si>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</si>
  <si>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</si>
  <si>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</si>
  <si>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</si>
  <si>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</si>
  <si>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</si>
  <si>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</si>
  <si>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</si>
  <si>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</si>
  <si>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</si>
  <si>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</si>
  <si>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</si>
  <si>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</si>
  <si>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</si>
  <si>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</si>
  <si>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</si>
  <si>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</si>
  <si>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</si>
  <si>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</si>
  <si>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</si>
  <si>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</si>
  <si>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</si>
  <si>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</si>
  <si>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</si>
  <si>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</si>
  <si>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</si>
  <si>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</si>
  <si>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</si>
  <si>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</si>
  <si>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</si>
  <si>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</si>
  <si>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</si>
  <si>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</si>
  <si>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</si>
  <si>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</si>
  <si>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</si>
  <si>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</si>
  <si>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</si>
  <si>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</si>
  <si>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</si>
  <si>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</si>
  <si>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</si>
  <si>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</si>
  <si>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</si>
  <si>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</si>
  <si>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</si>
  <si>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</si>
  <si>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</si>
  <si>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</si>
  <si>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</si>
  <si>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</si>
  <si>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</si>
  <si>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</si>
  <si>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</si>
  <si>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</si>
  <si>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</si>
  <si>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</si>
  <si>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</si>
  <si>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</si>
  <si>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</si>
  <si>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</si>
  <si>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</si>
  <si>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</si>
  <si>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</si>
  <si>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</si>
  <si>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</si>
  <si>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</si>
  <si>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</si>
  <si>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</si>
  <si>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</si>
  <si>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</si>
  <si>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</si>
  <si>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</si>
  <si>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</si>
  <si>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</si>
  <si>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</si>
  <si>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</si>
  <si>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</si>
  <si>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</si>
  <si>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</si>
  <si>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</si>
  <si>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</si>
  <si>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</si>
  <si>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</si>
  <si>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</si>
  <si>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</si>
  <si>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</si>
  <si>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</si>
  <si>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</si>
  <si>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</si>
  <si>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</si>
  <si>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</si>
  <si>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</si>
  <si>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</si>
  <si>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</si>
  <si>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</si>
  <si>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</si>
  <si>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</si>
  <si>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</si>
  <si>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</si>
  <si>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</si>
  <si>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</si>
  <si>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</si>
  <si>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</si>
  <si>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</si>
  <si>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</si>
  <si>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</si>
  <si>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</si>
  <si>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</si>
  <si>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</si>
  <si>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</si>
  <si>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</si>
  <si>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</si>
  <si>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</si>
  <si>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</si>
  <si>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</si>
  <si>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</si>
  <si>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</si>
  <si>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</si>
  <si>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</si>
  <si>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</si>
  <si>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</si>
  <si>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</si>
  <si>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</si>
  <si>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</si>
  <si>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</si>
  <si>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</si>
  <si>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</si>
  <si>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</si>
  <si>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</si>
  <si>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</si>
  <si>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</si>
  <si>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</si>
  <si>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</si>
  <si>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</si>
  <si>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</si>
  <si>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</si>
  <si>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</si>
  <si>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</si>
  <si>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</si>
  <si>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</si>
  <si>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</si>
  <si>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</si>
  <si>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</si>
  <si>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</si>
  <si>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</si>
  <si>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</si>
  <si>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</si>
  <si>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</si>
  <si>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</si>
  <si>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</si>
  <si>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</si>
  <si>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</si>
  <si>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</si>
  <si>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</si>
  <si>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</si>
  <si>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</si>
  <si>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</si>
  <si>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</si>
  <si>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</si>
  <si>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</si>
  <si>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</si>
  <si>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</si>
  <si>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</si>
  <si>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</si>
  <si>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</si>
  <si>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</si>
  <si>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</si>
  <si>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</si>
  <si>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</si>
  <si>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</si>
  <si>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</si>
  <si>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</si>
  <si>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</si>
  <si>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</si>
  <si>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</si>
  <si>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</si>
  <si>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</si>
  <si>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</si>
  <si>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</si>
  <si>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</si>
  <si>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</si>
  <si>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</si>
  <si>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</si>
  <si>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</si>
  <si>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</si>
  <si>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</si>
  <si>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</si>
  <si>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</si>
  <si>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</si>
  <si>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</si>
  <si>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</si>
  <si>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</si>
  <si>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</si>
  <si>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</si>
  <si>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</si>
  <si>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</si>
  <si>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</si>
  <si>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</si>
  <si>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</si>
  <si>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</si>
  <si>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</si>
  <si>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</si>
  <si>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</si>
  <si>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</si>
  <si>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</si>
  <si>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</si>
  <si>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</si>
  <si>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</si>
  <si>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</si>
  <si>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</si>
  <si>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</si>
  <si>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</si>
  <si>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</si>
  <si>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</si>
  <si>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</si>
  <si>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</si>
  <si>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</si>
  <si>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</si>
  <si>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</si>
  <si>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</si>
  <si>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</si>
  <si>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</si>
  <si>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</si>
  <si>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</si>
  <si>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</si>
  <si>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</si>
  <si>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</si>
  <si>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</si>
  <si>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</si>
  <si>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</si>
  <si>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</si>
  <si>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</si>
  <si>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</si>
  <si>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</si>
  <si>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</si>
  <si>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</si>
  <si>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</si>
  <si>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</si>
  <si>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</si>
  <si>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</si>
  <si>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</si>
  <si>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</si>
  <si>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</si>
  <si>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</si>
  <si>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</si>
  <si>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</si>
  <si>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</si>
  <si>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</si>
  <si>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</si>
  <si>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</si>
  <si>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</si>
  <si>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</si>
  <si>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</si>
  <si>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</si>
  <si>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</si>
  <si>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</si>
  <si>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</si>
  <si>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</si>
  <si>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</si>
  <si>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</si>
  <si>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</si>
  <si>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</si>
  <si>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</si>
  <si>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</si>
  <si>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</si>
  <si>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</si>
  <si>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</si>
  <si>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</si>
  <si>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</si>
  <si>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</si>
  <si>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</si>
  <si>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</si>
  <si>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</si>
  <si>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</si>
  <si>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</si>
  <si>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</si>
  <si>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</si>
  <si>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</si>
  <si>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</si>
  <si>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</si>
  <si>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</si>
  <si>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</si>
  <si>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</si>
  <si>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</si>
  <si>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</si>
  <si>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</si>
  <si>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</si>
  <si>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</si>
  <si>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</si>
  <si>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</si>
  <si>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</si>
  <si>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</si>
  <si>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</si>
  <si>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</si>
  <si>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</si>
  <si>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</si>
  <si>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</si>
  <si>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</si>
  <si>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</si>
  <si>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</si>
  <si>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</si>
  <si>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</si>
  <si>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</si>
  <si>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</si>
  <si>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</si>
  <si>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</si>
  <si>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</si>
  <si>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</si>
  <si>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</si>
  <si>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</si>
  <si>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</si>
  <si>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</si>
  <si>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</si>
  <si>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</si>
  <si>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</si>
  <si>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</si>
  <si>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</si>
  <si>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</si>
  <si>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</si>
  <si>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</si>
  <si>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</si>
  <si>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</si>
  <si>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</si>
  <si>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</si>
  <si>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</si>
  <si>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</si>
  <si>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</si>
  <si>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</si>
  <si>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</si>
  <si>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</si>
  <si>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</si>
  <si>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</si>
  <si>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</si>
  <si>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</si>
  <si>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</si>
  <si>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</si>
  <si>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</si>
  <si>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</si>
  <si>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</si>
  <si>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</si>
  <si>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</si>
  <si>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</si>
  <si>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</si>
  <si>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</si>
  <si>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</si>
  <si>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</si>
  <si>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</si>
  <si>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</si>
  <si>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</si>
  <si>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</si>
  <si>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</si>
  <si>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</si>
  <si>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</si>
  <si>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</si>
  <si>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</si>
  <si>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</si>
  <si>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</si>
  <si>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</si>
  <si>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</si>
  <si>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</si>
  <si>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</si>
  <si>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</si>
  <si>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</si>
  <si>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</si>
  <si>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</si>
  <si>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</si>
  <si>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</si>
  <si>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</si>
  <si>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</si>
  <si>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</si>
  <si>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</si>
  <si>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</si>
  <si>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</si>
  <si>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</si>
  <si>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</si>
  <si>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</si>
  <si>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</si>
  <si>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</si>
  <si>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</si>
  <si>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</si>
  <si>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</si>
  <si>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</si>
  <si>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</si>
  <si>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</si>
  <si>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</si>
  <si>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</si>
  <si>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</si>
  <si>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</si>
  <si>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</si>
  <si>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</si>
  <si>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</si>
  <si>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</si>
  <si>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</si>
  <si>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</si>
  <si>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</si>
  <si>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</si>
  <si>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</si>
  <si>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</si>
  <si>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</si>
  <si>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</si>
  <si>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</si>
  <si>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</si>
  <si>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</si>
  <si>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</si>
  <si>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</si>
  <si>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</si>
  <si>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</si>
  <si>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</si>
  <si>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</si>
  <si>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</si>
  <si>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</si>
  <si>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</si>
  <si>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</si>
  <si>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</si>
  <si>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</si>
  <si>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</si>
  <si>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</si>
  <si>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</si>
  <si>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</si>
  <si>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</si>
  <si>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</si>
  <si>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</si>
  <si>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</si>
  <si>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</si>
  <si>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</si>
  <si>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</si>
  <si>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</si>
  <si>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</si>
  <si>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</si>
  <si>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</si>
  <si>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</si>
  <si>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</si>
  <si>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</si>
  <si>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</si>
  <si>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</si>
  <si>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</si>
  <si>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</si>
  <si>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</si>
  <si>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</si>
  <si>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</si>
  <si>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</si>
  <si>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</si>
  <si>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</si>
  <si>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</si>
  <si>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</si>
  <si>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</si>
  <si>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</si>
  <si>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</si>
  <si>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</si>
  <si>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</si>
  <si>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</si>
  <si>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</si>
  <si>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</si>
  <si>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</si>
  <si>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</si>
  <si>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</si>
  <si>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</si>
  <si>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</si>
  <si>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</si>
  <si>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</si>
  <si>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</si>
  <si>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</si>
  <si>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</si>
  <si>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</si>
  <si>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</si>
  <si>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</si>
  <si>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</si>
  <si>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</si>
  <si>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</si>
  <si>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</si>
  <si>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</si>
  <si>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</si>
  <si>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</si>
  <si>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</si>
  <si>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</si>
  <si>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</si>
  <si>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</si>
  <si>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</si>
  <si>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</si>
  <si>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</si>
  <si>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</si>
  <si>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</si>
  <si>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</si>
  <si>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</si>
  <si>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</si>
  <si>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</si>
  <si>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</si>
  <si>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</si>
  <si>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</si>
  <si>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</si>
  <si>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</si>
  <si>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</si>
  <si>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</si>
  <si>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</si>
  <si>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</si>
  <si>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</si>
  <si>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</si>
  <si>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</si>
  <si>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</si>
  <si>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</si>
  <si>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</si>
  <si>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</si>
  <si>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</si>
  <si>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</si>
  <si>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</si>
  <si>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</si>
  <si>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</si>
  <si>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</si>
  <si>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</si>
  <si>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</si>
  <si>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</si>
  <si>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</si>
  <si>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</si>
  <si>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</si>
  <si>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</si>
  <si>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</si>
  <si>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</si>
  <si>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</si>
  <si>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</si>
  <si>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</si>
  <si>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</si>
  <si>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</si>
  <si>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</si>
  <si>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</si>
  <si>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</si>
  <si>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</si>
  <si>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</si>
  <si>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</si>
  <si>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</si>
  <si>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</si>
  <si>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</si>
  <si>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</si>
  <si>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</si>
  <si>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</si>
  <si>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</si>
  <si>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</si>
  <si>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</si>
  <si>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</si>
  <si>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</si>
  <si>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</si>
  <si>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</si>
  <si>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</si>
  <si>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</si>
  <si>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</si>
  <si>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</si>
  <si>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</si>
  <si>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</si>
  <si>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</si>
  <si>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</si>
  <si>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</si>
  <si>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</si>
  <si>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</si>
  <si>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</si>
  <si>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</si>
  <si>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</si>
  <si>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</si>
  <si>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</si>
  <si>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</si>
  <si>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</si>
  <si>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</si>
  <si>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</si>
  <si>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</si>
  <si>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</si>
  <si>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</si>
  <si>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</si>
  <si>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</si>
  <si>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</si>
  <si>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</si>
  <si>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</si>
  <si>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</si>
  <si>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</si>
  <si>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</si>
  <si>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</si>
  <si>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</si>
  <si>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</si>
  <si>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</si>
  <si>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</si>
  <si>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</si>
  <si>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</si>
  <si>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</si>
  <si>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</si>
  <si>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</si>
  <si>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</si>
  <si>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</si>
  <si>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</si>
  <si>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</si>
  <si>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</si>
  <si>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</si>
  <si>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</si>
  <si>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</si>
  <si>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</si>
  <si>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</si>
  <si>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</si>
  <si>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</si>
  <si>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</si>
  <si>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</si>
  <si>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</si>
  <si>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</si>
  <si>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</si>
  <si>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</si>
  <si>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</si>
  <si>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</si>
  <si>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</si>
  <si>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</si>
  <si>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</si>
  <si>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</si>
  <si>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</si>
  <si>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</si>
  <si>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</si>
  <si>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</si>
  <si>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</si>
  <si>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</si>
  <si>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</si>
  <si>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</si>
  <si>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</si>
  <si>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</si>
  <si>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</si>
  <si>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</si>
  <si>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</si>
  <si>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</si>
  <si>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</si>
  <si>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</si>
  <si>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</si>
  <si>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</si>
  <si>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</si>
  <si>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</si>
  <si>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</si>
  <si>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</si>
  <si>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</si>
  <si>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</si>
  <si>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</si>
  <si>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</si>
  <si>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</si>
  <si>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</si>
  <si>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</si>
  <si>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</si>
  <si>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</si>
  <si>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</si>
  <si>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</si>
  <si>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</si>
  <si>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</si>
  <si>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</si>
  <si>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</si>
  <si>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</si>
  <si>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</si>
  <si>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</si>
  <si>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</si>
  <si>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</si>
  <si>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</si>
  <si>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</si>
  <si>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</si>
  <si>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</si>
  <si>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</si>
  <si>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</si>
  <si>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</si>
  <si>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</si>
  <si>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</si>
  <si>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</si>
  <si>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</si>
  <si>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</si>
  <si>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</si>
  <si>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</si>
  <si>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</si>
  <si>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</si>
  <si>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</si>
  <si>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</si>
  <si>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</si>
  <si>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</si>
  <si>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</si>
  <si>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</si>
  <si>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</si>
  <si>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</si>
  <si>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</si>
  <si>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</si>
  <si>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</si>
  <si>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</si>
  <si>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</si>
  <si>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</si>
  <si>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</si>
  <si>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</si>
  <si>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</si>
  <si>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</si>
  <si>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</si>
  <si>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</si>
  <si>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</si>
  <si>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</si>
  <si>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</si>
  <si>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</si>
  <si>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</si>
  <si>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</si>
  <si>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</si>
  <si>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</si>
  <si>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</si>
  <si>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</si>
  <si>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</si>
  <si>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</si>
  <si>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</si>
  <si>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</si>
  <si>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</si>
  <si>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</si>
  <si>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</si>
  <si>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</si>
  <si>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</si>
  <si>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</si>
  <si>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</si>
  <si>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</si>
  <si>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</si>
  <si>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</si>
  <si>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</si>
  <si>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</si>
  <si>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</si>
  <si>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</si>
  <si>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</si>
  <si>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</si>
  <si>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</si>
  <si>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</si>
  <si>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</si>
  <si>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</si>
  <si>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</si>
  <si>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</si>
  <si>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</si>
  <si>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</si>
  <si>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</si>
  <si>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</si>
  <si>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</si>
  <si>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</si>
  <si>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</si>
  <si>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</si>
  <si>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</si>
  <si>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</si>
  <si>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</si>
  <si>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</si>
  <si>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</si>
  <si>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</si>
  <si>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</si>
  <si>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</si>
  <si>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</si>
  <si>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</si>
  <si>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</si>
  <si>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</si>
  <si>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</si>
  <si>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</si>
  <si>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</si>
  <si>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</si>
  <si>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</si>
  <si>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</si>
  <si>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</si>
  <si>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</si>
  <si>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</si>
  <si>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</si>
  <si>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</si>
  <si>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</si>
  <si>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</si>
  <si>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</si>
  <si>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</si>
  <si>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</si>
  <si>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</si>
  <si>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</si>
  <si>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</si>
  <si>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</si>
  <si>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</si>
  <si>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</si>
  <si>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</si>
  <si>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</si>
  <si>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</si>
  <si>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</si>
  <si>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</si>
  <si>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</si>
  <si>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</si>
  <si>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</si>
  <si>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</si>
  <si>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</si>
  <si>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</si>
  <si>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</si>
  <si>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</si>
  <si>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</si>
  <si>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</si>
  <si>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</si>
  <si>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</si>
  <si>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</si>
  <si>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</si>
  <si>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</si>
  <si>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</si>
  <si>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</si>
  <si>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</si>
  <si>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</si>
  <si>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</si>
  <si>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</si>
  <si>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</si>
  <si>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</si>
  <si>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</si>
  <si>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</si>
  <si>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</si>
  <si>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</si>
  <si>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</si>
  <si>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</si>
  <si>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</si>
  <si>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</si>
  <si>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</si>
  <si>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</si>
  <si>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</si>
  <si>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</si>
  <si>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</si>
  <si>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</si>
  <si>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</si>
  <si>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</si>
  <si>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</si>
  <si>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</si>
  <si>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</si>
  <si>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</si>
  <si>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</si>
  <si>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</si>
  <si>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</si>
  <si>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</si>
  <si>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</si>
  <si>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</si>
  <si>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</si>
  <si>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</si>
  <si>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</si>
  <si>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</si>
  <si>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</si>
  <si>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</si>
  <si>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</si>
  <si>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</si>
  <si>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</si>
  <si>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</si>
  <si>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</si>
  <si>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</si>
  <si>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</si>
  <si>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</si>
  <si>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</si>
  <si>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</si>
  <si>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</si>
  <si>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</si>
  <si>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</si>
  <si>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</si>
  <si>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</si>
  <si>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</si>
  <si>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</si>
  <si>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</si>
  <si>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</si>
  <si>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</si>
  <si>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</si>
  <si>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</si>
  <si>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</si>
  <si>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</si>
  <si>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</si>
  <si>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</si>
  <si>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</si>
  <si>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</si>
  <si>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</si>
  <si>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</si>
  <si>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</si>
  <si>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</si>
  <si>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</si>
  <si>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</si>
  <si>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</si>
  <si>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</si>
  <si>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</si>
  <si>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</si>
  <si>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</si>
  <si>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</si>
  <si>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</si>
  <si>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</si>
  <si>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</si>
  <si>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</si>
  <si>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</si>
  <si>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</si>
  <si>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</si>
  <si>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</si>
  <si>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</si>
  <si>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</si>
  <si>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</si>
  <si>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</si>
  <si>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</si>
  <si>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</si>
  <si>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</si>
  <si>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</si>
  <si>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</si>
  <si>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</si>
  <si>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</si>
  <si>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</si>
  <si>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</si>
  <si>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</si>
  <si>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</si>
  <si>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</si>
  <si>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</si>
  <si>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</si>
  <si>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</si>
  <si>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</si>
  <si>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</si>
  <si>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</si>
  <si>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</si>
  <si>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</si>
  <si>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</si>
  <si>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</si>
  <si>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</si>
  <si>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</si>
  <si>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</si>
  <si>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</si>
  <si>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</si>
  <si>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</si>
  <si>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</si>
  <si>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</si>
  <si>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</si>
  <si>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</si>
  <si>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</si>
  <si>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</si>
  <si>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</si>
  <si>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</si>
  <si>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</si>
  <si>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</si>
  <si>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</si>
  <si>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</si>
  <si>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</si>
  <si>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</si>
  <si>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</si>
  <si>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</si>
  <si>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</si>
  <si>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</si>
  <si>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</si>
  <si>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</si>
  <si>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</si>
  <si>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</si>
  <si>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</si>
  <si>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</si>
  <si>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</si>
  <si>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</si>
  <si>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</si>
  <si>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</si>
  <si>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</si>
  <si>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</si>
  <si>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</si>
  <si>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</si>
  <si>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</si>
  <si>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</si>
  <si>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</si>
  <si>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</si>
  <si>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</si>
  <si>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</si>
  <si>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</si>
  <si>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</si>
  <si>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</si>
  <si>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</si>
  <si>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</si>
  <si>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</si>
  <si>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</si>
  <si>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</si>
  <si>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</si>
  <si>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</si>
  <si>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</si>
  <si>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</si>
  <si>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</si>
  <si>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</si>
  <si>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</si>
  <si>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</si>
  <si>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</si>
  <si>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</si>
  <si>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</si>
  <si>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</si>
  <si>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</si>
  <si>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</si>
  <si>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</si>
  <si>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</si>
  <si>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</si>
  <si>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</si>
  <si>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</si>
  <si>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</si>
  <si>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</si>
  <si>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</si>
  <si>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</si>
  <si>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</si>
  <si>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</si>
  <si>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</si>
  <si>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</si>
  <si>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</si>
  <si>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</si>
  <si>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</si>
  <si>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</si>
  <si>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</si>
  <si>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</si>
  <si>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</si>
  <si>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</si>
  <si>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</si>
  <si>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</si>
  <si>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</si>
  <si>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</si>
  <si>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</si>
  <si>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</si>
  <si>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</si>
  <si>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</si>
  <si>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</si>
  <si>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</si>
  <si>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</si>
  <si>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</si>
  <si>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</si>
  <si>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</si>
  <si>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</si>
  <si>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</si>
  <si>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</si>
  <si>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</si>
  <si>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</si>
  <si>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</si>
  <si>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</si>
  <si>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</si>
  <si>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</si>
  <si>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</si>
  <si>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</si>
  <si>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</si>
  <si>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</si>
  <si>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</si>
  <si>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</si>
  <si>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</si>
  <si>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</si>
  <si>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</si>
  <si>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</si>
  <si>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</si>
  <si>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</si>
  <si>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</si>
  <si>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</si>
  <si>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</si>
  <si>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</si>
  <si>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</si>
  <si>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</si>
  <si>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</si>
  <si>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</si>
  <si>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</si>
  <si>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</si>
  <si>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</si>
  <si>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</si>
  <si>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</si>
  <si>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</si>
  <si>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</si>
  <si>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</si>
  <si>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</si>
  <si>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</si>
  <si>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</si>
  <si>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</si>
  <si>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</si>
  <si>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</si>
  <si>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</si>
  <si>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</si>
  <si>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</si>
  <si>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</si>
  <si>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</si>
  <si>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</si>
  <si>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</si>
  <si>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</si>
  <si>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</si>
  <si>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</si>
  <si>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</si>
  <si>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</si>
  <si>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</si>
  <si>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</si>
  <si>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</si>
  <si>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</si>
  <si>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</si>
  <si>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</si>
  <si>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</si>
  <si>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</si>
  <si>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</si>
  <si>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</si>
  <si>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</si>
  <si>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</si>
  <si>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</si>
  <si>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</si>
  <si>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</si>
  <si>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</si>
  <si>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</si>
  <si>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</si>
  <si>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</si>
  <si>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</si>
  <si>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</si>
  <si>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</si>
  <si>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</si>
  <si>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</si>
  <si>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</si>
  <si>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</si>
  <si>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</si>
  <si>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</si>
  <si>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</si>
  <si>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</si>
  <si>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</si>
  <si>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</si>
  <si>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</si>
  <si>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</si>
  <si>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</si>
  <si>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</si>
  <si>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</si>
  <si>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</si>
  <si>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</si>
  <si>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</si>
  <si>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</si>
  <si>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</si>
  <si>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</si>
  <si>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</si>
  <si>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</si>
  <si>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</si>
  <si>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</si>
  <si>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</si>
  <si>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</si>
  <si>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</si>
  <si>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</si>
  <si>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</si>
  <si>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</si>
  <si>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</si>
  <si>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</si>
  <si>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</si>
  <si>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</si>
  <si>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</si>
  <si>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</si>
  <si>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</si>
  <si>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</si>
  <si>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</si>
  <si>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</si>
  <si>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</si>
  <si>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</si>
  <si>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</si>
  <si>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</si>
  <si>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</si>
  <si>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</si>
  <si>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</si>
  <si>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</si>
  <si>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</si>
  <si>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</si>
  <si>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</si>
  <si>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</si>
  <si>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</si>
  <si>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</si>
  <si>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</si>
  <si>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</si>
  <si>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</si>
  <si>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</si>
  <si>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</si>
  <si>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</si>
  <si>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</si>
  <si>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</si>
  <si>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</si>
  <si>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</si>
  <si>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</si>
  <si>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</si>
  <si>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</si>
  <si>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</si>
  <si>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</si>
  <si>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</si>
  <si>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</si>
  <si>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</si>
  <si>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</si>
  <si>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</si>
  <si>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</si>
  <si>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</si>
  <si>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</si>
  <si>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</si>
  <si>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</si>
  <si>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</si>
  <si>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</si>
  <si>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</si>
  <si>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</si>
  <si>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</si>
  <si>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</si>
  <si>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</si>
  <si>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</si>
  <si>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</si>
  <si>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</si>
  <si>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</si>
  <si>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</si>
  <si>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</si>
  <si>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</si>
  <si>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</si>
  <si>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</si>
  <si>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</si>
  <si>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</si>
  <si>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</si>
  <si>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</si>
  <si>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</si>
  <si>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</si>
  <si>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</si>
  <si>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</si>
  <si>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</si>
  <si>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</si>
  <si>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</si>
  <si>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</si>
  <si>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</si>
  <si>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</si>
  <si>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</si>
  <si>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</si>
  <si>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</si>
  <si>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</si>
  <si>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</si>
  <si>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</si>
  <si>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</si>
  <si>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</si>
  <si>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</si>
  <si>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</si>
  <si>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</si>
  <si>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</si>
  <si>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</si>
  <si>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</si>
  <si>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</si>
  <si>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</si>
  <si>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</si>
  <si>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</si>
  <si>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</si>
  <si>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</si>
  <si>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</si>
  <si>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</si>
  <si>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</si>
  <si>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</si>
  <si>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</si>
  <si>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</si>
  <si>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</si>
  <si>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</si>
  <si>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</si>
  <si>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</si>
  <si>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</si>
  <si>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</si>
  <si>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</si>
  <si>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</si>
  <si>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</si>
  <si>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</si>
  <si>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</si>
  <si>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</si>
  <si>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</si>
  <si>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</si>
  <si>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</si>
  <si>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</si>
  <si>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</si>
  <si>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</si>
  <si>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</si>
  <si>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</si>
  <si>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</si>
  <si>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</si>
  <si>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</si>
  <si>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</si>
  <si>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</si>
  <si>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</si>
  <si>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</si>
  <si>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</si>
  <si>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</si>
  <si>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</si>
  <si>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</si>
  <si>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</si>
  <si>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</si>
  <si>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</si>
  <si>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</si>
  <si>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</si>
  <si>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</si>
  <si>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</si>
  <si>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</si>
  <si>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</si>
  <si>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</si>
  <si>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</si>
  <si>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</si>
  <si>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</si>
  <si>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</si>
  <si>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</si>
  <si>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</si>
  <si>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</si>
  <si>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</si>
  <si>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</si>
  <si>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</si>
  <si>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</si>
  <si>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</si>
  <si>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</si>
  <si>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</si>
  <si>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</si>
  <si>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</si>
  <si>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</si>
  <si>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</si>
  <si>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</si>
  <si>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</si>
  <si>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</si>
  <si>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</si>
  <si>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</si>
  <si>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</si>
  <si>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</si>
  <si>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</si>
  <si>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</si>
  <si>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</si>
  <si>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</si>
  <si>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</si>
  <si>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</si>
  <si>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</si>
  <si>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</si>
  <si>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</si>
  <si>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</si>
  <si>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</si>
  <si>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</si>
  <si>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</si>
  <si>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</si>
  <si>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</si>
  <si>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</si>
  <si>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</si>
  <si>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</si>
  <si>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</si>
  <si>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</si>
  <si>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</si>
  <si>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</si>
  <si>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</si>
  <si>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</si>
  <si>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</si>
  <si>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</si>
  <si>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</si>
  <si>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</si>
  <si>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</si>
  <si>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</si>
  <si>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</si>
  <si>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</si>
  <si>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</si>
  <si>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</si>
  <si>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</si>
  <si>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</si>
  <si>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</si>
  <si>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</si>
  <si>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</si>
  <si>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</si>
  <si>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</si>
  <si>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</si>
  <si>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</si>
  <si>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</si>
  <si>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</si>
  <si>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</si>
  <si>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</si>
  <si>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</si>
  <si>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</si>
  <si>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</si>
  <si>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</si>
  <si>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</si>
  <si>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</si>
  <si>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</si>
  <si>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</si>
  <si>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</si>
  <si>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</si>
  <si>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</si>
  <si>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</si>
  <si>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</si>
  <si>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</si>
  <si>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</si>
  <si>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</si>
  <si>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</si>
  <si>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</si>
  <si>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</si>
  <si>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</si>
  <si>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</si>
  <si>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</si>
  <si>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</si>
  <si>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</si>
  <si>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</si>
  <si>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</si>
  <si>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</si>
  <si>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</si>
  <si>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</si>
  <si>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</si>
  <si>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</si>
  <si>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</si>
  <si>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</si>
  <si>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</si>
  <si>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</si>
  <si>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</si>
  <si>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</si>
  <si>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</si>
  <si>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</si>
  <si>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</si>
  <si>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</si>
  <si>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</si>
  <si>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</si>
  <si>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</si>
  <si>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</si>
  <si>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</si>
  <si>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</si>
  <si>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</si>
  <si>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</si>
  <si>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</si>
  <si>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</si>
  <si>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</si>
  <si>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</si>
  <si>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</si>
  <si>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</si>
  <si>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</si>
  <si>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</si>
  <si>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</si>
  <si>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</si>
  <si>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</si>
  <si>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</si>
  <si>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</si>
  <si>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</si>
  <si>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</si>
  <si>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</si>
  <si>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</si>
  <si>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</si>
  <si>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</si>
  <si>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</si>
  <si>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</si>
  <si>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</si>
  <si>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</si>
  <si>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</si>
  <si>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</si>
  <si>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</si>
  <si>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</si>
  <si>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</si>
  <si>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</si>
  <si>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</si>
  <si>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</si>
  <si>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</si>
  <si>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</si>
  <si>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</si>
  <si>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</si>
  <si>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</si>
  <si>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</si>
  <si>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</si>
  <si>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</si>
  <si>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</si>
  <si>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</si>
  <si>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</si>
  <si>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</si>
  <si>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</si>
  <si>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</si>
  <si>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</si>
  <si>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</si>
  <si>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</si>
  <si>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</si>
  <si>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</si>
  <si>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</si>
  <si>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</si>
  <si>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</si>
  <si>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</si>
  <si>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</si>
  <si>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</si>
  <si>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</si>
  <si>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</si>
  <si>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</si>
  <si>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</si>
  <si>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</si>
  <si>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</si>
  <si>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</si>
  <si>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</si>
  <si>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</si>
  <si>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</si>
  <si>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</si>
  <si>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</si>
  <si>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</si>
  <si>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</si>
  <si>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</si>
  <si>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</si>
  <si>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</si>
  <si>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</si>
  <si>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</si>
  <si>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</si>
  <si>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</si>
  <si>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</si>
  <si>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</si>
  <si>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</si>
  <si>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</si>
  <si>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</si>
  <si>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</si>
  <si>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</si>
  <si>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</si>
  <si>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</si>
  <si>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</si>
  <si>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</si>
  <si>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</si>
  <si>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</si>
  <si>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</si>
  <si>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</si>
  <si>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</si>
  <si>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</si>
  <si>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</si>
  <si>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</si>
  <si>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</si>
  <si>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</si>
  <si>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</si>
  <si>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</si>
  <si>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</si>
  <si>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</si>
  <si>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</si>
  <si>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</si>
  <si>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</si>
  <si>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</si>
  <si>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</si>
  <si>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</si>
  <si>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</si>
  <si>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</si>
  <si>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</si>
  <si>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</si>
  <si>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</si>
  <si>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</si>
  <si>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</si>
  <si>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</si>
  <si>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</si>
  <si>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</si>
  <si>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</si>
  <si>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</si>
  <si>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</si>
  <si>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</si>
  <si>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</si>
  <si>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</si>
  <si>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</si>
  <si>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</si>
  <si>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</si>
  <si>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</si>
  <si>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</si>
  <si>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</si>
  <si>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</si>
  <si>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</si>
  <si>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</si>
  <si>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</si>
  <si>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</si>
  <si>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</si>
  <si>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</si>
  <si>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</si>
  <si>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</si>
  <si>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</si>
  <si>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</si>
  <si>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</si>
  <si>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</si>
  <si>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</si>
  <si>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</si>
  <si>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</si>
  <si>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</si>
  <si>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</si>
  <si>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</si>
  <si>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</si>
  <si>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</si>
  <si>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</si>
  <si>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</si>
  <si>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</si>
  <si>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</si>
  <si>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</si>
  <si>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</si>
  <si>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</si>
  <si>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</si>
  <si>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</si>
  <si>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</si>
  <si>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</si>
  <si>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</si>
  <si>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</si>
  <si>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</si>
  <si>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</si>
  <si>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</si>
  <si>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</si>
  <si>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</si>
  <si>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</si>
  <si>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</si>
  <si>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</si>
  <si>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</si>
  <si>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</si>
  <si>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</si>
  <si>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</si>
  <si>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</si>
  <si>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</si>
  <si>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</si>
  <si>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</si>
  <si>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</si>
  <si>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</si>
  <si>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</si>
  <si>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</si>
  <si>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</si>
  <si>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</si>
  <si>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</si>
  <si>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</si>
  <si>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</si>
  <si>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</si>
  <si>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</si>
  <si>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</si>
  <si>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</si>
  <si>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</si>
  <si>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</si>
  <si>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</si>
  <si>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</si>
  <si>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</si>
  <si>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</si>
  <si>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</si>
  <si>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</si>
  <si>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</si>
  <si>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</si>
  <si>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</si>
  <si>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</si>
  <si>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</si>
  <si>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</si>
  <si>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</si>
  <si>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</si>
  <si>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</si>
  <si>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</si>
  <si>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</si>
  <si>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</si>
  <si>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</si>
  <si>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</si>
  <si>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</si>
  <si>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</si>
  <si>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</si>
  <si>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</si>
  <si>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</si>
  <si>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</si>
  <si>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</si>
  <si>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</si>
  <si>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</si>
  <si>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</si>
  <si>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</si>
  <si>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</si>
  <si>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</si>
  <si>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</si>
  <si>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</si>
  <si>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</si>
  <si>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</si>
  <si>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</si>
  <si>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</si>
  <si>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</si>
  <si>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</si>
  <si>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</si>
  <si>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</si>
  <si>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</si>
  <si>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</si>
  <si>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</si>
  <si>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</si>
  <si>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</si>
  <si>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</si>
  <si>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</si>
  <si>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</si>
  <si>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</si>
  <si>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</si>
  <si>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</si>
  <si>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</si>
  <si>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</si>
  <si>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</si>
  <si>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</si>
  <si>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</si>
  <si>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</si>
  <si>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</si>
  <si>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</si>
  <si>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</si>
  <si>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</si>
  <si>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</si>
  <si>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</si>
  <si>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</si>
  <si>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</si>
  <si>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</si>
  <si>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</si>
  <si>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</si>
  <si>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</si>
  <si>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</si>
  <si>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</si>
  <si>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</si>
  <si>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</si>
  <si>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</si>
  <si>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</si>
  <si>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</si>
  <si>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</si>
  <si>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</si>
  <si>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</si>
  <si>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</si>
  <si>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</si>
  <si>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</si>
  <si>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</si>
  <si>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</si>
  <si>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</si>
  <si>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</si>
  <si>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</si>
  <si>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</si>
  <si>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</si>
  <si>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</si>
  <si>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</si>
  <si>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</si>
  <si>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</si>
  <si>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</si>
  <si>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</si>
  <si>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</si>
  <si>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</si>
  <si>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</si>
  <si>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</si>
  <si>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</si>
  <si>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</si>
  <si>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</si>
  <si>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</si>
  <si>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</si>
  <si>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</si>
  <si>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</si>
  <si>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</si>
  <si>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</si>
  <si>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</si>
  <si>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</si>
  <si>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</si>
  <si>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</si>
  <si>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</si>
  <si>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</si>
  <si>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</si>
  <si>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</si>
  <si>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</si>
  <si>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</si>
  <si>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</si>
  <si>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</si>
  <si>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</si>
  <si>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</si>
  <si>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</si>
  <si>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</si>
  <si>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</si>
  <si>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</si>
  <si>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</si>
  <si>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</si>
  <si>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</si>
  <si>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</si>
  <si>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</si>
  <si>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</si>
  <si>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</si>
  <si>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</si>
  <si>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</si>
  <si>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</si>
  <si>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</si>
  <si>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</si>
  <si>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</si>
  <si>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</si>
  <si>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</si>
  <si>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</si>
  <si>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</si>
  <si>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</si>
  <si>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</si>
  <si>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</si>
  <si>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</si>
  <si>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</si>
  <si>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</si>
  <si>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</si>
  <si>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</si>
  <si>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</si>
  <si>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</si>
  <si>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</si>
  <si>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</si>
  <si>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</si>
  <si>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</si>
  <si>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</si>
  <si>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</si>
  <si>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</si>
  <si>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</si>
  <si>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</si>
  <si>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</si>
  <si>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</si>
  <si>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</si>
  <si>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</si>
  <si>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</si>
  <si>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</si>
  <si>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</si>
  <si>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</si>
  <si>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</si>
  <si>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</si>
  <si>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</si>
  <si>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</si>
  <si>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</si>
  <si>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</si>
  <si>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</si>
  <si>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</si>
  <si>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</si>
  <si>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</si>
  <si>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</si>
  <si>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</si>
  <si>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</si>
  <si>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</si>
  <si>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</si>
  <si>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</si>
  <si>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</si>
  <si>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</si>
  <si>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</si>
  <si>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</si>
  <si>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</si>
  <si>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</si>
  <si>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</si>
  <si>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</si>
  <si>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</si>
  <si>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</si>
  <si>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</si>
  <si>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</si>
  <si>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</si>
  <si>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</si>
  <si>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</si>
  <si>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</si>
  <si>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</si>
  <si>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</si>
  <si>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</si>
  <si>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</si>
  <si>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</si>
  <si>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</si>
  <si>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</si>
  <si>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</si>
  <si>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</si>
  <si>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</si>
  <si>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</si>
  <si>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</si>
  <si>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</si>
  <si>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</si>
  <si>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</si>
  <si>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</si>
  <si>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</si>
  <si>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</si>
  <si>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</si>
  <si>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</si>
  <si>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</si>
  <si>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</si>
  <si>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</si>
  <si>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</si>
  <si>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</si>
  <si>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</si>
  <si>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</si>
  <si>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</si>
  <si>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</si>
  <si>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</si>
  <si>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</si>
  <si>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</si>
  <si>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</si>
  <si>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</si>
  <si>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</si>
  <si>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</si>
  <si>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</si>
  <si>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</si>
  <si>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</si>
  <si>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</si>
  <si>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</si>
  <si>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</si>
  <si>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</si>
  <si>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</si>
  <si>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</si>
  <si>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</si>
  <si>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</si>
  <si>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</si>
  <si>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</si>
  <si>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</si>
  <si>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</si>
  <si>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</si>
  <si>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</si>
  <si>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</si>
  <si>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</si>
  <si>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</si>
  <si>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</si>
  <si>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</si>
  <si>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</si>
  <si>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</si>
  <si>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</si>
  <si>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</si>
  <si>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</si>
  <si>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</si>
  <si>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</si>
  <si>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</si>
  <si>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</si>
  <si>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</si>
  <si>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</si>
  <si>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</si>
  <si>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</si>
  <si>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</si>
  <si>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</si>
  <si>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</si>
  <si>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</si>
  <si>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</si>
  <si>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</si>
  <si>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</si>
  <si>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</si>
  <si>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</si>
  <si>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</si>
  <si>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</si>
  <si>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</si>
  <si>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</si>
  <si>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</si>
  <si>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</si>
  <si>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</si>
  <si>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</si>
  <si>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</si>
  <si>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</si>
  <si>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</si>
  <si>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</si>
  <si>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</si>
  <si>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</si>
  <si>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</si>
  <si>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</si>
  <si>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</si>
  <si>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</si>
  <si>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</si>
  <si>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</si>
  <si>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</si>
  <si>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</si>
  <si>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</si>
  <si>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</si>
  <si>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</si>
  <si>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</si>
  <si>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</si>
  <si>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</si>
  <si>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</si>
  <si>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</si>
  <si>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</si>
  <si>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</si>
  <si>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</si>
  <si>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</si>
  <si>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</si>
  <si>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</si>
  <si>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</si>
  <si>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</si>
  <si>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</si>
  <si>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</si>
  <si>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</si>
  <si>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</si>
  <si>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</si>
  <si>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</si>
  <si>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</si>
  <si>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</si>
  <si>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</si>
  <si>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</si>
  <si>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</si>
  <si>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</si>
  <si>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</si>
  <si>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</si>
  <si>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</si>
  <si>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</si>
  <si>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</si>
  <si>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</si>
  <si>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</si>
  <si>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</si>
  <si>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</si>
  <si>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</si>
  <si>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</si>
  <si>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</si>
  <si>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</si>
  <si>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</si>
  <si>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</si>
  <si>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</si>
  <si>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</si>
  <si>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</si>
  <si>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</si>
  <si>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</si>
  <si>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</si>
  <si>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</si>
  <si>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</si>
  <si>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</si>
  <si>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</si>
  <si>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</si>
  <si>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</si>
  <si>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</si>
  <si>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</si>
  <si>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</si>
  <si>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</si>
  <si>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</si>
  <si>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</si>
  <si>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</si>
  <si>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</si>
  <si>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</si>
  <si>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</si>
  <si>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</si>
  <si>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</si>
  <si>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</si>
  <si>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</si>
  <si>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</si>
  <si>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</si>
  <si>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</si>
  <si>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</si>
  <si>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</si>
  <si>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</si>
  <si>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</si>
  <si>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</si>
  <si>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</si>
  <si>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</si>
  <si>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</si>
  <si>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</si>
  <si>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</si>
  <si>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</si>
  <si>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</si>
  <si>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</si>
  <si>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</si>
  <si>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</si>
  <si>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</si>
  <si>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</si>
  <si>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</si>
  <si>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</si>
  <si>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</si>
  <si>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</si>
  <si>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</si>
  <si>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</si>
  <si>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</si>
  <si>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</si>
  <si>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</si>
  <si>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</si>
  <si>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</si>
  <si>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</si>
  <si>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</si>
  <si>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</si>
  <si>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</si>
  <si>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</si>
  <si>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</si>
  <si>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</si>
  <si>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</si>
  <si>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</si>
  <si>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</si>
  <si>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</si>
  <si>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</si>
  <si>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</si>
  <si>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</si>
  <si>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</si>
  <si>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</si>
  <si>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</si>
  <si>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</si>
  <si>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</si>
  <si>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</si>
  <si>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</si>
  <si>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</si>
  <si>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</si>
  <si>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</si>
  <si>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</si>
  <si>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</si>
  <si>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</si>
  <si>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</si>
  <si>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</si>
  <si>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</si>
  <si>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</si>
  <si>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</si>
  <si>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</si>
  <si>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</si>
  <si>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</si>
  <si>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</si>
  <si>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</si>
  <si>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</si>
  <si>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</si>
  <si>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</si>
  <si>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</si>
  <si>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</si>
  <si>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</si>
  <si>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</si>
  <si>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</si>
  <si>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</si>
  <si>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</si>
  <si>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</si>
  <si>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</si>
  <si>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</si>
  <si>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</si>
  <si>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</si>
  <si>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</si>
  <si>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</si>
  <si>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</si>
  <si>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</si>
  <si>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</si>
  <si>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</si>
  <si>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</si>
  <si>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</si>
  <si>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</si>
  <si>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</si>
  <si>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</si>
  <si>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</si>
  <si>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</si>
  <si>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</si>
  <si>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</si>
  <si>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</si>
  <si>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</si>
  <si>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</si>
  <si>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</si>
  <si>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</si>
  <si>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</si>
  <si>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</si>
  <si>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</si>
  <si>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</si>
  <si>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</si>
  <si>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</si>
  <si>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</si>
  <si>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</si>
  <si>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</si>
  <si>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</si>
  <si>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</si>
  <si>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</si>
  <si>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</si>
  <si>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</si>
  <si>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</si>
  <si>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</si>
  <si>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</si>
  <si>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</si>
  <si>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</si>
  <si>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</si>
  <si>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</si>
  <si>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</si>
  <si>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</si>
  <si>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</si>
  <si>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</si>
  <si>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</si>
  <si>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</si>
  <si>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</si>
  <si>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</si>
  <si>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</si>
  <si>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</si>
  <si>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</si>
  <si>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</si>
  <si>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</si>
  <si>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</si>
  <si>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</si>
  <si>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</si>
  <si>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</si>
  <si>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</si>
  <si>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</si>
  <si>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</si>
  <si>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</si>
  <si>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</si>
  <si>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</si>
  <si>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</si>
  <si>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</si>
  <si>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</si>
  <si>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</si>
  <si>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</si>
  <si>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</si>
  <si>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</si>
  <si>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</si>
  <si>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</si>
  <si>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</si>
  <si>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</si>
  <si>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</si>
  <si>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</si>
  <si>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</si>
  <si>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</si>
  <si>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</si>
  <si>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</si>
  <si>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</si>
  <si>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</si>
  <si>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</si>
  <si>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</si>
  <si>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</si>
  <si>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</si>
  <si>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</si>
  <si>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</si>
  <si>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</si>
  <si>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</si>
  <si>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</si>
  <si>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</si>
  <si>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</si>
  <si>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</si>
  <si>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</si>
  <si>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</si>
  <si>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</si>
  <si>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</si>
  <si>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</si>
  <si>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</si>
  <si>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</si>
  <si>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</si>
  <si>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</si>
  <si>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</si>
  <si>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</si>
  <si>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</si>
  <si>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</si>
  <si>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</si>
  <si>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</si>
  <si>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</si>
  <si>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</si>
  <si>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</si>
  <si>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</si>
  <si>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</si>
  <si>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</si>
  <si>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</si>
  <si>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</si>
  <si>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</si>
  <si>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</si>
  <si>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</si>
  <si>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</si>
  <si>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</si>
  <si>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</si>
  <si>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</si>
  <si>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</si>
  <si>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</si>
  <si>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</si>
  <si>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</si>
  <si>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</si>
  <si>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</si>
  <si>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</si>
  <si>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</si>
  <si>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</si>
  <si>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</si>
  <si>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</si>
  <si>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</si>
  <si>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</si>
  <si>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</si>
  <si>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</si>
  <si>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</si>
  <si>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</si>
  <si>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</si>
  <si>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</si>
  <si>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</si>
  <si>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</si>
  <si>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</si>
  <si>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</si>
  <si>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</si>
  <si>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</si>
  <si>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</si>
  <si>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</si>
  <si>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</si>
  <si>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</si>
  <si>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</si>
  <si>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</si>
  <si>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</si>
  <si>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</si>
  <si>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</si>
  <si>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</si>
  <si>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</si>
  <si>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</si>
  <si>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</si>
  <si>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</si>
  <si>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</si>
  <si>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</si>
  <si>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</si>
  <si>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</si>
  <si>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</si>
  <si>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</si>
  <si>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</si>
  <si>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</si>
  <si>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</si>
  <si>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</si>
  <si>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</si>
  <si>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</si>
  <si>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</si>
  <si>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</si>
  <si>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</si>
  <si>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</si>
  <si>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</si>
  <si>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</si>
  <si>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</si>
  <si>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</si>
  <si>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</si>
  <si>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</si>
  <si>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</si>
  <si>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</si>
  <si>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</si>
  <si>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</si>
  <si>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</si>
  <si>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</si>
  <si>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</si>
  <si>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</si>
  <si>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</si>
  <si>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</si>
  <si>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</si>
  <si>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</si>
  <si>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</si>
  <si>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</si>
  <si>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</si>
  <si>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</si>
  <si>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</si>
  <si>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</si>
  <si>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</si>
  <si>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</si>
  <si>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</si>
  <si>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</si>
  <si>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</si>
  <si>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</si>
  <si>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</si>
  <si>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</si>
  <si>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</si>
  <si>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</si>
  <si>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</si>
  <si>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</si>
  <si>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</si>
  <si>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</si>
  <si>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</si>
  <si>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</si>
  <si>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</si>
  <si>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</si>
  <si>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</si>
  <si>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</si>
  <si>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</si>
  <si>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</si>
  <si>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</si>
  <si>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</si>
  <si>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</si>
  <si>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</si>
  <si>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</si>
  <si>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</si>
  <si>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</si>
  <si>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</si>
  <si>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</si>
  <si>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</si>
  <si>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</si>
  <si>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</si>
  <si>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</si>
  <si>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</si>
  <si>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</si>
  <si>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</si>
  <si>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</si>
  <si>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</si>
  <si>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</si>
  <si>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</si>
  <si>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</si>
  <si>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</si>
  <si>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</si>
  <si>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</si>
  <si>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</si>
  <si>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</si>
  <si>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</si>
  <si>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</si>
  <si>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</si>
  <si>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</si>
  <si>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</si>
  <si>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</si>
  <si>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</si>
  <si>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</si>
  <si>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</si>
  <si>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</si>
  <si>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</si>
  <si>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</si>
  <si>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</si>
  <si>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</si>
  <si>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</si>
  <si>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</si>
  <si>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</si>
  <si>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</si>
  <si>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</si>
  <si>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</si>
  <si>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</si>
  <si>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</si>
  <si>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</si>
  <si>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</si>
  <si>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</si>
  <si>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</si>
  <si>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</si>
  <si>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</si>
  <si>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</si>
  <si>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</si>
  <si>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</si>
  <si>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</si>
  <si>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</si>
  <si>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</si>
  <si>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</si>
  <si>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</si>
  <si>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</si>
  <si>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</si>
  <si>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</si>
  <si>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</si>
  <si>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</si>
  <si>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</si>
  <si>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</si>
  <si>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</si>
  <si>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</si>
  <si>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</si>
  <si>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</si>
  <si>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</si>
  <si>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</si>
  <si>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</si>
  <si>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</si>
  <si>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</si>
  <si>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</si>
  <si>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</si>
  <si>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</si>
  <si>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</si>
  <si>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</si>
  <si>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</si>
  <si>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</si>
  <si>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</si>
  <si>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</si>
  <si>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</si>
  <si>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</si>
  <si>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</si>
  <si>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</si>
  <si>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</si>
  <si>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</si>
  <si>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</si>
  <si>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</si>
  <si>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</si>
  <si>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</si>
  <si>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</si>
  <si>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</si>
  <si>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</si>
  <si>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</si>
  <si>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</si>
  <si>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</si>
  <si>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</si>
  <si>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</si>
  <si>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</si>
  <si>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</si>
  <si>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</si>
  <si>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</si>
  <si>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</si>
  <si>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</si>
  <si>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</si>
  <si>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</si>
  <si>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</si>
  <si>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</si>
  <si>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</si>
  <si>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</si>
  <si>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</si>
  <si>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</si>
  <si>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</si>
  <si>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</si>
  <si>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</si>
  <si>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</si>
  <si>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</si>
  <si>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</si>
  <si>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</si>
  <si>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</si>
  <si>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</si>
  <si>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</si>
  <si>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</si>
  <si>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</si>
  <si>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</si>
  <si>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</si>
  <si>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</si>
  <si>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</si>
  <si>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</si>
  <si>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</si>
  <si>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</si>
  <si>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</si>
  <si>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</si>
  <si>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</si>
  <si>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</si>
  <si>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</si>
  <si>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</si>
  <si>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</si>
  <si>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</si>
  <si>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</si>
  <si>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</si>
  <si>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</si>
  <si>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</si>
  <si>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</si>
  <si>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</si>
  <si>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</si>
  <si>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</si>
  <si>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</si>
  <si>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</si>
  <si>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</si>
  <si>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</si>
  <si>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</si>
  <si>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</si>
  <si>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</si>
  <si>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</si>
  <si>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</si>
  <si>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</si>
  <si>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</si>
  <si>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</si>
  <si>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</si>
  <si>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</si>
  <si>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</si>
  <si>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</si>
  <si>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</si>
  <si>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</si>
  <si>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</si>
  <si>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</si>
  <si>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</si>
  <si>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</si>
  <si>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</si>
  <si>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</si>
  <si>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</si>
  <si>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</si>
  <si>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</si>
  <si>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</si>
  <si>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</si>
  <si>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</si>
  <si>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</si>
  <si>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</si>
  <si>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</si>
  <si>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</si>
  <si>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</si>
  <si>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</si>
  <si>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</si>
  <si>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</si>
  <si>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</si>
  <si>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</si>
  <si>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</si>
  <si>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</si>
  <si>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</si>
  <si>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</si>
  <si>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</si>
  <si>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</si>
  <si>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</si>
  <si>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</si>
  <si>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</si>
  <si>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</si>
  <si>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</si>
  <si>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</si>
  <si>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</si>
  <si>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</si>
  <si>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</si>
  <si>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</si>
  <si>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</si>
  <si>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</si>
  <si>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</si>
  <si>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</si>
  <si>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</si>
  <si>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</si>
  <si>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</si>
  <si>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</si>
  <si>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</si>
  <si>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</si>
  <si>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</si>
  <si>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</si>
  <si>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</si>
  <si>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</si>
  <si>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</si>
  <si>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</si>
  <si>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</si>
  <si>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</si>
  <si>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</si>
  <si>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</si>
  <si>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</si>
  <si>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</si>
  <si>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</si>
  <si>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</si>
  <si>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</si>
  <si>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</si>
  <si>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</si>
  <si>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</si>
  <si>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</si>
  <si>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</si>
  <si>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</si>
  <si>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</si>
  <si>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</si>
  <si>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</si>
  <si>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</si>
  <si>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</si>
  <si>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</si>
  <si>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</si>
  <si>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</si>
  <si>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</si>
  <si>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</si>
  <si>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</si>
  <si>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</si>
  <si>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</si>
  <si>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</si>
  <si>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</si>
  <si>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</si>
  <si>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</si>
  <si>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</si>
  <si>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</si>
  <si>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</si>
  <si>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</si>
  <si>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</si>
  <si>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</si>
  <si>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</si>
  <si>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</si>
  <si>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</si>
  <si>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</si>
  <si>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</si>
  <si>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</si>
  <si>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</si>
  <si>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</si>
  <si>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</si>
  <si>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</si>
  <si>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</si>
  <si>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</si>
  <si>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</si>
  <si>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</si>
  <si>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</si>
  <si>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</si>
  <si>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</si>
  <si>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</si>
  <si>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</si>
  <si>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</si>
  <si>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</si>
  <si>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</si>
  <si>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</si>
  <si>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</si>
  <si>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</si>
  <si>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</si>
  <si>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</si>
  <si>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</si>
  <si>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</si>
  <si>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</si>
  <si>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</si>
  <si>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</si>
  <si>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</si>
  <si>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</si>
  <si>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</si>
  <si>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</si>
  <si>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</si>
  <si>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</si>
  <si>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</si>
  <si>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</si>
  <si>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</si>
  <si>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</si>
  <si>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</si>
  <si>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</si>
  <si>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</si>
  <si>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</si>
  <si>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</si>
  <si>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</si>
  <si>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</si>
  <si>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</si>
  <si>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</si>
  <si>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</si>
  <si>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</si>
  <si>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</si>
  <si>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</si>
  <si>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</si>
  <si>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</si>
  <si>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</si>
  <si>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</si>
  <si>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</si>
  <si>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</si>
  <si>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</si>
  <si>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</si>
  <si>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</si>
  <si>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</si>
  <si>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</si>
  <si>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</si>
  <si>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</si>
  <si>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</si>
  <si>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</si>
  <si>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</si>
  <si>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</si>
  <si>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</si>
  <si>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</si>
  <si>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</si>
  <si>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</si>
  <si>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</si>
  <si>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</si>
  <si>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</si>
  <si>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</si>
  <si>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</si>
  <si>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</si>
  <si>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</si>
  <si>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</si>
  <si>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</si>
  <si>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</si>
  <si>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</si>
  <si>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</si>
  <si>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</si>
  <si>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</si>
  <si>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</si>
  <si>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</si>
  <si>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</si>
  <si>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</si>
  <si>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</si>
  <si>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</si>
  <si>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</si>
  <si>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</si>
  <si>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</si>
  <si>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</si>
  <si>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</si>
  <si>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</si>
  <si>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</si>
  <si>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</si>
  <si>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</si>
  <si>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</si>
  <si>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</si>
  <si>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</si>
  <si>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</si>
  <si>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</si>
  <si>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</si>
  <si>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</si>
  <si>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</si>
  <si>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</si>
  <si>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</si>
  <si>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</si>
  <si>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</si>
  <si>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</si>
  <si>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</si>
  <si>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</si>
  <si>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</si>
  <si>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</si>
  <si>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</si>
  <si>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</si>
  <si>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</si>
  <si>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</si>
  <si>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</si>
  <si>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</si>
  <si>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</si>
  <si>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</si>
  <si>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</si>
  <si>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</si>
  <si>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</si>
  <si>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</si>
  <si>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</si>
  <si>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</si>
  <si>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</si>
  <si>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</si>
  <si>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</si>
  <si>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</si>
  <si>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</si>
  <si>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</si>
  <si>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</si>
  <si>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</si>
  <si>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</si>
  <si>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</si>
  <si>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</si>
  <si>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</si>
  <si>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</si>
  <si>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</si>
  <si>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</si>
  <si>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</si>
  <si>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</si>
  <si>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</si>
  <si>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</si>
  <si>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</si>
  <si>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</si>
  <si>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</si>
  <si>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</si>
  <si>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</si>
  <si>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</si>
  <si>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</si>
  <si>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</si>
  <si>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</si>
  <si>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</si>
  <si>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</si>
  <si>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</si>
  <si>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</si>
  <si>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</si>
  <si>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</si>
  <si>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</si>
  <si>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</si>
  <si>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</si>
  <si>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</si>
  <si>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</si>
  <si>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</si>
  <si>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</si>
  <si>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</si>
  <si>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</si>
  <si>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</si>
  <si>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</si>
  <si>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</si>
  <si>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</si>
  <si>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</si>
  <si>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</si>
  <si>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</si>
  <si>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</si>
  <si>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</si>
  <si>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</si>
  <si>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</si>
  <si>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</si>
  <si>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</si>
  <si>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</si>
  <si>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</si>
  <si>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</si>
  <si>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</si>
  <si>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</si>
  <si>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</si>
  <si>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</si>
  <si>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</si>
  <si>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</si>
  <si>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</si>
  <si>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</si>
  <si>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</si>
  <si>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</si>
  <si>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</si>
  <si>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</si>
  <si>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</si>
  <si>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</si>
  <si>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</si>
  <si>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</si>
  <si>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</si>
  <si>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</si>
  <si>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</si>
  <si>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</si>
  <si>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</si>
  <si>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</si>
  <si>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</si>
  <si>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</si>
  <si>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</si>
  <si>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</si>
  <si>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</si>
  <si>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</si>
  <si>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</si>
  <si>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</si>
  <si>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</si>
  <si>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</si>
  <si>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</si>
  <si>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</si>
  <si>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</si>
  <si>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</si>
  <si>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</si>
  <si>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</si>
  <si>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</si>
  <si>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</si>
  <si>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</si>
  <si>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</si>
  <si>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</si>
  <si>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</si>
  <si>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</si>
  <si>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</si>
  <si>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</si>
  <si>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</si>
  <si>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</si>
  <si>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</si>
  <si>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</si>
  <si>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</si>
  <si>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</si>
  <si>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</si>
  <si>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</si>
  <si>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</si>
  <si>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</si>
  <si>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</si>
  <si>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</si>
  <si>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</si>
  <si>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</si>
  <si>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</si>
  <si>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</si>
  <si>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</si>
  <si>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</si>
  <si>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</si>
  <si>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</si>
  <si>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</si>
  <si>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</si>
  <si>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</si>
  <si>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</si>
  <si>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</si>
  <si>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</si>
  <si>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</si>
  <si>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</si>
  <si>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</si>
  <si>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</si>
  <si>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</si>
  <si>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</si>
  <si>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</si>
  <si>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</si>
  <si>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</si>
  <si>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</si>
  <si>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</si>
  <si>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</si>
  <si>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</si>
  <si>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</si>
  <si>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</si>
  <si>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</si>
  <si>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</si>
  <si>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</si>
  <si>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</si>
  <si>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</si>
  <si>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</si>
  <si>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</si>
  <si>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</si>
  <si>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</si>
  <si>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</si>
  <si>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</si>
  <si>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</si>
  <si>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</si>
  <si>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</si>
  <si>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</si>
  <si>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</si>
  <si>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</si>
  <si>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</si>
  <si>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</si>
  <si>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</si>
  <si>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</si>
  <si>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</si>
  <si>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</si>
  <si>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</si>
  <si>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</si>
  <si>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</si>
  <si>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</si>
  <si>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</si>
  <si>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</si>
  <si>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</si>
  <si>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</si>
  <si>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</si>
  <si>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</si>
  <si>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</si>
  <si>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</si>
  <si>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</si>
  <si>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</si>
  <si>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</si>
  <si>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</si>
  <si>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</si>
  <si>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</si>
  <si>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</si>
  <si>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</si>
  <si>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</si>
  <si>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</si>
  <si>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</si>
  <si>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</si>
  <si>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</si>
  <si>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</si>
  <si>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</si>
  <si>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</si>
  <si>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</si>
  <si>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</si>
  <si>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</si>
  <si>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</si>
  <si>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</si>
  <si>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</si>
  <si>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</si>
  <si>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</si>
  <si>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</si>
  <si>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</si>
  <si>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</si>
  <si>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</si>
  <si>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</si>
  <si>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</si>
  <si>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</si>
  <si>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</si>
  <si>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</si>
  <si>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</si>
  <si>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</si>
  <si>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</si>
  <si>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</si>
  <si>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</si>
  <si>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</si>
  <si>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</si>
  <si>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</si>
  <si>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</si>
  <si>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</si>
  <si>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</si>
  <si>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</si>
  <si>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</si>
  <si>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</si>
  <si>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</si>
  <si>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</si>
  <si>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</si>
  <si>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</si>
  <si>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</si>
  <si>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</si>
  <si>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</si>
  <si>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</si>
  <si>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</si>
  <si>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</si>
  <si>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</si>
  <si>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</si>
  <si>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</si>
  <si>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</si>
  <si>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</si>
  <si>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</si>
  <si>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</si>
  <si>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</si>
  <si>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</si>
  <si>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</si>
  <si>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</si>
  <si>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</si>
  <si>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</si>
  <si>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</si>
  <si>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</si>
  <si>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</si>
  <si>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</si>
  <si>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</si>
  <si>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</si>
  <si>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</si>
  <si>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</si>
  <si>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</si>
  <si>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</si>
  <si>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</si>
  <si>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</si>
  <si>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</si>
  <si>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</si>
  <si>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</si>
  <si>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</si>
  <si>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</si>
  <si>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</si>
  <si>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</si>
  <si>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</si>
  <si>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</si>
  <si>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</si>
  <si>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</si>
  <si>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</si>
  <si>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</si>
  <si>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</si>
  <si>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</si>
  <si>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</si>
  <si>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</si>
  <si>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</si>
  <si>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</si>
  <si>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</si>
  <si>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</si>
  <si>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</si>
  <si>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</si>
  <si>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</si>
  <si>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</si>
  <si>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</si>
  <si>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</si>
  <si>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</si>
  <si>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</si>
  <si>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</si>
  <si>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</si>
  <si>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</si>
  <si>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</si>
  <si>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</si>
  <si>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</si>
  <si>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</si>
  <si>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</si>
  <si>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</si>
  <si>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</si>
  <si>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</si>
  <si>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</si>
  <si>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</si>
  <si>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</si>
  <si>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抵押</t>
  </si>
  <si>
    <t>房地产抵押价值</t>
  </si>
  <si>
    <t>北京市</t>
  </si>
  <si>
    <t>企业</t>
  </si>
  <si>
    <t>含税</t>
  </si>
  <si>
    <t>其他类型—销项税率</t>
  </si>
  <si>
    <t>项目模式</t>
  </si>
  <si>
    <t>售价</t>
  </si>
  <si>
    <t>1号楼</t>
  </si>
  <si>
    <t>写字间及其他附属用房</t>
  </si>
  <si>
    <t>2号楼</t>
  </si>
  <si>
    <t>3-18层</t>
  </si>
  <si>
    <t>31号楼</t>
  </si>
  <si>
    <t>库房</t>
  </si>
  <si>
    <t>商业用房</t>
  </si>
  <si>
    <t>汽车库</t>
  </si>
  <si>
    <t>商业、展示厅、库房及其他附属用房</t>
  </si>
  <si>
    <t>写字间、商业、库房及其他附属用房</t>
  </si>
  <si>
    <t>地上办公</t>
    <phoneticPr fontId="134" type="noConversion"/>
  </si>
  <si>
    <t>地上商业</t>
    <phoneticPr fontId="134" type="noConversion"/>
  </si>
  <si>
    <t>地下商业</t>
    <phoneticPr fontId="134" type="noConversion"/>
  </si>
  <si>
    <t>地下仓储</t>
  </si>
  <si>
    <t>地下仓储</t>
    <phoneticPr fontId="134" type="noConversion"/>
  </si>
  <si>
    <t>地下车库</t>
  </si>
  <si>
    <t>地下车库</t>
    <phoneticPr fontId="134" type="noConversion"/>
  </si>
  <si>
    <t>总建筑面积</t>
    <phoneticPr fontId="134" type="noConversion"/>
  </si>
  <si>
    <t>办公</t>
    <phoneticPr fontId="3" type="noConversion"/>
  </si>
  <si>
    <t>是</t>
  </si>
  <si>
    <t>地上</t>
  </si>
  <si>
    <t>商业</t>
    <phoneticPr fontId="3" type="noConversion"/>
  </si>
  <si>
    <t>地下仓储</t>
    <phoneticPr fontId="3" type="noConversion"/>
  </si>
  <si>
    <t>地下车库</t>
    <phoneticPr fontId="3" type="noConversion"/>
  </si>
  <si>
    <t>地下</t>
  </si>
  <si>
    <t>车库—办公</t>
  </si>
  <si>
    <t>基本租赁信息</t>
  </si>
  <si>
    <t>租赁期限</t>
  </si>
  <si>
    <t>现行价格含物业</t>
  </si>
  <si>
    <t>签约租金及物业费</t>
  </si>
  <si>
    <t>租金递增情况</t>
  </si>
  <si>
    <t>序号</t>
  </si>
  <si>
    <t>楼栋</t>
  </si>
  <si>
    <t>单元号</t>
  </si>
  <si>
    <t>租户名称</t>
  </si>
  <si>
    <t>所属行业</t>
  </si>
  <si>
    <t>合同类型</t>
  </si>
  <si>
    <t>建筑面积</t>
  </si>
  <si>
    <t>开始日期</t>
  </si>
  <si>
    <t>结束日期</t>
  </si>
  <si>
    <t>租期</t>
  </si>
  <si>
    <t>日租金</t>
  </si>
  <si>
    <t>月管理费</t>
  </si>
  <si>
    <t>第1次涨租日</t>
  </si>
  <si>
    <t>增幅</t>
  </si>
  <si>
    <t>调整后日租金</t>
  </si>
  <si>
    <t>租赁租户</t>
  </si>
  <si>
    <t/>
  </si>
  <si>
    <t>3层整层</t>
  </si>
  <si>
    <t>北银消费金融有限公司</t>
  </si>
  <si>
    <t>金融、投资及保险业</t>
  </si>
  <si>
    <t>4层整层</t>
  </si>
  <si>
    <t>5层整层</t>
  </si>
  <si>
    <t>北京禾森弘泽园林绿化工程有限公司</t>
  </si>
  <si>
    <t>工程</t>
  </si>
  <si>
    <t>6层整层</t>
  </si>
  <si>
    <t>咫美（北京）科技有限公司</t>
  </si>
  <si>
    <t>零售业（含餐饮）</t>
  </si>
  <si>
    <t>北京恒一易拍科技有限公司</t>
  </si>
  <si>
    <t>专业服务业</t>
  </si>
  <si>
    <t>北京钧元数智科技有限公司</t>
  </si>
  <si>
    <t>IT及高科技</t>
  </si>
  <si>
    <t>北京亿昕韵新能源技术有限公司</t>
  </si>
  <si>
    <t>8层整层</t>
  </si>
  <si>
    <t>中科联芯（广州）科技有限公司</t>
  </si>
  <si>
    <t>空置</t>
  </si>
  <si>
    <t>北京博睿天成科技有限公司</t>
  </si>
  <si>
    <t>中诚食安（北京）供应链管理有限公司</t>
  </si>
  <si>
    <t>北京中电华安科技股份有限公司</t>
  </si>
  <si>
    <t>人民电器集团有限公司</t>
  </si>
  <si>
    <t>制造业</t>
  </si>
  <si>
    <t>北京中安浩达建筑工程有限公司</t>
  </si>
  <si>
    <t>通讯设备集成</t>
  </si>
  <si>
    <t>北京中建远程建设有限公司</t>
  </si>
  <si>
    <t>专业技术服务</t>
  </si>
  <si>
    <t>北京言鼎运动文化股份有限公司</t>
  </si>
  <si>
    <t>文体娱乐</t>
  </si>
  <si>
    <t>北京言鼎中创健康科技有限公司</t>
  </si>
  <si>
    <t>北京言鼎华创体育发展有限公司</t>
  </si>
  <si>
    <t>北京涌泉私募基金管理有限公司</t>
  </si>
  <si>
    <t>金融业</t>
  </si>
  <si>
    <t>卓世科技（海南）有限公司</t>
  </si>
  <si>
    <t>15层整层</t>
  </si>
  <si>
    <t>北京础瑜广告有限公司</t>
  </si>
  <si>
    <t>北京美澄广告有限公司</t>
  </si>
  <si>
    <t>17层整层</t>
  </si>
  <si>
    <t>北京聚星动力文化传媒有限公司</t>
  </si>
  <si>
    <t>文化传媒</t>
  </si>
  <si>
    <t>18层整层</t>
  </si>
  <si>
    <t>总面积</t>
  </si>
  <si>
    <t>出租面积</t>
  </si>
  <si>
    <t>总出租率</t>
  </si>
  <si>
    <t>占用面积</t>
  </si>
  <si>
    <t>可租面积</t>
  </si>
  <si>
    <t>出租率</t>
  </si>
  <si>
    <t>办公可租</t>
  </si>
  <si>
    <t>办公占用</t>
  </si>
  <si>
    <t>办公出租率</t>
  </si>
  <si>
    <t>龙鼎（内蒙古）农业股份有限公司</t>
  </si>
  <si>
    <t>贸易</t>
  </si>
  <si>
    <t>北京壹芯科技有限公司</t>
  </si>
  <si>
    <t>北京云集至科技有限公司</t>
  </si>
  <si>
    <t>中灵智汇（北京）科技有限公司</t>
  </si>
  <si>
    <t>广西东呈酒店管理集团股份有限公司</t>
  </si>
  <si>
    <t>502、503</t>
  </si>
  <si>
    <t>鹿鸣影业有限公司</t>
  </si>
  <si>
    <t>北京中航科电测控技术股份有限公司</t>
  </si>
  <si>
    <t>北京中能诺泰节能环保技术有限责任公司</t>
  </si>
  <si>
    <t>能源行业</t>
  </si>
  <si>
    <t>7层整层</t>
  </si>
  <si>
    <t>香阁娜国际生物科技（北京）有限公司</t>
  </si>
  <si>
    <t>北京旋极安辰计算科技有限公司</t>
  </si>
  <si>
    <t>802-1</t>
  </si>
  <si>
    <t>固安县赛末点服饰中心</t>
  </si>
  <si>
    <t>802-2</t>
  </si>
  <si>
    <t>北京德西语贸易有限公司</t>
  </si>
  <si>
    <t>北京贝亿医疗器械有限公司</t>
  </si>
  <si>
    <t>北京汇亚昊正管理咨询服务集团有限公司</t>
  </si>
  <si>
    <t>北京青藤谷禧干细胞科技研究院有限公司</t>
  </si>
  <si>
    <t>生物医疗</t>
  </si>
  <si>
    <t>美丽人生国际生物科技（北京）有限公司</t>
  </si>
  <si>
    <t>北京优路成检测技术有限公司</t>
  </si>
  <si>
    <t>设备工程（智能环保/电网）</t>
  </si>
  <si>
    <t>北京真开心网络科技有限公司</t>
  </si>
  <si>
    <t>北京安优伟业科技开发有限公司</t>
  </si>
  <si>
    <t>北京熵行科技有限公司</t>
  </si>
  <si>
    <t>北京京扬物业管理有限责任公司</t>
  </si>
  <si>
    <t>12层整层</t>
  </si>
  <si>
    <t>北京市波司登贸易有限公司</t>
  </si>
  <si>
    <t>西能（北京）投资有限公司</t>
  </si>
  <si>
    <t>西部传媒有限公司</t>
  </si>
  <si>
    <t>西开资本有限公司</t>
  </si>
  <si>
    <t>西科极成电子科技（北京）有限公司</t>
  </si>
  <si>
    <t>北京奇峰聚能科技有限公司</t>
  </si>
  <si>
    <t>北京迪艾尔软件技术有限公司</t>
  </si>
  <si>
    <t>北京京威保安服务有限公司</t>
  </si>
  <si>
    <t>16层整层</t>
  </si>
  <si>
    <t>北京讯客信息技术有限公司</t>
  </si>
  <si>
    <t>第2次涨租日</t>
  </si>
  <si>
    <t>北京星巴克咖啡有限公司</t>
  </si>
  <si>
    <t>1-2层</t>
  </si>
  <si>
    <t>南段部分一、二层单元</t>
  </si>
  <si>
    <t>北京瑞程医院管理有限公司瑞泰口腔医院丰台分院</t>
  </si>
  <si>
    <t>110A/110B/111A/111B/112A/112B/113A/113B/103A/103B；201A/210B/211A/211B</t>
  </si>
  <si>
    <t>北京丰台众仁堂中医医院</t>
  </si>
  <si>
    <t>R02002-2</t>
  </si>
  <si>
    <t>B1层B101-B104</t>
  </si>
  <si>
    <t>北京全意餐饮管理有限公司</t>
  </si>
  <si>
    <t>115、116、117、205、215、216、217</t>
  </si>
  <si>
    <t>北京爱康国宾总部基地门诊部有限公司</t>
  </si>
  <si>
    <t>31号商业106-206</t>
  </si>
  <si>
    <t>101-146</t>
  </si>
  <si>
    <t>北京好麦餐饮管理有限公司南四环西路分公司</t>
  </si>
  <si>
    <t>101-147/148</t>
  </si>
  <si>
    <t>北京蓝悦心水文化有限公司</t>
  </si>
  <si>
    <t>押一</t>
  </si>
  <si>
    <t>按不含税租金收入（有效毛租金收入）计税</t>
  </si>
  <si>
    <t>钢混</t>
  </si>
  <si>
    <t>非生产用房</t>
  </si>
  <si>
    <t>否</t>
  </si>
  <si>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</si>
  <si>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</si>
  <si>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</si>
  <si>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</si>
  <si>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</si>
  <si>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</si>
  <si>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</si>
  <si>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</si>
  <si>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</si>
  <si>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收益法（汇总）</t>
  </si>
  <si>
    <t>成交时间</t>
  </si>
  <si>
    <t>楼栋号</t>
  </si>
  <si>
    <t>楼层号</t>
  </si>
  <si>
    <t>房间号</t>
  </si>
  <si>
    <t>许可证号</t>
  </si>
  <si>
    <t>物业类型</t>
  </si>
  <si>
    <t>户型</t>
  </si>
  <si>
    <t>套数</t>
  </si>
  <si>
    <t>成交面积(㎡)</t>
  </si>
  <si>
    <t>成交金额(万元)</t>
  </si>
  <si>
    <t>成交单价(元/㎡)</t>
  </si>
  <si>
    <t>7号楼</t>
  </si>
  <si>
    <t>现：京(2023)丰不动产权第0029386号</t>
  </si>
  <si>
    <t>其他</t>
  </si>
  <si>
    <t>正常</t>
  </si>
  <si>
    <t>商业、办公</t>
  </si>
  <si>
    <t>商业、办公</t>
    <phoneticPr fontId="31" type="noConversion"/>
  </si>
  <si>
    <t>写字楼</t>
  </si>
  <si>
    <t>悦荣中心</t>
    <phoneticPr fontId="3" type="noConversion"/>
  </si>
  <si>
    <t>上市时间</t>
  </si>
  <si>
    <t>成交周期(天)</t>
  </si>
  <si>
    <t>总楼层</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</si>
  <si>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</si>
  <si>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</si>
  <si>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</si>
  <si>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</si>
  <si>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</si>
  <si>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</si>
  <si>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</si>
  <si>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</si>
  <si>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</si>
  <si>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</si>
  <si>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</si>
  <si>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</si>
  <si>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</si>
  <si>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</si>
  <si>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</si>
  <si>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</si>
  <si>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</si>
  <si>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</si>
  <si>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</si>
  <si>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</si>
  <si>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</si>
  <si>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</si>
  <si>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</si>
  <si>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</si>
  <si>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</si>
  <si>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</si>
  <si>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</si>
  <si>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</si>
  <si>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</si>
  <si>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</si>
  <si>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</si>
  <si>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</si>
  <si>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</si>
  <si>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</si>
  <si>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</si>
  <si>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</si>
  <si>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</si>
  <si>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</si>
  <si>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</si>
  <si>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</si>
  <si>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</si>
  <si>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</si>
  <si>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</si>
  <si>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</si>
  <si>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</si>
  <si>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</si>
  <si>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</si>
  <si>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</si>
  <si>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</si>
  <si>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</si>
  <si>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</si>
  <si>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</si>
  <si>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</si>
  <si>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</si>
  <si>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</si>
  <si>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</si>
  <si>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</si>
  <si>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</si>
  <si>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</si>
  <si>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</si>
  <si>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</si>
  <si>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</si>
  <si>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</si>
  <si>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</si>
  <si>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</si>
  <si>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</si>
  <si>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</si>
  <si>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</si>
  <si>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</si>
  <si>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</si>
  <si>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</si>
  <si>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</si>
  <si>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</si>
  <si>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</si>
  <si>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</si>
  <si>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</si>
  <si>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华樾北京</t>
    <phoneticPr fontId="3" type="noConversion"/>
  </si>
  <si>
    <t>精装修</t>
  </si>
  <si>
    <t>专业物业</t>
  </si>
  <si>
    <t>普通装修</t>
  </si>
  <si>
    <t>0-5%</t>
  </si>
  <si>
    <r>
      <rPr>
        <sz val="11"/>
        <color rgb="FF000000"/>
        <rFont val="Arial"/>
        <family val="2"/>
      </rPr>
      <t>40-50</t>
    </r>
    <r>
      <rPr>
        <sz val="11"/>
        <color rgb="FF000000"/>
        <rFont val="宋体"/>
        <family val="3"/>
        <charset val="134"/>
      </rPr>
      <t>（含）</t>
    </r>
  </si>
  <si>
    <r>
      <t>20-30</t>
    </r>
    <r>
      <rPr>
        <sz val="11"/>
        <color indexed="8"/>
        <rFont val="宋体"/>
        <family val="3"/>
        <charset val="134"/>
      </rPr>
      <t>（含）</t>
    </r>
    <phoneticPr fontId="31" type="noConversion"/>
  </si>
  <si>
    <t>地下占比</t>
    <phoneticPr fontId="31" type="noConversion"/>
  </si>
  <si>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</si>
  <si>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</si>
  <si>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</si>
  <si>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简单装修</t>
  </si>
  <si>
    <t>毛坯</t>
  </si>
  <si>
    <t>20-25%</t>
  </si>
  <si>
    <t>15-20%</t>
  </si>
  <si>
    <t>10-15%</t>
  </si>
  <si>
    <t>5-10%</t>
  </si>
  <si>
    <t>地下用途</t>
    <phoneticPr fontId="31" type="noConversion"/>
  </si>
  <si>
    <t>商业、仓储、车库</t>
    <phoneticPr fontId="31" type="noConversion"/>
  </si>
  <si>
    <t>无</t>
    <phoneticPr fontId="31" type="noConversion"/>
  </si>
  <si>
    <t>商业、车库</t>
    <phoneticPr fontId="31" type="noConversion"/>
  </si>
  <si>
    <t>商业</t>
    <phoneticPr fontId="31" type="noConversion"/>
  </si>
  <si>
    <t>20-25%</t>
    <phoneticPr fontId="31" type="noConversion"/>
  </si>
  <si>
    <t>15-20%</t>
    <phoneticPr fontId="31" type="noConversion"/>
  </si>
  <si>
    <r>
      <t>40-50</t>
    </r>
    <r>
      <rPr>
        <sz val="11"/>
        <rFont val="宋体"/>
        <family val="3"/>
        <charset val="134"/>
      </rPr>
      <t>（含）</t>
    </r>
    <phoneticPr fontId="31" type="noConversion"/>
  </si>
  <si>
    <t>比较法-办公</t>
  </si>
  <si>
    <t>总价</t>
  </si>
  <si>
    <t>收益比率</t>
  </si>
  <si>
    <t>1号楼年收入</t>
    <phoneticPr fontId="134" type="noConversion"/>
  </si>
  <si>
    <t>2号楼年收入</t>
    <phoneticPr fontId="134" type="noConversion"/>
  </si>
  <si>
    <t>31号楼年收入</t>
    <phoneticPr fontId="134" type="noConversion"/>
  </si>
  <si>
    <t>不含税</t>
    <phoneticPr fontId="134" type="noConversion"/>
  </si>
  <si>
    <t>平均租金</t>
    <phoneticPr fontId="134" type="noConversion"/>
  </si>
  <si>
    <t>现房</t>
  </si>
  <si>
    <t>项目全部</t>
  </si>
  <si>
    <t>宗地容积率</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</si>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</sst>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yyyy\-mm\-dd"/>
    <numFmt numFmtId="197" formatCode="_(* #,##0.00_);_(* \(#,##0.00\);_(* &quot;-&quot;??_);_(@_)"/>
    <numFmt numFmtId="198" formatCode="#,##0.00_);\(#,##0.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name val="楷体"/>
      <family val="3"/>
      <charset val="134"/>
    </font>
    <font>
      <sz val="12"/>
      <name val="Times New Roman"/>
      <family val="1"/>
    </font>
    <font>
      <sz val="8"/>
      <name val="微软雅黑"/>
      <family val="2"/>
      <charset val="134"/>
    </font>
    <font>
      <sz val="11"/>
      <name val="楷体"/>
      <family val="3"/>
      <charset val="134"/>
    </font>
    <font>
      <sz val="11"/>
      <color rgb="FF000000"/>
      <name val="楷体"/>
      <family val="3"/>
      <charset val="134"/>
    </font>
    <font>
      <sz val="8"/>
      <name val="楷体"/>
      <family val="3"/>
      <charset val="134"/>
    </font>
    <font>
      <sz val="12"/>
      <name val="楷体"/>
      <family val="3"/>
      <charset val="134"/>
    </font>
    <font>
      <b/>
      <sz val="11"/>
      <color rgb="FF08090C"/>
      <name val="楷体"/>
      <family val="3"/>
      <charset val="134"/>
    </font>
    <font>
      <sz val="9"/>
      <name val="楷体"/>
      <family val="3"/>
      <charset val="134"/>
    </font>
    <font>
      <sz val="11"/>
      <color rgb="FF000000"/>
      <name val="Arial"/>
      <family val="2"/>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89013336588644"/>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thin">
        <color theme="4"/>
      </left>
      <right style="thin">
        <color rgb="FFFFFFFF"/>
      </right>
      <top style="thin">
        <color theme="4"/>
      </top>
      <bottom/>
      <diagonal/>
    </border>
    <border>
      <left style="thin">
        <color rgb="FFFFFFFF"/>
      </left>
      <right style="thin">
        <color rgb="FFFFFFFF"/>
      </right>
      <top style="thin">
        <color theme="4"/>
      </top>
      <bottom/>
      <diagonal/>
    </border>
    <border>
      <left style="thin">
        <color theme="4"/>
      </left>
      <right style="thin">
        <color rgb="FFFFFFFF"/>
      </right>
      <top/>
      <bottom style="thin">
        <color theme="4" tint="0.6599017303994873"/>
      </bottom>
      <diagonal/>
    </border>
    <border>
      <left style="thin">
        <color rgb="FFFFFFFF"/>
      </left>
      <right style="thin">
        <color rgb="FFFFFFFF"/>
      </right>
      <top/>
      <bottom style="thin">
        <color theme="4" tint="0.6599017303994873"/>
      </bottom>
      <diagonal/>
    </border>
    <border>
      <left style="thin">
        <color theme="4"/>
      </left>
      <right style="thin">
        <color theme="4" tint="0.6599017303994873"/>
      </right>
      <top/>
      <bottom style="thin">
        <color theme="4" tint="0.6599017303994873"/>
      </bottom>
      <diagonal/>
    </border>
    <border>
      <left style="thin">
        <color theme="4" tint="0.6599017303994873"/>
      </left>
      <right style="thin">
        <color theme="4" tint="0.6599017303994873"/>
      </right>
      <top/>
      <bottom style="thin">
        <color theme="4" tint="0.6599017303994873"/>
      </bottom>
      <diagonal/>
    </border>
    <border>
      <left style="thin">
        <color theme="4"/>
      </left>
      <right style="thin">
        <color theme="4" tint="0.6599017303994873"/>
      </right>
      <top style="thin">
        <color theme="4" tint="0.6599017303994873"/>
      </top>
      <bottom style="thin">
        <color theme="4" tint="0.6599017303994873"/>
      </bottom>
      <diagonal/>
    </border>
    <border>
      <left style="thin">
        <color theme="4" tint="0.6599017303994873"/>
      </left>
      <right style="thin">
        <color theme="4" tint="0.6599017303994873"/>
      </right>
      <top style="thin">
        <color theme="4" tint="0.6599017303994873"/>
      </top>
      <bottom style="thin">
        <color theme="4" tint="0.6599017303994873"/>
      </bottom>
      <diagonal/>
    </border>
    <border>
      <left style="thin">
        <color theme="4"/>
      </left>
      <right style="thin">
        <color theme="4" tint="0.6599017303994873"/>
      </right>
      <top style="thin">
        <color theme="4" tint="0.6599017303994873"/>
      </top>
      <bottom style="thin">
        <color theme="4"/>
      </bottom>
      <diagonal/>
    </border>
    <border>
      <left style="thin">
        <color theme="4" tint="0.6599017303994873"/>
      </left>
      <right style="thin">
        <color theme="4" tint="0.6599017303994873"/>
      </right>
      <top style="thin">
        <color theme="4" tint="0.6599017303994873"/>
      </top>
      <bottom style="thin">
        <color theme="4"/>
      </bottom>
      <diagonal/>
    </border>
    <border>
      <left/>
      <right style="thin">
        <color rgb="FFFFFFFF"/>
      </right>
      <top style="thin">
        <color theme="4"/>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0" fontId="217" fillId="0" borderId="0">
      <alignment vertical="center"/>
    </xf>
    <xf numFmtId="0" fontId="295" fillId="0" borderId="0"/>
    <xf numFmtId="197" fontId="295" fillId="0" borderId="0" applyFont="0" applyFill="0" applyBorder="0" applyAlignment="0" applyProtection="0"/>
    <xf numFmtId="9" fontId="295" fillId="0" borderId="0" applyFont="0" applyFill="0" applyBorder="0" applyAlignment="0" applyProtection="0"/>
    <xf numFmtId="0" fontId="147" fillId="0" borderId="0"/>
    <xf numFmtId="9" fontId="95" fillId="0" borderId="0" applyFont="0" applyFill="0" applyBorder="0" applyAlignment="0" applyProtection="0">
      <alignment vertical="center"/>
    </xf>
    <xf numFmtId="0" fontId="147" fillId="0" borderId="0"/>
  </cellStyleXfs>
  <cellXfs count="47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0" fontId="47" fillId="5" borderId="24" xfId="0" applyFont="1" applyFill="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94" fillId="0" borderId="176" xfId="19" applyFont="1" applyBorder="1" applyAlignment="1">
      <alignment horizontal="center" vertical="center" wrapText="1"/>
    </xf>
    <xf numFmtId="0" fontId="296" fillId="0" borderId="0" xfId="20" applyFont="1" applyAlignment="1">
      <alignment vertical="center"/>
    </xf>
    <xf numFmtId="0" fontId="294" fillId="0" borderId="177" xfId="19" applyFont="1" applyBorder="1" applyAlignment="1">
      <alignment horizontal="center" vertical="center" wrapText="1"/>
    </xf>
    <xf numFmtId="0" fontId="294" fillId="0" borderId="178" xfId="19" applyFont="1" applyBorder="1" applyAlignment="1">
      <alignment horizontal="center" vertical="center" wrapText="1"/>
    </xf>
    <xf numFmtId="43" fontId="294" fillId="0" borderId="178" xfId="19" applyNumberFormat="1" applyFont="1" applyBorder="1" applyAlignment="1">
      <alignment horizontal="center" vertical="center" wrapText="1"/>
    </xf>
    <xf numFmtId="1" fontId="297" fillId="0" borderId="179"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left" vertical="center" wrapText="1"/>
      <protection locked="0"/>
    </xf>
    <xf numFmtId="0" fontId="297" fillId="0" borderId="180" xfId="20" applyFont="1" applyBorder="1" applyAlignment="1">
      <alignment horizontal="center" vertical="center" wrapText="1"/>
    </xf>
    <xf numFmtId="196" fontId="297" fillId="0" borderId="180" xfId="19" applyNumberFormat="1" applyFont="1" applyBorder="1" applyAlignment="1" applyProtection="1">
      <alignment horizontal="center" vertical="center" wrapText="1"/>
      <protection locked="0"/>
    </xf>
    <xf numFmtId="43" fontId="297" fillId="0" borderId="180" xfId="19" applyNumberFormat="1" applyFont="1" applyBorder="1" applyAlignment="1" applyProtection="1">
      <alignment horizontal="center" vertical="center" wrapText="1"/>
      <protection locked="0"/>
    </xf>
    <xf numFmtId="0" fontId="296" fillId="7" borderId="0" xfId="20" applyFont="1" applyFill="1" applyAlignment="1">
      <alignment vertical="center"/>
    </xf>
    <xf numFmtId="1" fontId="297" fillId="7" borderId="181" xfId="19" applyNumberFormat="1" applyFont="1" applyFill="1" applyBorder="1" applyAlignment="1" applyProtection="1">
      <alignment horizontal="center" vertical="center" wrapText="1"/>
      <protection locked="0"/>
    </xf>
    <xf numFmtId="1" fontId="297" fillId="7" borderId="182" xfId="19" applyNumberFormat="1" applyFont="1" applyFill="1" applyBorder="1" applyAlignment="1" applyProtection="1">
      <alignment horizontal="center" vertical="center" wrapText="1"/>
      <protection locked="0"/>
    </xf>
    <xf numFmtId="0" fontId="297" fillId="7" borderId="182" xfId="19" applyFont="1" applyFill="1" applyBorder="1" applyAlignment="1" applyProtection="1">
      <alignment horizontal="left" vertical="center" wrapText="1"/>
      <protection locked="0"/>
    </xf>
    <xf numFmtId="1" fontId="297" fillId="7" borderId="182" xfId="19" applyNumberFormat="1" applyFont="1" applyFill="1" applyBorder="1" applyAlignment="1" applyProtection="1">
      <alignment horizontal="left" vertical="center" wrapText="1"/>
      <protection locked="0"/>
    </xf>
    <xf numFmtId="197" fontId="297" fillId="7" borderId="182" xfId="21" applyFont="1" applyFill="1" applyBorder="1" applyAlignment="1" applyProtection="1">
      <alignment horizontal="center" vertical="center" wrapText="1"/>
      <protection locked="0"/>
    </xf>
    <xf numFmtId="196" fontId="297" fillId="7" borderId="182" xfId="19" applyNumberFormat="1" applyFont="1" applyFill="1" applyBorder="1" applyAlignment="1" applyProtection="1">
      <alignment horizontal="center" vertical="center" wrapText="1"/>
      <protection locked="0"/>
    </xf>
    <xf numFmtId="198" fontId="297" fillId="7" borderId="182" xfId="21" applyNumberFormat="1" applyFont="1" applyFill="1" applyBorder="1" applyAlignment="1" applyProtection="1">
      <alignment horizontal="center" vertical="center" wrapText="1"/>
      <protection locked="0"/>
    </xf>
    <xf numFmtId="43" fontId="297" fillId="7" borderId="182" xfId="19" applyNumberFormat="1" applyFont="1" applyFill="1" applyBorder="1" applyAlignment="1" applyProtection="1">
      <alignment horizontal="center" vertical="center" wrapText="1"/>
      <protection locked="0"/>
    </xf>
    <xf numFmtId="9" fontId="297" fillId="7" borderId="182" xfId="22" applyFont="1" applyFill="1" applyBorder="1" applyAlignment="1" applyProtection="1">
      <alignment horizontal="center" vertical="center" wrapText="1"/>
      <protection locked="0"/>
    </xf>
    <xf numFmtId="43" fontId="297" fillId="7" borderId="182" xfId="21" applyNumberFormat="1" applyFont="1" applyFill="1" applyBorder="1" applyAlignment="1" applyProtection="1">
      <alignment horizontal="center" vertical="center" wrapText="1"/>
      <protection locked="0"/>
    </xf>
    <xf numFmtId="0" fontId="298" fillId="7" borderId="181" xfId="20" applyFont="1" applyFill="1" applyBorder="1" applyAlignment="1">
      <alignment horizontal="center" vertical="center" wrapText="1"/>
    </xf>
    <xf numFmtId="0" fontId="298" fillId="7" borderId="182" xfId="20" applyFont="1" applyFill="1" applyBorder="1" applyAlignment="1">
      <alignment horizontal="center" vertical="center" wrapText="1"/>
    </xf>
    <xf numFmtId="0" fontId="298" fillId="7" borderId="182" xfId="20" applyFont="1" applyFill="1" applyBorder="1" applyAlignment="1">
      <alignment horizontal="left" vertical="center" wrapText="1"/>
    </xf>
    <xf numFmtId="0" fontId="298" fillId="7" borderId="182" xfId="19" applyFont="1" applyFill="1" applyBorder="1" applyAlignment="1">
      <alignment horizontal="center" vertical="center" wrapText="1"/>
    </xf>
    <xf numFmtId="43" fontId="298" fillId="7" borderId="182" xfId="20" applyNumberFormat="1" applyFont="1" applyFill="1" applyBorder="1" applyAlignment="1">
      <alignment horizontal="center" vertical="center" wrapText="1"/>
    </xf>
    <xf numFmtId="10" fontId="298" fillId="7" borderId="182" xfId="20" applyNumberFormat="1" applyFont="1" applyFill="1" applyBorder="1" applyAlignment="1">
      <alignment horizontal="center" vertical="center" wrapText="1"/>
    </xf>
    <xf numFmtId="9" fontId="298" fillId="7" borderId="182" xfId="20" applyNumberFormat="1" applyFont="1" applyFill="1" applyBorder="1" applyAlignment="1">
      <alignment horizontal="center" vertical="center" wrapText="1"/>
    </xf>
    <xf numFmtId="0" fontId="298" fillId="7" borderId="183" xfId="20" applyFont="1" applyFill="1" applyBorder="1" applyAlignment="1">
      <alignment horizontal="center" vertical="center" wrapText="1"/>
    </xf>
    <xf numFmtId="0" fontId="298" fillId="7" borderId="184" xfId="20" applyFont="1" applyFill="1" applyBorder="1" applyAlignment="1">
      <alignment horizontal="center" vertical="center" wrapText="1"/>
    </xf>
    <xf numFmtId="0" fontId="298" fillId="7" borderId="184" xfId="20" applyFont="1" applyFill="1" applyBorder="1" applyAlignment="1">
      <alignment horizontal="left" vertical="center" wrapText="1"/>
    </xf>
    <xf numFmtId="0" fontId="298" fillId="7" borderId="184" xfId="19" applyFont="1" applyFill="1" applyBorder="1" applyAlignment="1">
      <alignment horizontal="center" vertical="center" wrapText="1"/>
    </xf>
    <xf numFmtId="2" fontId="298" fillId="7" borderId="184" xfId="20" applyNumberFormat="1" applyFont="1" applyFill="1" applyBorder="1" applyAlignment="1">
      <alignment horizontal="center" vertical="center" wrapText="1"/>
    </xf>
    <xf numFmtId="43" fontId="298" fillId="7" borderId="184" xfId="20" applyNumberFormat="1" applyFont="1" applyFill="1" applyBorder="1" applyAlignment="1">
      <alignment horizontal="center" vertical="center" wrapText="1"/>
    </xf>
    <xf numFmtId="0" fontId="299" fillId="7" borderId="0" xfId="19" applyFont="1" applyFill="1">
      <alignment vertical="center"/>
    </xf>
    <xf numFmtId="0" fontId="299" fillId="7" borderId="0" xfId="20" applyFont="1" applyFill="1" applyAlignment="1">
      <alignment vertical="center"/>
    </xf>
    <xf numFmtId="0" fontId="300" fillId="7" borderId="0" xfId="20" applyFont="1" applyFill="1" applyAlignment="1">
      <alignment vertical="center"/>
    </xf>
    <xf numFmtId="0" fontId="299" fillId="7" borderId="0" xfId="20" applyFont="1" applyFill="1" applyAlignment="1">
      <alignment horizontal="center" vertical="center"/>
    </xf>
    <xf numFmtId="43" fontId="299" fillId="7" borderId="0" xfId="20" applyNumberFormat="1" applyFont="1" applyFill="1" applyAlignment="1">
      <alignment vertical="center"/>
    </xf>
    <xf numFmtId="197" fontId="298" fillId="7" borderId="182" xfId="21" applyFont="1" applyFill="1" applyBorder="1" applyAlignment="1" applyProtection="1">
      <alignment horizontal="center" vertical="center" wrapText="1"/>
      <protection locked="0"/>
    </xf>
    <xf numFmtId="10" fontId="299" fillId="7" borderId="0" xfId="22" applyNumberFormat="1" applyFont="1" applyFill="1" applyAlignment="1">
      <alignment vertical="center"/>
    </xf>
    <xf numFmtId="0" fontId="299" fillId="0" borderId="0" xfId="20" applyFont="1" applyAlignment="1">
      <alignment vertical="center"/>
    </xf>
    <xf numFmtId="0" fontId="299" fillId="0" borderId="0" xfId="20" applyFont="1" applyAlignment="1">
      <alignment horizontal="center" vertical="center"/>
    </xf>
    <xf numFmtId="43" fontId="299" fillId="0" borderId="0" xfId="20" applyNumberFormat="1" applyFont="1" applyAlignment="1">
      <alignment vertical="center"/>
    </xf>
    <xf numFmtId="0" fontId="299" fillId="0" borderId="0" xfId="20" applyFont="1" applyAlignment="1">
      <alignment vertical="center" wrapText="1"/>
    </xf>
    <xf numFmtId="0" fontId="299" fillId="0" borderId="0" xfId="20" applyFont="1" applyAlignment="1">
      <alignment horizontal="right" vertical="center"/>
    </xf>
    <xf numFmtId="10" fontId="299" fillId="0" borderId="0" xfId="22" applyNumberFormat="1" applyFont="1" applyAlignment="1">
      <alignment vertical="center"/>
    </xf>
    <xf numFmtId="1" fontId="297" fillId="0" borderId="181" xfId="19" applyNumberFormat="1" applyFont="1" applyBorder="1" applyAlignment="1" applyProtection="1">
      <alignment horizontal="center" vertical="center" wrapText="1"/>
      <protection locked="0"/>
    </xf>
    <xf numFmtId="1" fontId="297" fillId="0" borderId="182" xfId="19" applyNumberFormat="1" applyFont="1" applyBorder="1" applyAlignment="1" applyProtection="1">
      <alignment horizontal="center" vertical="center" wrapText="1"/>
      <protection locked="0"/>
    </xf>
    <xf numFmtId="0" fontId="297" fillId="0" borderId="182" xfId="19" applyFont="1" applyBorder="1" applyAlignment="1" applyProtection="1">
      <alignment horizontal="left" vertical="center" wrapText="1"/>
      <protection locked="0"/>
    </xf>
    <xf numFmtId="197" fontId="297" fillId="0" borderId="182" xfId="21" applyFont="1" applyFill="1" applyBorder="1" applyAlignment="1" applyProtection="1">
      <alignment horizontal="center" vertical="center" wrapText="1"/>
      <protection locked="0"/>
    </xf>
    <xf numFmtId="196" fontId="297" fillId="0" borderId="182" xfId="19" applyNumberFormat="1" applyFont="1" applyBorder="1" applyAlignment="1" applyProtection="1">
      <alignment horizontal="center" vertical="center" wrapText="1"/>
      <protection locked="0"/>
    </xf>
    <xf numFmtId="198" fontId="297" fillId="0" borderId="182" xfId="21" applyNumberFormat="1" applyFont="1" applyFill="1" applyBorder="1" applyAlignment="1" applyProtection="1">
      <alignment horizontal="center" vertical="center" wrapText="1"/>
      <protection locked="0"/>
    </xf>
    <xf numFmtId="43" fontId="297" fillId="0" borderId="182" xfId="19" applyNumberFormat="1" applyFont="1" applyBorder="1" applyAlignment="1" applyProtection="1">
      <alignment horizontal="center" vertical="center" wrapText="1"/>
      <protection locked="0"/>
    </xf>
    <xf numFmtId="9" fontId="297" fillId="0" borderId="182" xfId="22" applyFont="1" applyFill="1" applyBorder="1" applyAlignment="1" applyProtection="1">
      <alignment horizontal="center" vertical="center" wrapText="1"/>
      <protection locked="0"/>
    </xf>
    <xf numFmtId="43" fontId="297" fillId="0" borderId="182" xfId="21" applyNumberFormat="1" applyFont="1" applyFill="1" applyBorder="1" applyAlignment="1" applyProtection="1">
      <alignment horizontal="center" vertical="center" wrapText="1"/>
      <protection locked="0"/>
    </xf>
    <xf numFmtId="1" fontId="297" fillId="0" borderId="182" xfId="19" applyNumberFormat="1" applyFont="1" applyBorder="1" applyAlignment="1" applyProtection="1">
      <alignment horizontal="left" vertical="center" wrapText="1"/>
      <protection locked="0"/>
    </xf>
    <xf numFmtId="0" fontId="297" fillId="0" borderId="182" xfId="20" applyFont="1" applyBorder="1" applyAlignment="1">
      <alignment horizontal="center" vertical="center" wrapText="1"/>
    </xf>
    <xf numFmtId="0" fontId="298" fillId="12" borderId="182" xfId="20" applyFont="1" applyFill="1" applyBorder="1" applyAlignment="1">
      <alignment horizontal="center" vertical="center" wrapText="1"/>
    </xf>
    <xf numFmtId="0" fontId="298" fillId="12" borderId="182" xfId="19" applyFont="1" applyFill="1" applyBorder="1" applyAlignment="1">
      <alignment horizontal="center" vertical="center" wrapText="1"/>
    </xf>
    <xf numFmtId="43" fontId="298" fillId="12" borderId="182" xfId="20" applyNumberFormat="1" applyFont="1" applyFill="1" applyBorder="1" applyAlignment="1">
      <alignment horizontal="center" vertical="center" wrapText="1"/>
    </xf>
    <xf numFmtId="9" fontId="298" fillId="12" borderId="182" xfId="22" applyFont="1" applyFill="1" applyBorder="1" applyAlignment="1">
      <alignment horizontal="center" vertical="center" wrapText="1"/>
    </xf>
    <xf numFmtId="10" fontId="298" fillId="12" borderId="182" xfId="20" applyNumberFormat="1" applyFont="1" applyFill="1" applyBorder="1" applyAlignment="1">
      <alignment horizontal="center" vertical="center" wrapText="1"/>
    </xf>
    <xf numFmtId="9" fontId="298" fillId="12" borderId="182" xfId="20" applyNumberFormat="1" applyFont="1" applyFill="1" applyBorder="1" applyAlignment="1">
      <alignment horizontal="center" vertical="center" wrapText="1"/>
    </xf>
    <xf numFmtId="0" fontId="298" fillId="12" borderId="184" xfId="19" applyFont="1" applyFill="1" applyBorder="1" applyAlignment="1">
      <alignment horizontal="center" vertical="center" wrapText="1"/>
    </xf>
    <xf numFmtId="2" fontId="298" fillId="12" borderId="184" xfId="20" applyNumberFormat="1" applyFont="1" applyFill="1" applyBorder="1" applyAlignment="1">
      <alignment horizontal="center" vertical="center" wrapText="1"/>
    </xf>
    <xf numFmtId="0" fontId="298" fillId="12" borderId="184" xfId="20" applyFont="1" applyFill="1" applyBorder="1" applyAlignment="1">
      <alignment horizontal="center" vertical="center" wrapText="1"/>
    </xf>
    <xf numFmtId="43" fontId="298" fillId="12" borderId="184" xfId="20" applyNumberFormat="1" applyFont="1" applyFill="1" applyBorder="1" applyAlignment="1">
      <alignment horizontal="center" vertical="center" wrapText="1"/>
    </xf>
    <xf numFmtId="9" fontId="298" fillId="12" borderId="184" xfId="22" applyFont="1" applyFill="1" applyBorder="1" applyAlignment="1">
      <alignment horizontal="center" vertical="center" wrapText="1"/>
    </xf>
    <xf numFmtId="0" fontId="299" fillId="0" borderId="0" xfId="19" applyFont="1">
      <alignment vertical="center"/>
    </xf>
    <xf numFmtId="9" fontId="299" fillId="0" borderId="0" xfId="22" applyFont="1" applyFill="1" applyAlignment="1">
      <alignment vertical="center"/>
    </xf>
    <xf numFmtId="9" fontId="299" fillId="0" borderId="0" xfId="22" applyFont="1" applyAlignment="1">
      <alignment vertical="center"/>
    </xf>
    <xf numFmtId="0" fontId="301" fillId="23" borderId="185" xfId="19" applyFont="1" applyFill="1" applyBorder="1" applyAlignment="1">
      <alignment horizontal="center" vertical="center" wrapText="1"/>
    </xf>
    <xf numFmtId="0" fontId="301" fillId="23" borderId="177" xfId="19" applyFont="1" applyFill="1" applyBorder="1" applyAlignment="1">
      <alignment horizontal="center" vertical="center" wrapText="1"/>
    </xf>
    <xf numFmtId="0" fontId="301" fillId="23" borderId="178" xfId="19" applyFont="1" applyFill="1" applyBorder="1" applyAlignment="1">
      <alignment horizontal="center" vertical="center" wrapText="1"/>
    </xf>
    <xf numFmtId="43" fontId="301" fillId="23" borderId="178" xfId="19" applyNumberFormat="1" applyFont="1" applyFill="1" applyBorder="1" applyAlignment="1">
      <alignment horizontal="center" vertical="center" wrapText="1"/>
    </xf>
    <xf numFmtId="1" fontId="298" fillId="12" borderId="179"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left" vertical="center" wrapText="1"/>
      <protection locked="0"/>
    </xf>
    <xf numFmtId="0" fontId="298" fillId="12" borderId="180" xfId="20" applyFont="1" applyFill="1" applyBorder="1" applyAlignment="1">
      <alignment horizontal="center" vertical="center" wrapText="1"/>
    </xf>
    <xf numFmtId="196" fontId="298" fillId="12" borderId="180" xfId="19" applyNumberFormat="1" applyFont="1" applyFill="1" applyBorder="1" applyAlignment="1" applyProtection="1">
      <alignment horizontal="center" vertical="center" wrapText="1"/>
      <protection locked="0"/>
    </xf>
    <xf numFmtId="43" fontId="298" fillId="12" borderId="180" xfId="19" applyNumberFormat="1" applyFont="1" applyFill="1" applyBorder="1" applyAlignment="1" applyProtection="1">
      <alignment horizontal="center" vertical="center" wrapText="1"/>
      <protection locked="0"/>
    </xf>
    <xf numFmtId="1" fontId="298" fillId="12" borderId="181"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left" vertical="center" wrapText="1"/>
      <protection locked="0"/>
    </xf>
    <xf numFmtId="197" fontId="298" fillId="12" borderId="182" xfId="21" applyFont="1" applyFill="1" applyBorder="1" applyAlignment="1" applyProtection="1">
      <alignment horizontal="center" vertical="center" wrapText="1"/>
      <protection locked="0"/>
    </xf>
    <xf numFmtId="196" fontId="298" fillId="12" borderId="182" xfId="19" applyNumberFormat="1" applyFont="1" applyFill="1" applyBorder="1" applyAlignment="1" applyProtection="1">
      <alignment horizontal="center" vertical="center" wrapText="1"/>
      <protection locked="0"/>
    </xf>
    <xf numFmtId="198" fontId="298" fillId="12" borderId="182" xfId="21" applyNumberFormat="1" applyFont="1" applyFill="1" applyBorder="1" applyAlignment="1" applyProtection="1">
      <alignment horizontal="center" vertical="center" wrapText="1"/>
      <protection locked="0"/>
    </xf>
    <xf numFmtId="43" fontId="298" fillId="12" borderId="182" xfId="19" applyNumberFormat="1" applyFont="1" applyFill="1" applyBorder="1" applyAlignment="1" applyProtection="1">
      <alignment horizontal="center" vertical="center" wrapText="1"/>
      <protection locked="0"/>
    </xf>
    <xf numFmtId="9" fontId="298" fillId="12" borderId="182" xfId="22" applyFont="1" applyFill="1" applyBorder="1" applyAlignment="1" applyProtection="1">
      <alignment horizontal="center" vertical="center" wrapText="1"/>
      <protection locked="0"/>
    </xf>
    <xf numFmtId="1" fontId="298" fillId="7" borderId="181"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left" vertical="center" wrapText="1"/>
      <protection locked="0"/>
    </xf>
    <xf numFmtId="196" fontId="298" fillId="7" borderId="182" xfId="19" applyNumberFormat="1" applyFont="1" applyFill="1" applyBorder="1" applyAlignment="1" applyProtection="1">
      <alignment horizontal="center" vertical="center" wrapText="1"/>
      <protection locked="0"/>
    </xf>
    <xf numFmtId="198" fontId="298" fillId="7" borderId="182" xfId="21" applyNumberFormat="1" applyFont="1" applyFill="1" applyBorder="1" applyAlignment="1" applyProtection="1">
      <alignment horizontal="center" vertical="center" wrapText="1"/>
      <protection locked="0"/>
    </xf>
    <xf numFmtId="43" fontId="298" fillId="7" borderId="182" xfId="19" applyNumberFormat="1" applyFont="1" applyFill="1" applyBorder="1" applyAlignment="1" applyProtection="1">
      <alignment horizontal="center" vertical="center" wrapText="1"/>
      <protection locked="0"/>
    </xf>
    <xf numFmtId="9" fontId="298" fillId="7" borderId="182" xfId="22" applyFont="1" applyFill="1" applyBorder="1" applyAlignment="1" applyProtection="1">
      <alignment horizontal="center" vertical="center" wrapText="1"/>
      <protection locked="0"/>
    </xf>
    <xf numFmtId="2" fontId="298" fillId="7" borderId="182" xfId="19" applyNumberFormat="1" applyFont="1" applyFill="1" applyBorder="1" applyAlignment="1" applyProtection="1">
      <alignment horizontal="center" vertical="center" wrapText="1"/>
      <protection locked="0"/>
    </xf>
    <xf numFmtId="43" fontId="298" fillId="12" borderId="182" xfId="21" applyNumberFormat="1" applyFont="1" applyFill="1" applyBorder="1" applyAlignment="1" applyProtection="1">
      <alignment horizontal="center" vertical="center" wrapText="1"/>
      <protection locked="0"/>
    </xf>
    <xf numFmtId="0" fontId="295" fillId="0" borderId="0" xfId="20"/>
    <xf numFmtId="0" fontId="298" fillId="12" borderId="181" xfId="20" applyFont="1" applyFill="1" applyBorder="1" applyAlignment="1">
      <alignment horizontal="center" vertical="center" wrapText="1"/>
    </xf>
    <xf numFmtId="0" fontId="298" fillId="12" borderId="182" xfId="20" applyFont="1" applyFill="1" applyBorder="1" applyAlignment="1">
      <alignment horizontal="left" vertical="center" wrapText="1"/>
    </xf>
    <xf numFmtId="0" fontId="298" fillId="12" borderId="183" xfId="20" applyFont="1" applyFill="1" applyBorder="1" applyAlignment="1">
      <alignment horizontal="center" vertical="center" wrapText="1"/>
    </xf>
    <xf numFmtId="0" fontId="298" fillId="12" borderId="184" xfId="20" applyFont="1" applyFill="1" applyBorder="1" applyAlignment="1">
      <alignment horizontal="left" vertical="center" wrapText="1"/>
    </xf>
    <xf numFmtId="0" fontId="300" fillId="0" borderId="0" xfId="20" applyFont="1" applyAlignment="1">
      <alignment vertical="center"/>
    </xf>
    <xf numFmtId="0" fontId="147" fillId="0" borderId="0" xfId="23"/>
    <xf numFmtId="0" fontId="95" fillId="0" borderId="0" xfId="10">
      <alignment vertical="center"/>
    </xf>
    <xf numFmtId="14" fontId="147" fillId="0" borderId="0" xfId="23" applyNumberFormat="1"/>
    <xf numFmtId="10" fontId="147" fillId="0" borderId="0" xfId="24" applyNumberFormat="1" applyFont="1" applyAlignment="1"/>
    <xf numFmtId="0" fontId="128" fillId="0" borderId="51" xfId="0" applyFont="1" applyBorder="1" applyAlignment="1" applyProtection="1">
      <alignment horizontal="center" vertical="center" wrapText="1"/>
      <protection locked="0"/>
    </xf>
    <xf numFmtId="0" fontId="147" fillId="0" borderId="0" xfId="25"/>
    <xf numFmtId="14" fontId="147" fillId="0" borderId="0" xfId="25" applyNumberFormat="1"/>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99" fillId="7" borderId="0" xfId="20" applyFont="1" applyFill="1" applyAlignment="1">
      <alignment horizontal="center" vertical="center" wrapText="1"/>
    </xf>
    <xf numFmtId="0" fontId="299" fillId="0" borderId="0" xfId="20" applyFont="1" applyAlignment="1">
      <alignment horizontal="center" vertical="center" wrapText="1"/>
    </xf>
    <xf numFmtId="0" fontId="294" fillId="0" borderId="175" xfId="19" applyFont="1" applyBorder="1" applyAlignment="1">
      <alignment horizontal="center" vertical="center" wrapText="1"/>
    </xf>
    <xf numFmtId="0" fontId="294" fillId="0" borderId="176" xfId="19" applyFont="1" applyBorder="1" applyAlignment="1">
      <alignment horizontal="center" vertical="center" wrapText="1"/>
    </xf>
    <xf numFmtId="43" fontId="294" fillId="0" borderId="176" xfId="19" applyNumberFormat="1" applyFont="1" applyBorder="1" applyAlignment="1">
      <alignment horizontal="center" vertical="center" wrapText="1"/>
    </xf>
    <xf numFmtId="0" fontId="298" fillId="7" borderId="182" xfId="19" applyFont="1" applyFill="1" applyBorder="1" applyAlignment="1">
      <alignment horizontal="center" vertical="center" wrapText="1"/>
    </xf>
    <xf numFmtId="0" fontId="301" fillId="23" borderId="175" xfId="19" applyFont="1" applyFill="1" applyBorder="1" applyAlignment="1">
      <alignment horizontal="center" vertical="center" wrapText="1"/>
    </xf>
    <xf numFmtId="0" fontId="301" fillId="23" borderId="176" xfId="19" applyFont="1" applyFill="1" applyBorder="1" applyAlignment="1">
      <alignment horizontal="center" vertical="center" wrapText="1"/>
    </xf>
    <xf numFmtId="43" fontId="301" fillId="23" borderId="176" xfId="19" applyNumberFormat="1"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0" fillId="0" borderId="0" xfId="0" applyFill="1">
      <alignment vertical="center"/>
    </xf>
    <xf numFmtId="44" fontId="296" fillId="0" borderId="0" xfId="20" applyNumberFormat="1" applyFont="1" applyAlignment="1">
      <alignment vertical="center"/>
    </xf>
    <xf numFmtId="197" fontId="299" fillId="0" borderId="0" xfId="20" applyNumberFormat="1" applyFont="1" applyAlignment="1">
      <alignment vertical="center"/>
    </xf>
  </cellXfs>
  <cellStyles count="26">
    <cellStyle name="百分比" xfId="17" builtinId="5"/>
    <cellStyle name="百分比 2" xfId="14" xr:uid="{00000000-0005-0000-0000-000001000000}"/>
    <cellStyle name="百分比 3" xfId="22" xr:uid="{F0503C11-AA8B-4618-B4C8-A6B72BDD9A86}"/>
    <cellStyle name="百分比 4" xfId="24" xr:uid="{8A455F13-3594-4DAD-AB08-5AF68865EF4E}"/>
    <cellStyle name="常规" xfId="0" builtinId="0"/>
    <cellStyle name="常规 10" xfId="20" xr:uid="{E877782A-C457-48A4-BD71-0F4154E44847}"/>
    <cellStyle name="常规 10 2" xfId="23" xr:uid="{81F2D371-1571-4809-93C0-71878ED20A8B}"/>
    <cellStyle name="常规 11" xfId="18" xr:uid="{00000000-0005-0000-0000-000003000000}"/>
    <cellStyle name="常规 12" xfId="25" xr:uid="{883D1A72-0BE0-4321-82C5-0AF879A81162}"/>
    <cellStyle name="常规 16" xfId="10" xr:uid="{00000000-0005-0000-0000-000004000000}"/>
    <cellStyle name="常规 18" xfId="19" xr:uid="{EE4A3E7E-4E80-4A15-BB1E-A7DF05C16C02}"/>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64EC8FA6-9B6B-4661-A7CD-A6E6AC513277}"/>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390305</xdr:colOff>
      <xdr:row>15</xdr:row>
      <xdr:rowOff>56821</xdr:rowOff>
    </xdr:to>
    <xdr:pic>
      <xdr:nvPicPr>
        <xdr:cNvPr id="2" name="图片 1">
          <a:extLst>
            <a:ext uri="{FF2B5EF4-FFF2-40B4-BE49-F238E27FC236}">
              <a16:creationId xmlns:a16="http://schemas.microsoft.com/office/drawing/2014/main" id="{EC9ACCFA-4C5B-0639-3321-13C0B3FD9960}"/>
            </a:ext>
          </a:extLst>
        </xdr:cNvPr>
        <xdr:cNvPicPr>
          <a:picLocks noChangeAspect="1"/>
        </xdr:cNvPicPr>
      </xdr:nvPicPr>
      <xdr:blipFill>
        <a:blip xmlns:r="http://schemas.openxmlformats.org/officeDocument/2006/relationships" r:embed="rId1"/>
        <a:stretch>
          <a:fillRect/>
        </a:stretch>
      </xdr:blipFill>
      <xdr:spPr>
        <a:xfrm>
          <a:off x="0" y="0"/>
          <a:ext cx="1761905" cy="2628571"/>
        </a:xfrm>
        <a:prstGeom prst="rect">
          <a:avLst/>
        </a:prstGeom>
      </xdr:spPr>
    </xdr:pic>
    <xdr:clientData/>
  </xdr:twoCellAnchor>
  <xdr:twoCellAnchor editAs="oneCell">
    <xdr:from>
      <xdr:col>2</xdr:col>
      <xdr:colOff>485775</xdr:colOff>
      <xdr:row>0</xdr:row>
      <xdr:rowOff>0</xdr:rowOff>
    </xdr:from>
    <xdr:to>
      <xdr:col>5</xdr:col>
      <xdr:colOff>418851</xdr:colOff>
      <xdr:row>15</xdr:row>
      <xdr:rowOff>123488</xdr:rowOff>
    </xdr:to>
    <xdr:pic>
      <xdr:nvPicPr>
        <xdr:cNvPr id="3" name="图片 2">
          <a:extLst>
            <a:ext uri="{FF2B5EF4-FFF2-40B4-BE49-F238E27FC236}">
              <a16:creationId xmlns:a16="http://schemas.microsoft.com/office/drawing/2014/main" id="{FC0ACA32-79D6-9626-1205-11F8A30C6C05}"/>
            </a:ext>
          </a:extLst>
        </xdr:cNvPr>
        <xdr:cNvPicPr>
          <a:picLocks noChangeAspect="1"/>
        </xdr:cNvPicPr>
      </xdr:nvPicPr>
      <xdr:blipFill>
        <a:blip xmlns:r="http://schemas.openxmlformats.org/officeDocument/2006/relationships" r:embed="rId2"/>
        <a:stretch>
          <a:fillRect/>
        </a:stretch>
      </xdr:blipFill>
      <xdr:spPr>
        <a:xfrm>
          <a:off x="1857375" y="0"/>
          <a:ext cx="1990476"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dministrator\Downloads\&#26329;&#20809;&#35199;&#37324;&#27979;&#31639;&#34920;&#26368;&#26032;&#34920;-cui-&#19968;&#23457;&#37026;&#36722;-&#29579;&#29577;&#32874;20260129-081403.xlsx" TargetMode="External"/><Relationship Id="rId1" Type="http://schemas.openxmlformats.org/officeDocument/2006/relationships/externalLinkPath" Target="file:///C:\Users\Administrator\Downloads\&#26329;&#20809;&#35199;&#37324;&#27979;&#31639;&#34920;&#26368;&#26032;&#34920;-cui-&#19968;&#23457;&#37026;&#36722;-&#29579;&#29577;&#32874;20260129-0814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成本法 (元)-fei"/>
      <sheetName val="比较法-办公"/>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20号楼面积-E座"/>
      <sheetName val="华樾北京"/>
      <sheetName val="华樾北京2"/>
      <sheetName val="悦荣中心"/>
      <sheetName val="市调"/>
      <sheetName val="租金案例"/>
      <sheetName val="中指"/>
      <sheetName val="基准地价图"/>
      <sheetName val="成本法"/>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总表"/>
      <sheetName val="选项"/>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08" customWidth="1"/>
    <col min="2" max="2" width="81" style="824" customWidth="1"/>
    <col min="3" max="16384" width="9" style="817"/>
  </cols>
  <sheetData>
    <row r="1" spans="1:2" s="811" customFormat="1" ht="16.2" thickBot="1">
      <c r="A1" s="810" t="s">
        <v>515</v>
      </c>
      <c r="B1" s="809" t="s">
        <v>594</v>
      </c>
    </row>
    <row r="2" spans="1:2" s="814" customFormat="1" ht="16.2" thickTop="1">
      <c r="A2" s="812" t="s">
        <v>516</v>
      </c>
      <c r="B2" s="813" t="str">
        <f>'预评函-封皮'!B37:I37</f>
        <v>北京市房地产抵押价值预评估</v>
      </c>
    </row>
    <row r="3" spans="1:2">
      <c r="A3" s="815" t="s">
        <v>517</v>
      </c>
      <c r="B3" s="816">
        <f>'预评函-封皮'!B40</f>
        <v>0</v>
      </c>
    </row>
    <row r="4" spans="1:2">
      <c r="A4" s="815" t="s">
        <v>518</v>
      </c>
      <c r="B4" s="816" t="str">
        <f>'预评函-封皮'!B46</f>
        <v>（注册号：0)、（注册号：0)</v>
      </c>
    </row>
    <row r="5" spans="1:2" s="811" customFormat="1" ht="16.2" thickBot="1">
      <c r="A5" s="818" t="s">
        <v>519</v>
      </c>
      <c r="B5" s="819" t="str">
        <f>'预评函-封皮'!B49</f>
        <v>康正预评字号</v>
      </c>
    </row>
    <row r="6" spans="1:2" s="814" customFormat="1" ht="16.2" thickTop="1">
      <c r="A6" s="812" t="s">
        <v>520</v>
      </c>
      <c r="B6" s="813" t="str">
        <f>'预评函-1'!A4</f>
        <v>受贵公司委托，我公司对北京市房地产抵押价值进行了预评估。</v>
      </c>
    </row>
    <row r="7" spans="1:2">
      <c r="A7" s="815" t="s">
        <v>560</v>
      </c>
      <c r="B7" s="816" t="str">
        <f>'预评函-1'!A7</f>
        <v>估价对象为北京市房地产，为所有。根据《国有土地使用证》[]，估价对象（分摊）出让国有建设用地使用权面积为16447.62平方米，建筑面积为57408.26平方米。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估价对象为北京市房地产,为开发建设的，该项目尚在开发建设中。根据《国有土地使用证》[]，估价对象（分摊）出让国有建设用地使用权面积为16447.62平方米，规划建筑面积为57408.26平方米。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2026年1月27日（评估专业人员实地查勘之日）</v>
      </c>
    </row>
    <row r="13" spans="1:2">
      <c r="A13" s="815" t="s">
        <v>523</v>
      </c>
      <c r="B13" s="816"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6.2" thickBot="1">
      <c r="A18" s="818" t="s">
        <v>528</v>
      </c>
      <c r="B18" s="819" t="str">
        <f>'预评函-1'!A24</f>
        <v>本次评估采用的主估价方法为比较法和收益法。</v>
      </c>
    </row>
    <row r="19" spans="1:2" s="814" customFormat="1" ht="16.2"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168398</v>
      </c>
    </row>
    <row r="21" spans="1:2">
      <c r="A21" s="815" t="s">
        <v>531</v>
      </c>
      <c r="B21" s="816">
        <f ca="1">'预评函-2'!D7</f>
        <v>29333</v>
      </c>
    </row>
    <row r="22" spans="1:2">
      <c r="A22" s="815" t="s">
        <v>532</v>
      </c>
      <c r="B22" s="816" t="str">
        <f ca="1">'预评函-2'!D6</f>
        <v>壹拾陆亿捌仟叁佰玖拾捌万元整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168398</v>
      </c>
    </row>
    <row r="31" spans="1:2">
      <c r="A31" s="815" t="s">
        <v>570</v>
      </c>
      <c r="B31" s="816">
        <f ca="1">'预评函-2'!D15</f>
        <v>29333</v>
      </c>
    </row>
    <row r="32" spans="1:2">
      <c r="A32" s="815" t="s">
        <v>537</v>
      </c>
      <c r="B32" s="816" t="str">
        <f ca="1">'预评函-2'!D14</f>
        <v>壹拾陆亿捌仟叁佰玖拾捌万元整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北京市房地产</v>
      </c>
    </row>
    <row r="42" spans="1:2" ht="31.2">
      <c r="A42" s="815" t="s">
        <v>584</v>
      </c>
      <c r="B42" s="816" t="str">
        <f>'预评函-3'!B2</f>
        <v>建筑面积</v>
      </c>
    </row>
    <row r="43" spans="1:2">
      <c r="A43" s="815" t="s">
        <v>585</v>
      </c>
      <c r="B43" s="816">
        <f>'预评函-3'!B4</f>
        <v>57408.26</v>
      </c>
    </row>
    <row r="44" spans="1:2" ht="31.2">
      <c r="A44" s="815" t="s">
        <v>569</v>
      </c>
      <c r="B44" s="816" t="str">
        <f>'预评函-3'!C2</f>
        <v>(分摊)土地面积</v>
      </c>
    </row>
    <row r="45" spans="1:2">
      <c r="A45" s="815" t="s">
        <v>541</v>
      </c>
      <c r="B45" s="816">
        <f>'预评函-3'!C4</f>
        <v>16447.62</v>
      </c>
    </row>
    <row r="46" spans="1:2">
      <c r="A46" s="815" t="s">
        <v>567</v>
      </c>
      <c r="B46" s="816" t="str">
        <f>'预评函-3'!D2</f>
        <v>出让国有建设用地使用权价值</v>
      </c>
    </row>
    <row r="47" spans="1:2">
      <c r="A47" s="815" t="s">
        <v>542</v>
      </c>
      <c r="B47" s="816">
        <f ca="1">'预评函-3'!D4</f>
        <v>168398</v>
      </c>
    </row>
    <row r="48" spans="1:2">
      <c r="A48" s="815" t="s">
        <v>543</v>
      </c>
      <c r="B48" s="816">
        <f ca="1">'预评函-3'!E4</f>
        <v>29333</v>
      </c>
    </row>
    <row r="49" spans="1:2">
      <c r="A49" s="815" t="s">
        <v>544</v>
      </c>
      <c r="B49" s="816" t="str">
        <f ca="1">'预评函-3'!D5</f>
        <v>壹拾陆亿捌仟叁佰玖拾捌万元整</v>
      </c>
    </row>
    <row r="50" spans="1:2">
      <c r="A50" s="815" t="s">
        <v>568</v>
      </c>
      <c r="B50" s="816">
        <f>'预评函-3'!F2</f>
        <v>0</v>
      </c>
    </row>
    <row r="51" spans="1:2">
      <c r="A51" s="815" t="s">
        <v>545</v>
      </c>
      <c r="B51" s="816">
        <f ca="1">'预评函-3'!F4</f>
        <v>0</v>
      </c>
    </row>
    <row r="52" spans="1:2">
      <c r="A52" s="815" t="s">
        <v>546</v>
      </c>
      <c r="B52" s="816">
        <f ca="1">'预评函-3'!G4</f>
        <v>0</v>
      </c>
    </row>
    <row r="53" spans="1:2">
      <c r="A53" s="815" t="s">
        <v>574</v>
      </c>
      <c r="B53" s="816" t="str">
        <f ca="1">'预评函-3'!F5</f>
        <v>零元整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6.2" thickBot="1">
      <c r="A57" s="818" t="s">
        <v>593</v>
      </c>
      <c r="B57" s="819" t="str">
        <f>'预评函-3'!A6</f>
        <v>估价师知悉的法定优先受偿款</v>
      </c>
    </row>
    <row r="58" spans="1:2" s="814" customFormat="1" ht="16.2"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6.2" thickBot="1">
      <c r="A69" s="818" t="s">
        <v>555</v>
      </c>
      <c r="B69" s="820">
        <f>'预评函-4'!C31</f>
        <v>42551</v>
      </c>
    </row>
    <row r="70" spans="1:2" ht="16.2" thickTop="1">
      <c r="A70" s="821" t="s">
        <v>556</v>
      </c>
      <c r="B70" s="822">
        <f>'预评函-4'!A4</f>
        <v>0</v>
      </c>
    </row>
    <row r="71" spans="1:2">
      <c r="A71" s="815" t="s">
        <v>557</v>
      </c>
      <c r="B71" s="816">
        <f>'预评函-4'!B4</f>
        <v>0</v>
      </c>
    </row>
    <row r="72" spans="1:2">
      <c r="A72" s="815" t="s">
        <v>558</v>
      </c>
      <c r="B72" s="823">
        <f>'预评函-4'!A5</f>
        <v>0</v>
      </c>
    </row>
    <row r="73" spans="1:2" s="811" customFormat="1" ht="16.2" thickBot="1">
      <c r="A73" s="818" t="s">
        <v>559</v>
      </c>
      <c r="B73" s="819">
        <f>'预评函-4'!B5</f>
        <v>0</v>
      </c>
    </row>
    <row r="74" spans="1:2" ht="16.2"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26" sqref="K26"/>
    </sheetView>
  </sheetViews>
  <sheetFormatPr defaultColWidth="9" defaultRowHeight="14.4"/>
  <cols>
    <col min="1" max="1" width="13.44140625" style="1118" customWidth="1"/>
    <col min="2" max="2" width="23.21875" style="1075" customWidth="1"/>
    <col min="3" max="3" width="13" style="1115" customWidth="1"/>
    <col min="4" max="4" width="5.77734375" style="1113" customWidth="1"/>
    <col min="5" max="5" width="7.109375" style="1113" customWidth="1"/>
    <col min="6" max="6" width="10.6640625" style="1113" customWidth="1"/>
    <col min="7" max="7" width="7.44140625" style="1113" customWidth="1"/>
    <col min="8" max="8" width="11.88671875" style="1115" customWidth="1"/>
    <col min="9" max="9" width="11.6640625" style="1115" customWidth="1"/>
    <col min="10" max="10" width="9" style="1115" customWidth="1"/>
    <col min="11" max="19" width="9" style="1113" customWidth="1"/>
    <col min="20" max="23" width="9" style="1115" customWidth="1"/>
    <col min="24" max="28" width="15.109375" style="1115" customWidth="1"/>
    <col min="29" max="16384" width="9" style="1075"/>
  </cols>
  <sheetData>
    <row r="1" spans="1:28" s="1110" customFormat="1" ht="43.2">
      <c r="A1" s="1106" t="s">
        <v>42</v>
      </c>
      <c r="B1" s="1107" t="s">
        <v>962</v>
      </c>
      <c r="C1" s="1108" t="s">
        <v>312</v>
      </c>
      <c r="D1" s="1109" t="s">
        <v>3233</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3269</v>
      </c>
      <c r="AA1" s="1108" t="s">
        <v>3268</v>
      </c>
      <c r="AB1" s="1108" t="s">
        <v>3</v>
      </c>
    </row>
    <row r="2" spans="1:28">
      <c r="A2" s="1111" t="s">
        <v>17</v>
      </c>
      <c r="B2" s="1111" t="s">
        <v>978</v>
      </c>
      <c r="C2" s="1112" t="s">
        <v>313</v>
      </c>
      <c r="D2" s="1113" t="s">
        <v>979</v>
      </c>
      <c r="E2" s="1113" t="s">
        <v>980</v>
      </c>
      <c r="F2" s="1113" t="s">
        <v>981</v>
      </c>
      <c r="G2" s="3602">
        <v>20</v>
      </c>
      <c r="H2" s="1113" t="s">
        <v>981</v>
      </c>
      <c r="I2" s="1113" t="s">
        <v>3219</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2324</v>
      </c>
      <c r="Y2" s="1115" t="s">
        <v>3275</v>
      </c>
      <c r="Z2" s="1115" t="s">
        <v>2337</v>
      </c>
      <c r="AA2" s="1115" t="s">
        <v>3276</v>
      </c>
      <c r="AB2" s="1115" t="s">
        <v>2364</v>
      </c>
    </row>
    <row r="3" spans="1:28">
      <c r="A3" s="1111" t="s">
        <v>986</v>
      </c>
      <c r="B3" s="1114" t="s">
        <v>442</v>
      </c>
      <c r="C3" s="1112" t="s">
        <v>314</v>
      </c>
      <c r="D3" s="1113" t="s">
        <v>987</v>
      </c>
      <c r="E3" s="1113" t="s">
        <v>12</v>
      </c>
      <c r="F3" s="1113" t="s">
        <v>988</v>
      </c>
      <c r="G3" s="3602">
        <v>40</v>
      </c>
      <c r="H3" s="1113" t="s">
        <v>988</v>
      </c>
      <c r="I3" s="1113" t="s">
        <v>3220</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2326</v>
      </c>
      <c r="Z3" s="1115" t="s">
        <v>2339</v>
      </c>
      <c r="AB3" s="1115" t="s">
        <v>2366</v>
      </c>
    </row>
    <row r="4" spans="1:28">
      <c r="A4" s="1111" t="s">
        <v>993</v>
      </c>
      <c r="B4" s="1111" t="s">
        <v>994</v>
      </c>
      <c r="C4" s="1112" t="s">
        <v>315</v>
      </c>
      <c r="D4" s="1113" t="s">
        <v>383</v>
      </c>
      <c r="E4" s="1113" t="s">
        <v>995</v>
      </c>
      <c r="F4" s="1113" t="s">
        <v>996</v>
      </c>
      <c r="G4" s="3602">
        <v>50</v>
      </c>
      <c r="H4" s="1113" t="s">
        <v>996</v>
      </c>
      <c r="I4" s="1113" t="s">
        <v>3221</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2328</v>
      </c>
      <c r="Z4" s="1115" t="s">
        <v>2341</v>
      </c>
      <c r="AB4" s="1115" t="s">
        <v>2368</v>
      </c>
    </row>
    <row r="5" spans="1:28">
      <c r="A5" s="1111" t="s">
        <v>999</v>
      </c>
      <c r="B5" s="1111" t="s">
        <v>1000</v>
      </c>
      <c r="C5" s="1112" t="s">
        <v>316</v>
      </c>
      <c r="F5" s="1113" t="s">
        <v>1001</v>
      </c>
      <c r="G5" s="3602">
        <v>70</v>
      </c>
      <c r="H5" s="1113" t="s">
        <v>1002</v>
      </c>
      <c r="I5" s="1113" t="s">
        <v>3222</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2330</v>
      </c>
      <c r="Z5" s="1115" t="s">
        <v>2343</v>
      </c>
      <c r="AB5" s="1115" t="s">
        <v>3277</v>
      </c>
    </row>
    <row r="6" spans="1:28">
      <c r="A6" s="1111" t="s">
        <v>1005</v>
      </c>
      <c r="B6" s="1114" t="s">
        <v>443</v>
      </c>
      <c r="C6" s="1116" t="s">
        <v>22</v>
      </c>
      <c r="F6" s="1113" t="s">
        <v>1002</v>
      </c>
      <c r="H6" s="1113" t="s">
        <v>1006</v>
      </c>
      <c r="I6" s="1113" t="s">
        <v>3223</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2332</v>
      </c>
      <c r="Z6" s="1115" t="s">
        <v>2345</v>
      </c>
      <c r="AB6" s="1115" t="s">
        <v>2371</v>
      </c>
    </row>
    <row r="7" spans="1:28">
      <c r="A7" s="1111" t="s">
        <v>1008</v>
      </c>
      <c r="B7" s="1114" t="s">
        <v>444</v>
      </c>
      <c r="C7" s="1112" t="s">
        <v>23</v>
      </c>
      <c r="F7" s="1113" t="s">
        <v>1009</v>
      </c>
      <c r="H7" s="1113" t="s">
        <v>1010</v>
      </c>
      <c r="I7" s="1113" t="s">
        <v>3224</v>
      </c>
      <c r="X7" s="1115" t="s">
        <v>2334</v>
      </c>
      <c r="Z7" s="1115" t="s">
        <v>2347</v>
      </c>
      <c r="AB7" s="1115" t="s">
        <v>2373</v>
      </c>
    </row>
    <row r="8" spans="1:28">
      <c r="A8" s="1111" t="s">
        <v>1011</v>
      </c>
      <c r="B8" s="1111" t="s">
        <v>2318</v>
      </c>
      <c r="C8" s="1112" t="s">
        <v>317</v>
      </c>
      <c r="F8" s="1113" t="s">
        <v>1013</v>
      </c>
      <c r="H8" s="1113" t="s">
        <v>2462</v>
      </c>
      <c r="I8" s="1113" t="s">
        <v>3225</v>
      </c>
      <c r="X8" s="1115" t="s">
        <v>3278</v>
      </c>
      <c r="Z8" s="1115" t="s">
        <v>2349</v>
      </c>
      <c r="AB8" s="1115" t="s">
        <v>2375</v>
      </c>
    </row>
    <row r="9" spans="1:28">
      <c r="A9" s="1111" t="s">
        <v>1014</v>
      </c>
      <c r="B9" s="1111" t="s">
        <v>1012</v>
      </c>
      <c r="C9" s="1112" t="s">
        <v>318</v>
      </c>
      <c r="F9" s="1113" t="s">
        <v>1016</v>
      </c>
      <c r="H9" s="1113"/>
      <c r="I9" s="1115" t="s">
        <v>3226</v>
      </c>
      <c r="X9" s="1115" t="s">
        <v>3279</v>
      </c>
      <c r="Z9" s="1115" t="s">
        <v>2351</v>
      </c>
      <c r="AB9" s="1115" t="s">
        <v>2377</v>
      </c>
    </row>
    <row r="10" spans="1:28">
      <c r="A10" s="1111" t="s">
        <v>1017</v>
      </c>
      <c r="B10" s="1111" t="s">
        <v>1015</v>
      </c>
      <c r="C10" s="1112" t="s">
        <v>319</v>
      </c>
      <c r="F10" s="1113" t="s">
        <v>2463</v>
      </c>
      <c r="I10" s="1115" t="s">
        <v>3227</v>
      </c>
      <c r="Z10" s="1115" t="s">
        <v>2353</v>
      </c>
      <c r="AB10" s="1115" t="s">
        <v>2379</v>
      </c>
    </row>
    <row r="11" spans="1:28">
      <c r="A11" s="1111" t="s">
        <v>1019</v>
      </c>
      <c r="B11" s="1111" t="s">
        <v>1018</v>
      </c>
      <c r="C11" s="1112" t="s">
        <v>320</v>
      </c>
      <c r="F11" s="1113" t="s">
        <v>12</v>
      </c>
      <c r="I11" s="1115" t="s">
        <v>3228</v>
      </c>
      <c r="Z11" s="1115" t="s">
        <v>2355</v>
      </c>
      <c r="AB11" s="1115" t="s">
        <v>2381</v>
      </c>
    </row>
    <row r="12" spans="1:28">
      <c r="A12" s="1111" t="s">
        <v>1021</v>
      </c>
      <c r="B12" s="1111" t="s">
        <v>1020</v>
      </c>
      <c r="C12" s="1112" t="s">
        <v>321</v>
      </c>
      <c r="I12" s="1115" t="s">
        <v>3229</v>
      </c>
      <c r="Z12" s="1115" t="s">
        <v>2357</v>
      </c>
      <c r="AB12" s="1115" t="s">
        <v>2383</v>
      </c>
    </row>
    <row r="13" spans="1:28">
      <c r="A13" s="1111" t="s">
        <v>1023</v>
      </c>
      <c r="B13" s="1111" t="s">
        <v>1022</v>
      </c>
      <c r="C13" s="1112" t="s">
        <v>322</v>
      </c>
      <c r="I13" s="1115" t="s">
        <v>3230</v>
      </c>
      <c r="Z13" s="1115" t="s">
        <v>2359</v>
      </c>
    </row>
    <row r="14" spans="1:28">
      <c r="A14" s="1111" t="s">
        <v>1025</v>
      </c>
      <c r="B14" s="1111" t="s">
        <v>1024</v>
      </c>
      <c r="C14" s="1113" t="s">
        <v>12</v>
      </c>
      <c r="I14" s="1115" t="s">
        <v>3231</v>
      </c>
      <c r="Z14" s="1115" t="s">
        <v>2361</v>
      </c>
    </row>
    <row r="15" spans="1:28">
      <c r="A15" s="1111" t="s">
        <v>1027</v>
      </c>
      <c r="B15" s="1111" t="s">
        <v>2193</v>
      </c>
      <c r="C15" s="1112"/>
      <c r="I15" s="1115" t="s">
        <v>3232</v>
      </c>
    </row>
    <row r="16" spans="1:28">
      <c r="A16" s="1111" t="s">
        <v>1029</v>
      </c>
      <c r="B16" s="1111" t="s">
        <v>1026</v>
      </c>
      <c r="C16" s="1112"/>
    </row>
    <row r="17" spans="1:3">
      <c r="A17" s="1111" t="s">
        <v>1030</v>
      </c>
      <c r="B17" s="1111" t="s">
        <v>1028</v>
      </c>
      <c r="C17" s="1112"/>
    </row>
    <row r="18" spans="1:3">
      <c r="A18" s="1111" t="s">
        <v>1031</v>
      </c>
      <c r="B18" s="1111" t="s">
        <v>3521</v>
      </c>
      <c r="C18" s="1112"/>
    </row>
    <row r="19" spans="1:3">
      <c r="A19" s="1111" t="s">
        <v>1032</v>
      </c>
      <c r="B19" s="1111" t="s">
        <v>3522</v>
      </c>
      <c r="C19" s="1112"/>
    </row>
    <row r="20" spans="1:3">
      <c r="A20" s="1111" t="s">
        <v>1033</v>
      </c>
      <c r="B20" s="1111" t="s">
        <v>310</v>
      </c>
      <c r="C20" s="1112"/>
    </row>
    <row r="21" spans="1:3">
      <c r="A21" s="1111" t="s">
        <v>1034</v>
      </c>
      <c r="B21" s="1111" t="s">
        <v>2193</v>
      </c>
      <c r="C21" s="1112"/>
    </row>
    <row r="22" spans="1:3">
      <c r="A22" s="1111" t="s">
        <v>1035</v>
      </c>
      <c r="B22" s="1111" t="s">
        <v>3626</v>
      </c>
      <c r="C22" s="1112"/>
    </row>
    <row r="23" spans="1:3">
      <c r="A23" s="1111" t="s">
        <v>1036</v>
      </c>
      <c r="B23" s="1111" t="s">
        <v>4160</v>
      </c>
      <c r="C23" s="1112"/>
    </row>
    <row r="24" spans="1:3">
      <c r="A24" s="1111" t="s">
        <v>1037</v>
      </c>
      <c r="B24" s="1111" t="s">
        <v>4162</v>
      </c>
      <c r="C24" s="1112"/>
    </row>
    <row r="25" spans="1:3">
      <c r="A25" s="1111" t="s">
        <v>1038</v>
      </c>
      <c r="B25" s="1111" t="s">
        <v>4164</v>
      </c>
      <c r="C25" s="1112"/>
    </row>
    <row r="26" spans="1:3">
      <c r="A26" s="1111" t="s">
        <v>1039</v>
      </c>
      <c r="B26" s="1111" t="s">
        <v>4166</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375"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5"/>
      <c r="B54" s="1117" t="s">
        <v>379</v>
      </c>
      <c r="C54" s="1115" t="s">
        <v>577</v>
      </c>
    </row>
    <row r="55" spans="1:4">
      <c r="A55" s="4375"/>
      <c r="B55" s="1117" t="s">
        <v>380</v>
      </c>
      <c r="C55" s="1115" t="s">
        <v>578</v>
      </c>
    </row>
    <row r="56" spans="1:4">
      <c r="A56" s="4375"/>
      <c r="B56" s="1117" t="s">
        <v>381</v>
      </c>
      <c r="C56" s="1115" t="s">
        <v>582</v>
      </c>
    </row>
    <row r="57" spans="1:4">
      <c r="A57" s="4375"/>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C58" sqref="C58"/>
    </sheetView>
  </sheetViews>
  <sheetFormatPr defaultColWidth="15.21875" defaultRowHeight="14.4"/>
  <cols>
    <col min="1" max="7" width="15.21875" style="2222"/>
    <col min="8" max="8" width="15" style="2222" customWidth="1"/>
    <col min="9" max="13" width="11.44140625" style="2253" customWidth="1"/>
    <col min="14" max="15" width="11.44140625" style="2222" customWidth="1"/>
    <col min="16" max="18" width="9.44140625" style="2222" customWidth="1"/>
    <col min="19" max="19" width="3.77734375" style="2222" customWidth="1"/>
    <col min="20" max="16384" width="15.21875" style="2222"/>
  </cols>
  <sheetData>
    <row r="1" spans="1:19">
      <c r="A1" s="2219" t="s">
        <v>2385</v>
      </c>
      <c r="B1" s="2220"/>
      <c r="C1" s="2220"/>
      <c r="D1" s="2220"/>
      <c r="E1" s="2220"/>
      <c r="F1" s="2221"/>
      <c r="I1" s="2543" t="s">
        <v>2478</v>
      </c>
      <c r="J1" s="3618"/>
      <c r="K1" s="3618"/>
      <c r="L1" s="3618"/>
      <c r="M1" s="3618"/>
      <c r="N1" s="3619"/>
      <c r="O1" s="3619"/>
      <c r="P1" s="3619"/>
      <c r="Q1" s="3619"/>
      <c r="R1" s="3620"/>
    </row>
    <row r="2" spans="1:19">
      <c r="A2" s="2223"/>
      <c r="B2" s="2224"/>
      <c r="C2" s="2224"/>
      <c r="D2" s="2224"/>
      <c r="E2" s="2224"/>
      <c r="F2" s="2225"/>
      <c r="I2" s="4376" t="s">
        <v>2465</v>
      </c>
      <c r="J2" s="4377"/>
      <c r="K2" s="4377"/>
      <c r="L2" s="4377"/>
      <c r="M2" s="4377"/>
      <c r="N2" s="4377"/>
      <c r="O2" s="4377"/>
      <c r="P2" s="4377"/>
      <c r="Q2" s="4377"/>
      <c r="R2" s="4378"/>
    </row>
    <row r="3" spans="1:19">
      <c r="A3" s="2226" t="s">
        <v>2386</v>
      </c>
      <c r="B3" s="2227">
        <f>项目基本情况!D3</f>
        <v>46049</v>
      </c>
      <c r="C3" s="2228"/>
      <c r="D3" s="2228"/>
      <c r="E3" s="2228"/>
      <c r="F3" s="2225"/>
      <c r="I3" s="2232"/>
      <c r="J3" s="2233" t="s">
        <v>2469</v>
      </c>
      <c r="K3" s="2233" t="s">
        <v>2470</v>
      </c>
      <c r="L3" s="2233" t="s">
        <v>2471</v>
      </c>
      <c r="M3" s="2233" t="s">
        <v>2472</v>
      </c>
      <c r="N3" s="2544" t="s">
        <v>2473</v>
      </c>
      <c r="O3" s="2544" t="s">
        <v>2474</v>
      </c>
      <c r="P3" s="2544" t="s">
        <v>2475</v>
      </c>
      <c r="Q3" s="2544" t="s">
        <v>2476</v>
      </c>
      <c r="R3" s="3605" t="s">
        <v>2477</v>
      </c>
    </row>
    <row r="4" spans="1:19">
      <c r="A4" s="2226" t="s">
        <v>2387</v>
      </c>
      <c r="B4" s="2228" t="s">
        <v>2388</v>
      </c>
      <c r="C4" s="2228" t="s">
        <v>2389</v>
      </c>
      <c r="D4" s="2228" t="s">
        <v>2390</v>
      </c>
      <c r="E4" s="2228" t="s">
        <v>2391</v>
      </c>
      <c r="F4" s="2225"/>
      <c r="I4" s="2232" t="s">
        <v>2466</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2467</v>
      </c>
      <c r="J5" s="4094">
        <v>70</v>
      </c>
      <c r="K5" s="4094">
        <v>60</v>
      </c>
      <c r="L5" s="4094">
        <v>15</v>
      </c>
      <c r="M5" s="4094">
        <v>25</v>
      </c>
      <c r="N5" s="3622">
        <v>40</v>
      </c>
      <c r="O5" s="3622">
        <v>50</v>
      </c>
      <c r="P5" s="3622">
        <v>40</v>
      </c>
      <c r="Q5" s="3622">
        <v>15</v>
      </c>
      <c r="R5" s="4095">
        <v>315</v>
      </c>
    </row>
    <row r="6" spans="1:19" ht="15" thickBot="1">
      <c r="A6" s="3621">
        <v>50</v>
      </c>
      <c r="B6" s="2227">
        <v>50028</v>
      </c>
      <c r="C6" s="3622">
        <f>ROUNDDOWN(MIN((B6-B3)/365,A6),2)</f>
        <v>10.9</v>
      </c>
      <c r="D6" s="3623">
        <f>IF(ISERROR(ROUND(POWER(1+E6,A6-C6)*(POWER(1+E6,C6)-1)/(POWER(1+E6,A6)-1),3)),0,ROUND(POWER(1+E6,A6-C6)*(POWER(1+E6,C6)-1)/(POWER(1+E6,A6)-1),4))</f>
        <v>0.40479999999999999</v>
      </c>
      <c r="E6" s="3624">
        <v>0.04</v>
      </c>
      <c r="F6" s="2225"/>
      <c r="I6" s="3606" t="s">
        <v>2468</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3673</v>
      </c>
      <c r="J7" s="3608" t="s">
        <v>3675</v>
      </c>
      <c r="K7" s="3609">
        <v>2.5</v>
      </c>
      <c r="L7" s="3610"/>
      <c r="M7" s="3604"/>
      <c r="N7" s="2220"/>
      <c r="O7" s="2220"/>
      <c r="P7" s="2220"/>
      <c r="Q7" s="2220"/>
      <c r="R7" s="2221"/>
    </row>
    <row r="8" spans="1:19" ht="15" thickBot="1">
      <c r="A8" s="2223"/>
      <c r="B8" s="2224"/>
      <c r="C8" s="2224"/>
      <c r="D8" s="2224"/>
      <c r="E8" s="2224"/>
      <c r="F8" s="2225"/>
      <c r="I8" s="4376" t="s">
        <v>3674</v>
      </c>
      <c r="J8" s="4377"/>
      <c r="K8" s="4377"/>
      <c r="L8" s="4377"/>
      <c r="M8" s="4377"/>
      <c r="N8" s="4377"/>
      <c r="O8" s="4377"/>
      <c r="P8" s="4377"/>
      <c r="Q8" s="4377"/>
      <c r="R8" s="4378"/>
    </row>
    <row r="9" spans="1:19">
      <c r="A9" s="2226" t="s">
        <v>2392</v>
      </c>
      <c r="B9" s="2228"/>
      <c r="C9" s="2228"/>
      <c r="D9" s="2228"/>
      <c r="E9" s="2228"/>
      <c r="F9" s="2229"/>
      <c r="I9" s="2232"/>
      <c r="J9" s="2233" t="s">
        <v>2469</v>
      </c>
      <c r="K9" s="2233" t="s">
        <v>2470</v>
      </c>
      <c r="L9" s="2233" t="s">
        <v>2471</v>
      </c>
      <c r="M9" s="2233" t="s">
        <v>2472</v>
      </c>
      <c r="N9" s="2544" t="s">
        <v>2473</v>
      </c>
      <c r="O9" s="2544" t="s">
        <v>2474</v>
      </c>
      <c r="P9" s="2544" t="s">
        <v>2475</v>
      </c>
      <c r="Q9" s="2544" t="s">
        <v>2476</v>
      </c>
      <c r="R9" s="3605" t="s">
        <v>2477</v>
      </c>
      <c r="S9" s="4381" t="s">
        <v>3880</v>
      </c>
    </row>
    <row r="10" spans="1:19">
      <c r="A10" s="2226" t="s">
        <v>2393</v>
      </c>
      <c r="B10" s="2228"/>
      <c r="C10" s="2228"/>
      <c r="D10" s="2228" t="s">
        <v>2391</v>
      </c>
      <c r="E10" s="2228"/>
      <c r="F10" s="2229" t="s">
        <v>2390</v>
      </c>
      <c r="I10" s="2232" t="s">
        <v>2466</v>
      </c>
      <c r="J10" s="4094">
        <f>ROUND(J4/$K$7,0)</f>
        <v>32</v>
      </c>
      <c r="K10" s="4094">
        <f t="shared" ref="K10:Q12" si="0">ROUND(K4/$K$7,0)</f>
        <v>28</v>
      </c>
      <c r="L10" s="4094">
        <f t="shared" si="0"/>
        <v>8</v>
      </c>
      <c r="M10" s="4094">
        <f t="shared" si="0"/>
        <v>12</v>
      </c>
      <c r="N10" s="4094">
        <f t="shared" si="0"/>
        <v>18</v>
      </c>
      <c r="O10" s="4094">
        <f t="shared" si="0"/>
        <v>24</v>
      </c>
      <c r="P10" s="4094">
        <f t="shared" si="0"/>
        <v>20</v>
      </c>
      <c r="Q10" s="4094">
        <f t="shared" si="0"/>
        <v>8</v>
      </c>
      <c r="R10" s="4099">
        <f>SUM(J10:Q10)</f>
        <v>150</v>
      </c>
      <c r="S10" s="4382"/>
    </row>
    <row r="11" spans="1:19">
      <c r="A11" s="3627" t="s">
        <v>2394</v>
      </c>
      <c r="B11" s="3625">
        <v>70</v>
      </c>
      <c r="C11" s="3628" t="s">
        <v>2395</v>
      </c>
      <c r="D11" s="3624">
        <v>4.4999999999999998E-2</v>
      </c>
      <c r="E11" s="3628" t="s">
        <v>2396</v>
      </c>
      <c r="F11" s="3626">
        <f>ROUND(1-(1/(POWER(1+D11,B11))),4)</f>
        <v>0.95409999999999995</v>
      </c>
      <c r="I11" s="2232" t="s">
        <v>2467</v>
      </c>
      <c r="J11" s="4094">
        <f>ROUND(J5/$K$7,0)</f>
        <v>28</v>
      </c>
      <c r="K11" s="4094">
        <f t="shared" si="0"/>
        <v>24</v>
      </c>
      <c r="L11" s="4094">
        <f t="shared" si="0"/>
        <v>6</v>
      </c>
      <c r="M11" s="4094">
        <f t="shared" si="0"/>
        <v>10</v>
      </c>
      <c r="N11" s="4094">
        <f t="shared" si="0"/>
        <v>16</v>
      </c>
      <c r="O11" s="4094">
        <f t="shared" si="0"/>
        <v>20</v>
      </c>
      <c r="P11" s="4094">
        <f t="shared" si="0"/>
        <v>16</v>
      </c>
      <c r="Q11" s="4094">
        <f t="shared" si="0"/>
        <v>6</v>
      </c>
      <c r="R11" s="4099">
        <f t="shared" ref="R11:R12" si="1">SUM(J11:Q11)</f>
        <v>126</v>
      </c>
      <c r="S11" s="4382"/>
    </row>
    <row r="12" spans="1:19" ht="15" thickBot="1">
      <c r="A12" s="3627" t="s">
        <v>2397</v>
      </c>
      <c r="B12" s="3625">
        <v>40</v>
      </c>
      <c r="C12" s="3628" t="s">
        <v>2398</v>
      </c>
      <c r="D12" s="3624">
        <v>4.4999999999999998E-2</v>
      </c>
      <c r="E12" s="3628" t="s">
        <v>2399</v>
      </c>
      <c r="F12" s="3626">
        <f>ROUND(1-(1/(POWER(1+D12,B12))),4)</f>
        <v>0.82809999999999995</v>
      </c>
      <c r="I12" s="3611" t="s">
        <v>2468</v>
      </c>
      <c r="J12" s="4094">
        <f>ROUND(J6/$K$7,0)</f>
        <v>24</v>
      </c>
      <c r="K12" s="4094">
        <f t="shared" si="0"/>
        <v>20</v>
      </c>
      <c r="L12" s="4094">
        <f t="shared" si="0"/>
        <v>4</v>
      </c>
      <c r="M12" s="4094">
        <f t="shared" si="0"/>
        <v>8</v>
      </c>
      <c r="N12" s="4094">
        <f t="shared" si="0"/>
        <v>14</v>
      </c>
      <c r="O12" s="4094">
        <f t="shared" si="0"/>
        <v>16</v>
      </c>
      <c r="P12" s="4094">
        <f t="shared" si="0"/>
        <v>12</v>
      </c>
      <c r="Q12" s="4094">
        <f t="shared" si="0"/>
        <v>4</v>
      </c>
      <c r="R12" s="4099">
        <f t="shared" si="1"/>
        <v>102</v>
      </c>
      <c r="S12" s="4382"/>
    </row>
    <row r="13" spans="1:19">
      <c r="A13" s="2226" t="s">
        <v>2400</v>
      </c>
      <c r="B13" s="2228"/>
      <c r="C13" s="2228"/>
      <c r="D13" s="2224"/>
      <c r="E13" s="2224"/>
      <c r="F13" s="2225"/>
      <c r="I13" s="3603" t="s">
        <v>3676</v>
      </c>
      <c r="J13" s="3612">
        <f>'数据-汇总表'!I6</f>
        <v>3.09</v>
      </c>
      <c r="K13" s="3604" t="s">
        <v>3677</v>
      </c>
      <c r="L13" s="3613">
        <v>0.9577</v>
      </c>
      <c r="M13" s="3604"/>
      <c r="N13" s="2220"/>
      <c r="O13" s="2220"/>
      <c r="P13" s="2220"/>
      <c r="Q13" s="2220"/>
      <c r="R13" s="2221"/>
      <c r="S13" s="4382"/>
    </row>
    <row r="14" spans="1:19">
      <c r="A14" s="3627" t="s">
        <v>2401</v>
      </c>
      <c r="B14" s="3629">
        <v>5000</v>
      </c>
      <c r="C14" s="3630"/>
      <c r="D14" s="2224"/>
      <c r="E14" s="2224"/>
      <c r="F14" s="2225"/>
      <c r="I14" s="2232"/>
      <c r="J14" s="2233" t="s">
        <v>2469</v>
      </c>
      <c r="K14" s="2233" t="s">
        <v>2470</v>
      </c>
      <c r="L14" s="2233" t="s">
        <v>2471</v>
      </c>
      <c r="M14" s="2233" t="s">
        <v>2472</v>
      </c>
      <c r="N14" s="2544" t="s">
        <v>2473</v>
      </c>
      <c r="O14" s="2544" t="s">
        <v>2474</v>
      </c>
      <c r="P14" s="2544" t="s">
        <v>2475</v>
      </c>
      <c r="Q14" s="2544" t="s">
        <v>2476</v>
      </c>
      <c r="R14" s="3605" t="s">
        <v>2477</v>
      </c>
      <c r="S14" s="4382"/>
    </row>
    <row r="15" spans="1:19">
      <c r="A15" s="3627" t="s">
        <v>2402</v>
      </c>
      <c r="B15" s="3631">
        <f>ROUND(B14*F12/F11,2)</f>
        <v>4339.6899999999996</v>
      </c>
      <c r="C15" s="3623">
        <f>ROUND(F12/F11,4)</f>
        <v>0.8679</v>
      </c>
      <c r="D15" s="2224"/>
      <c r="E15" s="2224"/>
      <c r="F15" s="2225"/>
      <c r="I15" s="2232" t="s">
        <v>2466</v>
      </c>
      <c r="J15" s="4094">
        <f>ROUND(J10*$L$13,0)</f>
        <v>31</v>
      </c>
      <c r="K15" s="4094">
        <f t="shared" ref="K15:Q15" si="2">ROUND(K10*$L$13,0)</f>
        <v>27</v>
      </c>
      <c r="L15" s="4094">
        <f t="shared" si="2"/>
        <v>8</v>
      </c>
      <c r="M15" s="4094">
        <f t="shared" si="2"/>
        <v>11</v>
      </c>
      <c r="N15" s="4094">
        <f t="shared" si="2"/>
        <v>17</v>
      </c>
      <c r="O15" s="4094">
        <f t="shared" si="2"/>
        <v>23</v>
      </c>
      <c r="P15" s="4094">
        <f t="shared" si="2"/>
        <v>19</v>
      </c>
      <c r="Q15" s="4094">
        <f t="shared" si="2"/>
        <v>8</v>
      </c>
      <c r="R15" s="4100">
        <f>SUM(J15:Q15)</f>
        <v>144</v>
      </c>
      <c r="S15" s="4382"/>
    </row>
    <row r="16" spans="1:19">
      <c r="A16" s="2226" t="s">
        <v>2403</v>
      </c>
      <c r="B16" s="2665"/>
      <c r="C16" s="2665"/>
      <c r="D16" s="2224"/>
      <c r="E16" s="2224"/>
      <c r="F16" s="2225"/>
      <c r="I16" s="2232" t="s">
        <v>2467</v>
      </c>
      <c r="J16" s="4094">
        <f t="shared" ref="J16:Q16" si="3">ROUND(J11*$L$13,0)</f>
        <v>27</v>
      </c>
      <c r="K16" s="4094">
        <f t="shared" si="3"/>
        <v>23</v>
      </c>
      <c r="L16" s="4094">
        <f t="shared" si="3"/>
        <v>6</v>
      </c>
      <c r="M16" s="4094">
        <f t="shared" si="3"/>
        <v>10</v>
      </c>
      <c r="N16" s="4094">
        <f t="shared" si="3"/>
        <v>15</v>
      </c>
      <c r="O16" s="4094">
        <f t="shared" si="3"/>
        <v>19</v>
      </c>
      <c r="P16" s="4094">
        <f t="shared" si="3"/>
        <v>15</v>
      </c>
      <c r="Q16" s="4094">
        <f t="shared" si="3"/>
        <v>6</v>
      </c>
      <c r="R16" s="4100">
        <f t="shared" ref="R16:R17" si="4">SUM(J16:Q16)</f>
        <v>121</v>
      </c>
      <c r="S16" s="4382"/>
    </row>
    <row r="17" spans="1:19" ht="15" thickBot="1">
      <c r="A17" s="3627" t="s">
        <v>2402</v>
      </c>
      <c r="B17" s="3629">
        <v>4810</v>
      </c>
      <c r="C17" s="3630"/>
      <c r="D17" s="2224"/>
      <c r="E17" s="2224"/>
      <c r="F17" s="2225"/>
      <c r="I17" s="3606" t="s">
        <v>2468</v>
      </c>
      <c r="J17" s="4094">
        <f t="shared" ref="J17:Q17" si="5">ROUND(J12*$L$13,0)</f>
        <v>23</v>
      </c>
      <c r="K17" s="4094">
        <f t="shared" si="5"/>
        <v>19</v>
      </c>
      <c r="L17" s="4094">
        <f t="shared" si="5"/>
        <v>4</v>
      </c>
      <c r="M17" s="4094">
        <f t="shared" si="5"/>
        <v>8</v>
      </c>
      <c r="N17" s="4094">
        <f t="shared" si="5"/>
        <v>13</v>
      </c>
      <c r="O17" s="4094">
        <f t="shared" si="5"/>
        <v>15</v>
      </c>
      <c r="P17" s="4094">
        <f t="shared" si="5"/>
        <v>11</v>
      </c>
      <c r="Q17" s="4094">
        <f t="shared" si="5"/>
        <v>4</v>
      </c>
      <c r="R17" s="4100">
        <f t="shared" si="4"/>
        <v>97</v>
      </c>
      <c r="S17" s="4383"/>
    </row>
    <row r="18" spans="1:19" ht="15" thickBot="1">
      <c r="A18" s="3632" t="s">
        <v>2401</v>
      </c>
      <c r="B18" s="3633">
        <f>ROUND(B17*F11/F12,2)</f>
        <v>5541.87</v>
      </c>
      <c r="C18" s="3634">
        <f>ROUND(F11/F12,4)</f>
        <v>1.1521999999999999</v>
      </c>
      <c r="D18" s="2230"/>
      <c r="E18" s="2230"/>
      <c r="F18" s="2231"/>
    </row>
    <row r="19" spans="1:19" s="3615" customFormat="1" ht="15" thickBot="1">
      <c r="I19" s="3614"/>
      <c r="J19" s="3614"/>
      <c r="K19" s="3614"/>
      <c r="L19" s="3614"/>
      <c r="M19" s="3614"/>
    </row>
    <row r="20" spans="1:19">
      <c r="A20" s="3616" t="s">
        <v>2404</v>
      </c>
      <c r="B20" s="2386"/>
      <c r="C20" s="2386"/>
      <c r="D20" s="2386"/>
      <c r="E20" s="2386"/>
      <c r="F20" s="2386"/>
      <c r="G20" s="3617"/>
      <c r="I20" s="2253" t="s">
        <v>2449</v>
      </c>
      <c r="J20" s="2253" t="s">
        <v>2454</v>
      </c>
    </row>
    <row r="21" spans="1:19">
      <c r="A21" s="2232"/>
      <c r="B21" s="2233" t="s">
        <v>2405</v>
      </c>
      <c r="C21" s="2233" t="s">
        <v>2406</v>
      </c>
      <c r="D21" s="2233" t="s">
        <v>2407</v>
      </c>
      <c r="E21" s="2233" t="s">
        <v>2408</v>
      </c>
      <c r="F21" s="2233" t="s">
        <v>2409</v>
      </c>
      <c r="G21" s="2234" t="s">
        <v>2410</v>
      </c>
      <c r="I21" s="2667">
        <v>5</v>
      </c>
      <c r="J21" s="2666">
        <v>54.2</v>
      </c>
      <c r="K21" s="2666"/>
    </row>
    <row r="22" spans="1:19">
      <c r="A22" s="2232" t="s">
        <v>2411</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2412</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2452</v>
      </c>
      <c r="N23" s="2551" t="s">
        <v>2453</v>
      </c>
    </row>
    <row r="24" spans="1:19">
      <c r="A24" s="2232" t="s">
        <v>2413</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2451</v>
      </c>
      <c r="N24" s="2668">
        <v>10</v>
      </c>
    </row>
    <row r="25" spans="1:19">
      <c r="A25" s="2232" t="s">
        <v>2414</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2455</v>
      </c>
      <c r="N25" s="2668">
        <v>8</v>
      </c>
    </row>
    <row r="26" spans="1:19">
      <c r="A26" s="2235"/>
      <c r="B26" s="2236"/>
      <c r="C26" s="2236"/>
      <c r="D26" s="2236"/>
      <c r="E26" s="2236"/>
      <c r="F26" s="2236"/>
      <c r="G26" s="2237"/>
      <c r="I26" s="2667">
        <v>30</v>
      </c>
      <c r="J26" s="2666">
        <v>90.5</v>
      </c>
      <c r="K26" s="2666">
        <f t="shared" si="7"/>
        <v>4.2000000000000028</v>
      </c>
      <c r="L26" s="2253" t="s">
        <v>2456</v>
      </c>
      <c r="N26" s="2668">
        <v>5</v>
      </c>
    </row>
    <row r="27" spans="1:19">
      <c r="A27" s="2235" t="s">
        <v>2415</v>
      </c>
      <c r="B27" s="2236"/>
      <c r="C27" s="2236"/>
      <c r="D27" s="2236"/>
      <c r="E27" s="2236"/>
      <c r="F27" s="2236"/>
      <c r="G27" s="2237"/>
      <c r="I27" s="2667">
        <v>35</v>
      </c>
      <c r="J27" s="2666">
        <v>93.8</v>
      </c>
      <c r="K27" s="2666">
        <f t="shared" si="7"/>
        <v>3.2999999999999972</v>
      </c>
      <c r="L27" s="2253" t="s">
        <v>2457</v>
      </c>
      <c r="N27" s="2668">
        <v>3</v>
      </c>
    </row>
    <row r="28" spans="1:19">
      <c r="A28" s="2235" t="s">
        <v>2416</v>
      </c>
      <c r="B28" s="2236"/>
      <c r="C28" s="2236"/>
      <c r="D28" s="2236"/>
      <c r="E28" s="2236"/>
      <c r="F28" s="2236"/>
      <c r="G28" s="2237"/>
      <c r="I28" s="2667">
        <v>40</v>
      </c>
      <c r="J28" s="2666">
        <v>96.4</v>
      </c>
      <c r="K28" s="2666">
        <f t="shared" si="7"/>
        <v>2.6000000000000085</v>
      </c>
      <c r="L28" s="2253" t="s">
        <v>2458</v>
      </c>
      <c r="N28" s="2668">
        <v>2</v>
      </c>
    </row>
    <row r="29" spans="1:19">
      <c r="A29" s="2235" t="s">
        <v>2417</v>
      </c>
      <c r="B29" s="2236"/>
      <c r="C29" s="2236"/>
      <c r="D29" s="2236"/>
      <c r="E29" s="2236"/>
      <c r="F29" s="2236"/>
      <c r="G29" s="2237"/>
      <c r="I29" s="2667">
        <v>45</v>
      </c>
      <c r="J29" s="2666">
        <v>98.4</v>
      </c>
      <c r="K29" s="2666">
        <f t="shared" si="7"/>
        <v>2</v>
      </c>
    </row>
    <row r="30" spans="1:19">
      <c r="A30" s="2235" t="s">
        <v>2418</v>
      </c>
      <c r="B30" s="2236"/>
      <c r="C30" s="2236"/>
      <c r="D30" s="2236"/>
      <c r="E30" s="2236"/>
      <c r="F30" s="2236"/>
      <c r="G30" s="2237"/>
      <c r="I30" s="2667">
        <v>50</v>
      </c>
      <c r="J30" s="2666">
        <v>100</v>
      </c>
      <c r="K30" s="2666">
        <f t="shared" si="7"/>
        <v>1.5999999999999943</v>
      </c>
    </row>
    <row r="31" spans="1:19">
      <c r="A31" s="2235" t="s">
        <v>2419</v>
      </c>
      <c r="B31" s="2236"/>
      <c r="C31" s="2236"/>
      <c r="D31" s="2236"/>
      <c r="E31" s="2236"/>
      <c r="F31" s="2236"/>
      <c r="G31" s="2237"/>
      <c r="I31" s="2253" t="s">
        <v>2450</v>
      </c>
    </row>
    <row r="32" spans="1:19">
      <c r="A32" s="2235" t="s">
        <v>2420</v>
      </c>
      <c r="B32" s="2236"/>
      <c r="C32" s="2236"/>
      <c r="D32" s="2236"/>
      <c r="E32" s="2236"/>
      <c r="F32" s="2236"/>
      <c r="G32" s="2237"/>
    </row>
    <row r="33" spans="1:14">
      <c r="A33" s="2235" t="s">
        <v>2421</v>
      </c>
      <c r="B33" s="2236"/>
      <c r="C33" s="2236"/>
      <c r="D33" s="2236"/>
      <c r="E33" s="2236"/>
      <c r="F33" s="2236"/>
      <c r="G33" s="2237"/>
      <c r="I33" s="2253" t="s">
        <v>2449</v>
      </c>
      <c r="J33" s="2253" t="s">
        <v>2459</v>
      </c>
    </row>
    <row r="34" spans="1:14">
      <c r="A34" s="2235" t="s">
        <v>2422</v>
      </c>
      <c r="B34" s="2236"/>
      <c r="C34" s="2236"/>
      <c r="D34" s="2236"/>
      <c r="E34" s="2236"/>
      <c r="F34" s="2236"/>
      <c r="G34" s="2237"/>
      <c r="I34" s="2667">
        <v>5</v>
      </c>
      <c r="J34" s="2666">
        <v>55.1</v>
      </c>
      <c r="K34" s="2666"/>
    </row>
    <row r="35" spans="1:14">
      <c r="A35" s="2235" t="s">
        <v>2423</v>
      </c>
      <c r="B35" s="2236"/>
      <c r="C35" s="2236"/>
      <c r="D35" s="2236"/>
      <c r="E35" s="2236"/>
      <c r="F35" s="2236"/>
      <c r="G35" s="2237"/>
      <c r="I35" s="2667">
        <v>10</v>
      </c>
      <c r="J35" s="2666">
        <v>67</v>
      </c>
      <c r="K35" s="2666">
        <f>J35-J34</f>
        <v>11.899999999999999</v>
      </c>
    </row>
    <row r="36" spans="1:14">
      <c r="A36" s="2235" t="s">
        <v>2424</v>
      </c>
      <c r="B36" s="2236"/>
      <c r="C36" s="2236"/>
      <c r="D36" s="2236"/>
      <c r="E36" s="2236"/>
      <c r="F36" s="2236"/>
      <c r="G36" s="2237"/>
      <c r="I36" s="2667">
        <v>15</v>
      </c>
      <c r="J36" s="2666">
        <v>76.3</v>
      </c>
      <c r="K36" s="2666">
        <f t="shared" ref="K36:K41" si="8">J36-J35</f>
        <v>9.2999999999999972</v>
      </c>
      <c r="L36" s="2253" t="s">
        <v>2452</v>
      </c>
      <c r="N36" s="2551" t="s">
        <v>2453</v>
      </c>
    </row>
    <row r="37" spans="1:14">
      <c r="A37" s="2235" t="s">
        <v>2425</v>
      </c>
      <c r="B37" s="2236"/>
      <c r="C37" s="2236"/>
      <c r="D37" s="2236"/>
      <c r="E37" s="2236"/>
      <c r="F37" s="2236"/>
      <c r="G37" s="2237"/>
      <c r="I37" s="2667">
        <v>20</v>
      </c>
      <c r="J37" s="2666">
        <v>83.6</v>
      </c>
      <c r="K37" s="2666">
        <f t="shared" si="8"/>
        <v>7.2999999999999972</v>
      </c>
      <c r="L37" s="2253" t="s">
        <v>2451</v>
      </c>
      <c r="N37" s="2668">
        <v>10</v>
      </c>
    </row>
    <row r="38" spans="1:14">
      <c r="A38" s="2235" t="s">
        <v>2426</v>
      </c>
      <c r="B38" s="2236"/>
      <c r="C38" s="2236"/>
      <c r="D38" s="2236"/>
      <c r="E38" s="2236"/>
      <c r="F38" s="2236"/>
      <c r="G38" s="2237"/>
      <c r="I38" s="2667">
        <v>25</v>
      </c>
      <c r="J38" s="2666">
        <v>89.3</v>
      </c>
      <c r="K38" s="2666">
        <f t="shared" si="8"/>
        <v>5.7000000000000028</v>
      </c>
      <c r="L38" s="2253" t="s">
        <v>2455</v>
      </c>
      <c r="N38" s="2668">
        <v>8</v>
      </c>
    </row>
    <row r="39" spans="1:14">
      <c r="A39" s="2235"/>
      <c r="B39" s="2236"/>
      <c r="C39" s="2236"/>
      <c r="D39" s="2236"/>
      <c r="E39" s="2236"/>
      <c r="F39" s="2236"/>
      <c r="G39" s="2237"/>
      <c r="I39" s="2667">
        <v>30</v>
      </c>
      <c r="J39" s="2666">
        <v>93.8</v>
      </c>
      <c r="K39" s="2666">
        <f t="shared" si="8"/>
        <v>4.5</v>
      </c>
      <c r="L39" s="2253" t="s">
        <v>2456</v>
      </c>
      <c r="N39" s="2668">
        <v>6</v>
      </c>
    </row>
    <row r="40" spans="1:14">
      <c r="A40" s="2238" t="s">
        <v>2427</v>
      </c>
      <c r="B40" s="2239"/>
      <c r="C40" s="2239"/>
      <c r="D40" s="2239"/>
      <c r="E40" s="2239"/>
      <c r="F40" s="2239"/>
      <c r="G40" s="2240"/>
      <c r="I40" s="2667">
        <v>35</v>
      </c>
      <c r="J40" s="2666">
        <v>97.2</v>
      </c>
      <c r="K40" s="2666">
        <f t="shared" si="8"/>
        <v>3.4000000000000057</v>
      </c>
      <c r="L40" s="2253" t="s">
        <v>2457</v>
      </c>
      <c r="N40" s="2668">
        <v>3</v>
      </c>
    </row>
    <row r="41" spans="1:14">
      <c r="A41" s="2241" t="s">
        <v>2428</v>
      </c>
      <c r="B41" s="2242" t="s">
        <v>2429</v>
      </c>
      <c r="C41" s="2243" t="s">
        <v>2430</v>
      </c>
      <c r="D41" s="2243" t="s">
        <v>2431</v>
      </c>
      <c r="E41" s="2244"/>
      <c r="F41" s="2245"/>
      <c r="G41" s="2246"/>
      <c r="I41" s="2667">
        <v>40</v>
      </c>
      <c r="J41" s="2666">
        <v>100</v>
      </c>
      <c r="K41" s="2666">
        <f t="shared" si="8"/>
        <v>2.7999999999999972</v>
      </c>
    </row>
    <row r="42" spans="1:14">
      <c r="A42" s="2241" t="s">
        <v>2432</v>
      </c>
      <c r="B42" s="2242" t="s">
        <v>2433</v>
      </c>
      <c r="C42" s="2243" t="s">
        <v>2434</v>
      </c>
      <c r="D42" s="2247" t="s">
        <v>2435</v>
      </c>
      <c r="E42" s="2239" t="s">
        <v>2436</v>
      </c>
      <c r="F42" s="2239"/>
      <c r="G42" s="2240"/>
    </row>
    <row r="43" spans="1:14">
      <c r="A43" s="2241" t="s">
        <v>2437</v>
      </c>
      <c r="B43" s="2242" t="s">
        <v>2438</v>
      </c>
      <c r="C43" s="2243" t="s">
        <v>2439</v>
      </c>
      <c r="D43" s="2243" t="s">
        <v>2440</v>
      </c>
      <c r="E43" s="2244" t="s">
        <v>2441</v>
      </c>
      <c r="F43" s="2245"/>
      <c r="G43" s="2246"/>
      <c r="I43" s="2253" t="s">
        <v>2449</v>
      </c>
      <c r="J43" s="2253" t="s">
        <v>2460</v>
      </c>
    </row>
    <row r="44" spans="1:14">
      <c r="A44" s="2241" t="s">
        <v>2442</v>
      </c>
      <c r="B44" s="2242" t="s">
        <v>2443</v>
      </c>
      <c r="C44" s="2243" t="s">
        <v>2444</v>
      </c>
      <c r="D44" s="2247">
        <v>0.5</v>
      </c>
      <c r="E44" s="2244" t="s">
        <v>2445</v>
      </c>
      <c r="F44" s="2245"/>
      <c r="G44" s="2246"/>
      <c r="I44" s="2667">
        <v>30</v>
      </c>
      <c r="J44" s="2666">
        <v>81.7</v>
      </c>
      <c r="K44" s="2666"/>
    </row>
    <row r="45" spans="1:14" ht="15" thickBot="1">
      <c r="A45" s="2248" t="s">
        <v>2446</v>
      </c>
      <c r="B45" s="2249" t="s">
        <v>2433</v>
      </c>
      <c r="C45" s="2250" t="s">
        <v>2433</v>
      </c>
      <c r="D45" s="2250" t="s">
        <v>2447</v>
      </c>
      <c r="E45" s="2251" t="s">
        <v>2448</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5" thickBot="1"/>
    <row r="49" spans="1:15" s="4093" customFormat="1" ht="15.6" thickTop="1" thickBot="1">
      <c r="A49" s="4091" t="s">
        <v>3347</v>
      </c>
      <c r="B49" s="4092"/>
      <c r="C49" s="4092"/>
      <c r="D49" s="4092"/>
      <c r="E49" s="4092"/>
      <c r="I49" s="4379" t="s">
        <v>3359</v>
      </c>
      <c r="J49" s="4379"/>
      <c r="K49" s="4379"/>
      <c r="L49" s="4379"/>
      <c r="M49" s="4379"/>
    </row>
    <row r="50" spans="1:15">
      <c r="A50" s="2678" t="s">
        <v>3348</v>
      </c>
      <c r="B50" s="2681" t="s">
        <v>3349</v>
      </c>
      <c r="C50" s="2684" t="s">
        <v>3350</v>
      </c>
      <c r="D50" s="2685" t="s">
        <v>3358</v>
      </c>
      <c r="E50" s="2686" t="s">
        <v>3357</v>
      </c>
      <c r="F50" s="2687" t="s">
        <v>3365</v>
      </c>
      <c r="I50" s="2233" t="s">
        <v>3360</v>
      </c>
      <c r="J50" s="2233" t="s">
        <v>3361</v>
      </c>
      <c r="K50" s="2233" t="s">
        <v>3362</v>
      </c>
      <c r="L50" s="2233" t="s">
        <v>3363</v>
      </c>
      <c r="M50" s="4060" t="s">
        <v>3364</v>
      </c>
    </row>
    <row r="51" spans="1:15">
      <c r="A51" s="1915" t="s">
        <v>3833</v>
      </c>
      <c r="B51" s="2682">
        <f>B52+B53</f>
        <v>57408.26</v>
      </c>
      <c r="C51" s="2682">
        <f>E51/B51</f>
        <v>2614.8684875660747</v>
      </c>
      <c r="D51" s="2691"/>
      <c r="E51" s="2694">
        <f>E52+E53</f>
        <v>150115050</v>
      </c>
      <c r="F51" s="4054">
        <f>E51/$E$62</f>
        <v>0.49221707841168494</v>
      </c>
      <c r="I51" s="2233"/>
      <c r="J51" s="2233"/>
      <c r="K51" s="2233"/>
      <c r="L51" s="2233"/>
      <c r="M51" s="4060"/>
    </row>
    <row r="52" spans="1:15">
      <c r="A52" s="2679" t="s">
        <v>3351</v>
      </c>
      <c r="B52" s="2671">
        <f>面积位置!O21+面积位置!O22</f>
        <v>50813.86</v>
      </c>
      <c r="C52" s="2690"/>
      <c r="D52" s="2673">
        <v>2500</v>
      </c>
      <c r="E52" s="2693">
        <f>D52*B52</f>
        <v>127034650</v>
      </c>
      <c r="F52" s="2688"/>
      <c r="G52" s="2670" t="s">
        <v>3834</v>
      </c>
      <c r="H52" s="2670"/>
      <c r="I52" s="2676">
        <f>E52</f>
        <v>127034650</v>
      </c>
      <c r="J52" s="2676">
        <f>E55</f>
        <v>60976632</v>
      </c>
      <c r="K52" s="2676">
        <f>E58</f>
        <v>76220790</v>
      </c>
      <c r="L52" s="2676">
        <f>E60*B52/B51</f>
        <v>0</v>
      </c>
      <c r="M52" s="4061">
        <f>E61*B52/B51</f>
        <v>10382501.720140982</v>
      </c>
      <c r="O52" s="4059"/>
    </row>
    <row r="53" spans="1:15">
      <c r="A53" s="2679" t="s">
        <v>3352</v>
      </c>
      <c r="B53" s="2671">
        <f>面积位置!O23+面积位置!O24+面积位置!O25</f>
        <v>6594.4</v>
      </c>
      <c r="C53" s="2690"/>
      <c r="D53" s="2673">
        <v>3500</v>
      </c>
      <c r="E53" s="2693">
        <f>D53*B53</f>
        <v>23080400</v>
      </c>
      <c r="F53" s="2688"/>
      <c r="G53" s="2670" t="s">
        <v>3835</v>
      </c>
      <c r="H53" s="2670"/>
      <c r="I53" s="2676">
        <f>E53</f>
        <v>23080400</v>
      </c>
      <c r="J53" s="2676">
        <f>E56</f>
        <v>4286360</v>
      </c>
      <c r="K53" s="2676">
        <f>E59</f>
        <v>1648600</v>
      </c>
      <c r="L53" s="2676">
        <f>E60-L52</f>
        <v>0</v>
      </c>
      <c r="M53" s="4061">
        <f>E61-M52</f>
        <v>1347395.5598590169</v>
      </c>
    </row>
    <row r="54" spans="1:15">
      <c r="A54" s="1915" t="s">
        <v>3353</v>
      </c>
      <c r="B54" s="2682">
        <f>B51</f>
        <v>57408.26</v>
      </c>
      <c r="C54" s="2682">
        <f>E54/B54</f>
        <v>1136.8223318386588</v>
      </c>
      <c r="D54" s="4055"/>
      <c r="E54" s="2694">
        <f>E55+E56</f>
        <v>65262992</v>
      </c>
      <c r="F54" s="4054">
        <f>E54/$E$62</f>
        <v>0.21399292909435241</v>
      </c>
      <c r="G54" s="2670"/>
      <c r="H54" s="2670"/>
    </row>
    <row r="55" spans="1:15">
      <c r="A55" s="2679" t="s">
        <v>3831</v>
      </c>
      <c r="B55" s="4053">
        <f>B52</f>
        <v>50813.86</v>
      </c>
      <c r="C55" s="2682"/>
      <c r="D55" s="4056">
        <v>1200</v>
      </c>
      <c r="E55" s="2693">
        <f>D55*B55</f>
        <v>60976632</v>
      </c>
      <c r="F55" s="2688"/>
      <c r="G55" s="2670" t="s">
        <v>3836</v>
      </c>
      <c r="H55" s="2670"/>
    </row>
    <row r="56" spans="1:15">
      <c r="A56" s="2679" t="s">
        <v>3832</v>
      </c>
      <c r="B56" s="4053">
        <f>B53</f>
        <v>6594.4</v>
      </c>
      <c r="C56" s="2682"/>
      <c r="D56" s="4056">
        <v>650</v>
      </c>
      <c r="E56" s="2693">
        <f>D56*B56</f>
        <v>4286360</v>
      </c>
      <c r="F56" s="2688"/>
      <c r="G56" s="2670" t="s">
        <v>3837</v>
      </c>
      <c r="H56" s="2670"/>
    </row>
    <row r="57" spans="1:15">
      <c r="A57" s="4052" t="s">
        <v>3830</v>
      </c>
      <c r="B57" s="2682">
        <f>B51</f>
        <v>57408.26</v>
      </c>
      <c r="C57" s="2682">
        <f>E57/B57</f>
        <v>1356.4143905424062</v>
      </c>
      <c r="D57" s="4055"/>
      <c r="E57" s="2694">
        <f>E58+E59</f>
        <v>77869390</v>
      </c>
      <c r="F57" s="2688">
        <f>E57/$E$62</f>
        <v>0.25532845403242427</v>
      </c>
      <c r="G57" s="2670"/>
      <c r="H57" s="2670"/>
      <c r="I57" s="4380" t="s">
        <v>3366</v>
      </c>
      <c r="J57" s="4380"/>
      <c r="K57" s="4380"/>
      <c r="L57" s="4380"/>
      <c r="M57" s="4380"/>
    </row>
    <row r="58" spans="1:15">
      <c r="A58" s="2679" t="s">
        <v>3831</v>
      </c>
      <c r="B58" s="4053">
        <f>B52</f>
        <v>50813.86</v>
      </c>
      <c r="C58" s="2671">
        <v>1500</v>
      </c>
      <c r="D58" s="4072"/>
      <c r="E58" s="2693">
        <f>C58*B58</f>
        <v>76220790</v>
      </c>
      <c r="F58" s="2688"/>
      <c r="G58" s="2670"/>
      <c r="H58" s="2670"/>
      <c r="I58" s="2676">
        <f>I52+I53</f>
        <v>150115050</v>
      </c>
      <c r="J58" s="2676">
        <f t="shared" ref="J58:M58" si="10">J52+J53</f>
        <v>65262992</v>
      </c>
      <c r="K58" s="2676">
        <f t="shared" si="10"/>
        <v>77869390</v>
      </c>
      <c r="L58" s="2676">
        <f t="shared" si="10"/>
        <v>0</v>
      </c>
      <c r="M58" s="4061">
        <f t="shared" si="10"/>
        <v>11729897.279999999</v>
      </c>
    </row>
    <row r="59" spans="1:15">
      <c r="A59" s="2679" t="s">
        <v>3832</v>
      </c>
      <c r="B59" s="4053">
        <f>B53</f>
        <v>6594.4</v>
      </c>
      <c r="C59" s="2671">
        <v>250</v>
      </c>
      <c r="D59" s="4072"/>
      <c r="E59" s="2693">
        <f>C59*B59</f>
        <v>1648600</v>
      </c>
      <c r="F59" s="2688"/>
      <c r="G59" s="2670" t="s">
        <v>3846</v>
      </c>
      <c r="H59" s="2670"/>
      <c r="I59" s="2677">
        <f>I58/$E$62</f>
        <v>0.49221707841168494</v>
      </c>
      <c r="J59" s="2677">
        <f t="shared" ref="J59:M59" si="11">J58/$E$62</f>
        <v>0.21399292909435241</v>
      </c>
      <c r="K59" s="2677">
        <f t="shared" si="11"/>
        <v>0.25532845403242427</v>
      </c>
      <c r="L59" s="2677">
        <f t="shared" si="11"/>
        <v>0</v>
      </c>
      <c r="M59" s="4062">
        <f t="shared" si="11"/>
        <v>3.8461538461538464E-2</v>
      </c>
    </row>
    <row r="60" spans="1:15">
      <c r="A60" s="1915" t="s">
        <v>3355</v>
      </c>
      <c r="B60" s="2672"/>
      <c r="C60" s="2682">
        <f>E60/B51</f>
        <v>0</v>
      </c>
      <c r="D60" s="4058">
        <f>D53</f>
        <v>3500</v>
      </c>
      <c r="E60" s="2694">
        <f>D60*B60</f>
        <v>0</v>
      </c>
      <c r="F60" s="2688">
        <f>E60/$E$62</f>
        <v>0</v>
      </c>
      <c r="G60" s="4073">
        <f>B60/(B62+B60)</f>
        <v>0</v>
      </c>
      <c r="H60" s="4059" t="s">
        <v>3847</v>
      </c>
    </row>
    <row r="61" spans="1:15">
      <c r="A61" s="1915" t="s">
        <v>3354</v>
      </c>
      <c r="B61" s="4057">
        <f>B51</f>
        <v>57408.26</v>
      </c>
      <c r="C61" s="2682">
        <f>E61/B61</f>
        <v>204.32420839788557</v>
      </c>
      <c r="D61" s="2674">
        <v>0.04</v>
      </c>
      <c r="E61" s="2694">
        <f>(E51+E54+E57+E60)*D61</f>
        <v>11729897.279999999</v>
      </c>
      <c r="F61" s="2688">
        <f>E61/$E$62</f>
        <v>3.8461538461538464E-2</v>
      </c>
      <c r="G61" s="2670" t="s">
        <v>3838</v>
      </c>
    </row>
    <row r="62" spans="1:15" ht="15" thickBot="1">
      <c r="A62" s="2680" t="s">
        <v>3356</v>
      </c>
      <c r="B62" s="2683">
        <f>B51</f>
        <v>57408.26</v>
      </c>
      <c r="C62" s="2692">
        <f>C51+C54+C57+C61+C60</f>
        <v>5312.4294183450256</v>
      </c>
      <c r="D62" s="3640">
        <f>E62/B62</f>
        <v>5312.4294183450247</v>
      </c>
      <c r="E62" s="2675">
        <f>E51+E54+E57+E61+E60</f>
        <v>304977329.27999997</v>
      </c>
      <c r="F62" s="2689">
        <f>F51+F54+F57+F60+F61</f>
        <v>1.0000000000000002</v>
      </c>
      <c r="G62" s="4059"/>
    </row>
    <row r="63" spans="1:15">
      <c r="B63" s="2669"/>
      <c r="C63" s="2669"/>
      <c r="D63" s="2669"/>
    </row>
    <row r="65" spans="1:4" ht="15" thickBot="1">
      <c r="B65" s="2669"/>
      <c r="C65" s="2669"/>
      <c r="D65" s="2669"/>
    </row>
    <row r="66" spans="1:4">
      <c r="A66" s="4064" t="s">
        <v>3839</v>
      </c>
      <c r="B66" s="4065"/>
      <c r="C66" s="4065"/>
      <c r="D66" s="4066"/>
    </row>
    <row r="67" spans="1:4">
      <c r="A67" s="4067" t="s">
        <v>3842</v>
      </c>
      <c r="B67" s="4063"/>
      <c r="C67" s="4063"/>
      <c r="D67" s="4070" t="s">
        <v>3844</v>
      </c>
    </row>
    <row r="68" spans="1:4">
      <c r="A68" s="4067" t="s">
        <v>3843</v>
      </c>
      <c r="B68" s="4063"/>
      <c r="C68" s="4063"/>
      <c r="D68" s="4070" t="s">
        <v>3845</v>
      </c>
    </row>
    <row r="69" spans="1:4" ht="15" thickBot="1">
      <c r="A69" s="4068" t="s">
        <v>3840</v>
      </c>
      <c r="B69" s="4069"/>
      <c r="C69" s="4069"/>
      <c r="D69" s="4071" t="s">
        <v>3841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E43" sqref="E43"/>
    </sheetView>
  </sheetViews>
  <sheetFormatPr defaultColWidth="10" defaultRowHeight="13.2"/>
  <cols>
    <col min="1" max="1" width="16.88671875" style="1275" customWidth="1"/>
    <col min="2" max="2" width="10" style="1275" customWidth="1"/>
    <col min="3" max="3" width="11.44140625" style="1275" customWidth="1"/>
    <col min="4" max="4" width="10" style="1275" customWidth="1"/>
    <col min="5" max="5" width="12.6640625" style="1275" customWidth="1"/>
    <col min="6" max="6" width="10" style="1275" customWidth="1"/>
    <col min="7" max="7" width="10.77734375" style="1275" customWidth="1"/>
    <col min="8" max="8" width="10" style="1275" customWidth="1"/>
    <col min="9" max="9" width="11.10937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8" thickBot="1">
      <c r="A1" s="1759" t="s">
        <v>2077</v>
      </c>
      <c r="B1" s="4391" t="str">
        <f>IF(B10="北京市","北京市",C10)&amp;F10&amp;IF(结果表!G1="在建","出让国有建设用地使用权及在建建筑物",IF(结果表!G1="土地","出让国有建设用地使用权",))&amp;B9&amp;"预评估"</f>
        <v>北京市房地产抵押价值预评估</v>
      </c>
      <c r="C1" s="4392"/>
      <c r="D1" s="4392"/>
      <c r="E1" s="4392"/>
      <c r="F1" s="4392"/>
      <c r="G1" s="4392"/>
      <c r="H1" s="4392"/>
      <c r="I1" s="4393"/>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北京市房地产</v>
      </c>
      <c r="T2" s="1275"/>
      <c r="U2" s="1275"/>
      <c r="V2" s="1275"/>
      <c r="W2" s="1275"/>
      <c r="X2" s="1275"/>
      <c r="Y2" s="1275"/>
      <c r="Z2" s="1275"/>
      <c r="AA2" s="1275"/>
      <c r="AB2" s="1275"/>
    </row>
    <row r="3" spans="1:30">
      <c r="A3" s="186" t="s">
        <v>2079</v>
      </c>
      <c r="B3" s="1763">
        <v>46049</v>
      </c>
      <c r="C3" s="1764" t="s">
        <v>2080</v>
      </c>
      <c r="D3" s="1763">
        <v>46049</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8"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8"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3990</v>
      </c>
      <c r="C8" s="1779"/>
      <c r="D8" s="4394" t="s">
        <v>2086</v>
      </c>
      <c r="E8" s="1780" t="s">
        <v>3991</v>
      </c>
      <c r="F8" s="1781"/>
      <c r="G8" s="1964"/>
      <c r="H8" s="1964"/>
      <c r="I8" s="1964"/>
      <c r="J8" s="1818"/>
      <c r="K8" s="1923"/>
      <c r="L8" s="1922"/>
      <c r="M8" s="1922"/>
      <c r="N8" s="1818"/>
      <c r="O8" s="1322"/>
      <c r="P8" s="1818"/>
      <c r="Q8" s="1818"/>
      <c r="R8" s="1818"/>
    </row>
    <row r="9" spans="1:30" ht="13.8" thickBot="1">
      <c r="A9" s="1782" t="s">
        <v>2087</v>
      </c>
      <c r="B9" s="1783" t="s">
        <v>3991</v>
      </c>
      <c r="C9" s="1784"/>
      <c r="D9" s="4395"/>
      <c r="E9" s="1783" t="s">
        <v>41</v>
      </c>
      <c r="F9" s="1785"/>
      <c r="G9" s="1965"/>
      <c r="H9" s="1965"/>
      <c r="I9" s="1965"/>
      <c r="J9" s="1818"/>
      <c r="K9" s="1925"/>
      <c r="L9" s="1922"/>
      <c r="M9" s="1922"/>
      <c r="N9" s="1818"/>
      <c r="O9" s="1322"/>
      <c r="P9" s="1818"/>
      <c r="Q9" s="1818"/>
      <c r="R9" s="1818"/>
    </row>
    <row r="10" spans="1:30" ht="13.8" thickTop="1">
      <c r="A10" s="1786" t="s">
        <v>2088</v>
      </c>
      <c r="B10" s="3516" t="s">
        <v>3992</v>
      </c>
      <c r="C10" s="1787"/>
      <c r="D10" s="1771"/>
      <c r="E10" s="1788" t="s">
        <v>2089</v>
      </c>
      <c r="F10" s="1966"/>
      <c r="G10" s="1967"/>
      <c r="H10" s="1968"/>
      <c r="I10" s="1969"/>
      <c r="J10" s="1818"/>
      <c r="K10" s="1925"/>
      <c r="L10" s="1922"/>
      <c r="M10" s="1922"/>
      <c r="N10" s="1818"/>
      <c r="O10" s="1322"/>
      <c r="P10" s="1818"/>
      <c r="Q10" s="1818"/>
      <c r="R10" s="1818"/>
    </row>
    <row r="11" spans="1:30">
      <c r="A11" s="1789" t="s">
        <v>2090</v>
      </c>
      <c r="B11" s="2534" t="s">
        <v>3993</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2461</v>
      </c>
      <c r="J12" s="2256"/>
      <c r="K12" s="1922"/>
      <c r="L12" s="1922"/>
      <c r="M12" s="1818"/>
      <c r="N12" s="1322"/>
      <c r="O12" s="1818"/>
      <c r="P12" s="1818"/>
      <c r="Q12" s="1818"/>
      <c r="AD12" s="1275"/>
    </row>
    <row r="13" spans="1:30">
      <c r="A13" s="2534" t="s">
        <v>3215</v>
      </c>
      <c r="B13" s="1794" t="s">
        <v>2099</v>
      </c>
      <c r="C13" s="564"/>
      <c r="D13" s="564">
        <v>52805</v>
      </c>
      <c r="E13" s="564">
        <v>56457</v>
      </c>
      <c r="F13" s="564">
        <v>56457</v>
      </c>
      <c r="G13" s="564">
        <v>56457</v>
      </c>
      <c r="H13" s="564"/>
      <c r="I13" s="564"/>
      <c r="J13" s="2256"/>
      <c r="K13" s="1922"/>
      <c r="L13" s="1922"/>
      <c r="M13" s="1818"/>
      <c r="N13" s="1322"/>
      <c r="O13" s="1818"/>
      <c r="P13" s="1818"/>
      <c r="Q13" s="1818"/>
      <c r="AD13" s="1275"/>
    </row>
    <row r="14" spans="1:30">
      <c r="A14" s="740"/>
      <c r="B14" s="1794" t="s">
        <v>2100</v>
      </c>
      <c r="C14" s="1795"/>
      <c r="D14" s="1795">
        <v>40</v>
      </c>
      <c r="E14" s="1795">
        <v>50</v>
      </c>
      <c r="F14" s="1795">
        <v>50</v>
      </c>
      <c r="G14" s="1795">
        <v>50</v>
      </c>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18.5</v>
      </c>
      <c r="E15" s="6">
        <f>IF(A13="出让",IF(E13="","",ROUNDDOWN(MIN((E13-$D$3)/365,E14),2)),E14)</f>
        <v>28.51</v>
      </c>
      <c r="F15" s="6">
        <f>IF(A13="出让",IF(F13="","",ROUNDDOWN(MIN((F13-$D$3)/365,F14),2)),F14)</f>
        <v>28.51</v>
      </c>
      <c r="G15" s="6">
        <f>IF(A13="出让",IF(G13="","",ROUNDDOWN(MIN((G13-$D$3)/365,G14),2)),G14)</f>
        <v>28.51</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401"/>
      <c r="C16" s="4402"/>
      <c r="D16" s="4403"/>
      <c r="E16" s="1797" t="s">
        <v>2103</v>
      </c>
      <c r="F16" s="4404"/>
      <c r="G16" s="4405"/>
      <c r="H16" s="4405"/>
      <c r="I16" s="4406"/>
      <c r="J16" s="1818"/>
      <c r="K16" s="1926"/>
      <c r="L16" s="1322"/>
      <c r="M16" s="1322"/>
      <c r="N16" s="1818"/>
      <c r="O16" s="1322"/>
      <c r="P16" s="1818"/>
      <c r="Q16" s="1818"/>
      <c r="R16" s="1818"/>
    </row>
    <row r="17" spans="1:28">
      <c r="A17" s="197" t="s">
        <v>2104</v>
      </c>
      <c r="B17" s="186" t="s">
        <v>2105</v>
      </c>
      <c r="C17" s="9">
        <f>'数据-汇总表'!E3</f>
        <v>57408.26</v>
      </c>
      <c r="D17" s="925" t="s">
        <v>2106</v>
      </c>
      <c r="E17" s="4407" t="s">
        <v>2107</v>
      </c>
      <c r="F17" s="4408"/>
      <c r="G17" s="4408"/>
      <c r="H17" s="4408"/>
      <c r="I17" s="4409"/>
      <c r="J17" s="1818"/>
      <c r="K17" s="1927"/>
      <c r="L17" s="1322"/>
      <c r="M17" s="1322"/>
      <c r="N17" s="1818"/>
      <c r="O17" s="1322"/>
      <c r="P17" s="1818"/>
      <c r="Q17" s="1818"/>
      <c r="R17" s="1818"/>
      <c r="S17" s="1818"/>
      <c r="T17" s="1818"/>
      <c r="U17" s="1818"/>
      <c r="V17" s="1818"/>
    </row>
    <row r="18" spans="1:28" ht="24.6" thickBot="1">
      <c r="A18" s="1798" t="s">
        <v>2108</v>
      </c>
      <c r="B18" s="749" t="s">
        <v>2109</v>
      </c>
      <c r="C18" s="2664">
        <f>'数据-汇总表'!D3</f>
        <v>16447.62</v>
      </c>
      <c r="D18" s="751" t="s">
        <v>2110</v>
      </c>
      <c r="E18" s="4410" t="s">
        <v>2111</v>
      </c>
      <c r="F18" s="4411"/>
      <c r="G18" s="4411"/>
      <c r="H18" s="4411"/>
      <c r="I18" s="4412"/>
      <c r="J18" s="1818"/>
      <c r="K18" s="1927"/>
      <c r="L18" s="1322"/>
      <c r="M18" s="1322"/>
      <c r="N18" s="1818"/>
      <c r="O18" s="1322"/>
      <c r="P18" s="1818"/>
      <c r="Q18" s="1818"/>
      <c r="R18" s="1818"/>
      <c r="S18" s="1818"/>
      <c r="T18" s="1818"/>
      <c r="U18" s="1818"/>
      <c r="V18" s="1818"/>
    </row>
    <row r="19" spans="1:28" ht="37.200000000000003"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397" t="s">
        <v>2115</v>
      </c>
      <c r="C20" s="4398"/>
      <c r="D20" s="4399" t="s">
        <v>2116</v>
      </c>
      <c r="E20" s="4400"/>
      <c r="F20" s="1953" t="s">
        <v>1041</v>
      </c>
      <c r="G20" s="1964"/>
      <c r="H20" s="1964"/>
      <c r="I20" s="1964"/>
      <c r="J20" s="1818"/>
      <c r="K20" s="4396"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36.6" thickBot="1">
      <c r="A21" s="1940"/>
      <c r="B21" s="1941" t="s">
        <v>2118</v>
      </c>
      <c r="C21" s="1869" t="s">
        <v>1042</v>
      </c>
      <c r="D21" s="1129" t="s">
        <v>2119</v>
      </c>
      <c r="E21" s="1942" t="s">
        <v>1042</v>
      </c>
      <c r="F21" s="1954"/>
      <c r="G21" s="1964"/>
      <c r="H21" s="1964"/>
      <c r="I21" s="1964"/>
      <c r="J21" s="1818"/>
      <c r="K21" s="439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36.6" thickBot="1">
      <c r="A22" s="1940"/>
      <c r="B22" s="1943" t="s">
        <v>2120</v>
      </c>
      <c r="C22" s="1869" t="s">
        <v>1043</v>
      </c>
      <c r="D22" s="1964"/>
      <c r="E22" s="1964"/>
      <c r="F22" s="1964"/>
      <c r="G22" s="1964"/>
      <c r="H22" s="1964"/>
      <c r="I22" s="1964"/>
      <c r="J22" s="1818"/>
      <c r="K22" s="439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8"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8" thickTop="1">
      <c r="A27" s="4385"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385"/>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385"/>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386"/>
      <c r="B30" s="186" t="s">
        <v>2127</v>
      </c>
      <c r="C30" s="4387"/>
      <c r="D30" s="4388"/>
      <c r="E30" s="1964"/>
      <c r="F30" s="1964"/>
      <c r="G30" s="1964"/>
      <c r="H30" s="1964"/>
      <c r="I30" s="1964"/>
      <c r="J30" s="1818"/>
      <c r="K30" s="1925"/>
      <c r="L30" s="1922"/>
      <c r="M30" s="1922"/>
      <c r="N30" s="1818"/>
      <c r="O30" s="1322"/>
      <c r="P30" s="1818"/>
      <c r="Q30" s="1818"/>
      <c r="R30" s="1818"/>
      <c r="S30" s="1818"/>
      <c r="T30" s="1818"/>
      <c r="U30" s="1818"/>
      <c r="V30" s="1818"/>
    </row>
    <row r="31" spans="1:28">
      <c r="A31" s="4389"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390"/>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390"/>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384" t="s">
        <v>2137</v>
      </c>
      <c r="T34" s="206" t="str">
        <f>NUMBERSTRING(7-K34,1)&amp;"通"</f>
        <v>七通</v>
      </c>
      <c r="U34" s="1818"/>
      <c r="V34" s="1818"/>
    </row>
    <row r="35" spans="1:30">
      <c r="A35" s="1809"/>
      <c r="B35" s="4384" t="s">
        <v>2138</v>
      </c>
      <c r="C35" s="4384"/>
      <c r="D35" s="4384"/>
      <c r="E35" s="4384"/>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84"/>
      <c r="T35" s="55" t="str">
        <f>IF(T34="一通",L35,IF(T34="二通",M35,IF(T34="三通",N35,IF(T34="四通",O35,IF(T34="五通",P35,IF(T34="六通",Q35,R35))))))</f>
        <v>、、、、、、</v>
      </c>
      <c r="U35" s="1818"/>
      <c r="V35" s="1818"/>
    </row>
    <row r="36" spans="1:30">
      <c r="A36" s="1761"/>
      <c r="B36" s="6" t="s">
        <v>2094</v>
      </c>
      <c r="C36" s="6" t="s">
        <v>2095</v>
      </c>
      <c r="D36" s="6" t="s">
        <v>2093</v>
      </c>
      <c r="E36" s="6" t="s">
        <v>2098</v>
      </c>
      <c r="F36" s="2254" t="s">
        <v>2464</v>
      </c>
      <c r="G36" s="1964"/>
      <c r="H36" s="1964"/>
      <c r="I36" s="1964"/>
      <c r="J36" s="1818"/>
      <c r="K36" s="1925"/>
      <c r="L36" s="1922"/>
      <c r="M36" s="1922"/>
      <c r="N36" s="1818"/>
      <c r="O36" s="1322"/>
      <c r="P36" s="1818"/>
      <c r="Q36" s="1818"/>
      <c r="R36" s="1818"/>
      <c r="S36" s="1818"/>
      <c r="T36" s="1818"/>
      <c r="U36" s="1818"/>
      <c r="V36" s="1818"/>
    </row>
    <row r="37" spans="1:30">
      <c r="A37" s="1938" t="s">
        <v>2139</v>
      </c>
      <c r="B37" s="1810"/>
      <c r="C37" s="1810" t="s">
        <v>301</v>
      </c>
      <c r="D37" s="1810"/>
      <c r="E37" s="1810"/>
      <c r="F37" s="1810"/>
      <c r="G37" s="1964"/>
      <c r="H37" s="1964"/>
      <c r="I37" s="1964"/>
      <c r="J37" s="1818"/>
      <c r="K37" s="1925"/>
      <c r="L37" s="1922"/>
      <c r="M37" s="1922"/>
      <c r="N37" s="1818"/>
      <c r="O37" s="1322"/>
      <c r="P37" s="1818"/>
      <c r="Q37" s="1818"/>
      <c r="R37" s="1818"/>
      <c r="S37" s="1818"/>
      <c r="T37" s="1818"/>
      <c r="U37" s="1818"/>
      <c r="V37" s="1818"/>
    </row>
    <row r="38" spans="1:30" ht="13.8" thickBot="1">
      <c r="A38" s="1939" t="s">
        <v>2140</v>
      </c>
      <c r="B38" s="1811"/>
      <c r="C38" s="1811" t="s">
        <v>245</v>
      </c>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4"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2">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133" customWidth="1"/>
    <col min="2" max="2" width="11" style="1133" customWidth="1"/>
    <col min="3" max="3" width="10.33203125" style="1133" customWidth="1"/>
    <col min="4" max="4" width="9.109375" style="1133" customWidth="1"/>
    <col min="5" max="8" width="10" style="1133" customWidth="1"/>
    <col min="9" max="9" width="10.6640625" style="1133" customWidth="1"/>
    <col min="10" max="10" width="9.44140625" style="1133" customWidth="1"/>
    <col min="11" max="11" width="11" style="1133" customWidth="1"/>
    <col min="12" max="14" width="9.44140625" style="1133" customWidth="1"/>
    <col min="15" max="15" width="9.88671875" style="1133" customWidth="1"/>
    <col min="16" max="16" width="9.77734375" style="1133" customWidth="1"/>
    <col min="17" max="17" width="9.33203125" style="1133" customWidth="1"/>
    <col min="18" max="18" width="9.21875" style="1133" customWidth="1"/>
    <col min="19" max="19" width="10.88671875" style="1133" customWidth="1"/>
    <col min="20" max="21" width="10.77734375" style="1133" customWidth="1"/>
    <col min="22" max="22" width="10.88671875" style="1133" customWidth="1"/>
    <col min="23" max="27" width="10.77734375" style="1133" customWidth="1"/>
    <col min="28" max="28" width="10.88671875" style="1133" customWidth="1"/>
    <col min="29" max="29" width="11" style="1133" bestFit="1" customWidth="1"/>
    <col min="30" max="30" width="10" style="1133" bestFit="1" customWidth="1"/>
    <col min="31" max="31" width="9.77734375" style="1133" customWidth="1"/>
    <col min="32" max="46" width="9.44140625" style="1133" customWidth="1"/>
    <col min="47" max="47" width="18.109375" style="1133" customWidth="1"/>
    <col min="48" max="50" width="9.77734375" style="1133" customWidth="1"/>
    <col min="51" max="55" width="10.44140625" style="1133" bestFit="1" customWidth="1"/>
    <col min="56" max="56" width="9.44140625" style="1133" bestFit="1" customWidth="1"/>
    <col min="57" max="63" width="9.109375" style="1133" bestFit="1" customWidth="1"/>
    <col min="64" max="64" width="9.44140625" style="1133" bestFit="1" customWidth="1"/>
    <col min="65" max="65" width="9.109375" style="1133" bestFit="1" customWidth="1"/>
    <col min="66" max="66" width="9.44140625" style="1133" bestFit="1" customWidth="1"/>
    <col min="67" max="69" width="9.109375" style="1133" bestFit="1" customWidth="1"/>
    <col min="70" max="70" width="9.44140625" style="1133" bestFit="1" customWidth="1"/>
    <col min="71" max="71" width="9" style="1133" customWidth="1"/>
    <col min="72" max="72" width="9.109375" style="1133" bestFit="1" customWidth="1"/>
    <col min="73" max="16384" width="8.88671875" style="1133"/>
  </cols>
  <sheetData>
    <row r="1" spans="1:72" ht="21">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3.2">
      <c r="A3" s="712">
        <v>16447.62</v>
      </c>
      <c r="B3" s="931">
        <f>IF(C3="否",G5-AT5,G5)</f>
        <v>57408.26</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3.2">
      <c r="A5" s="8" t="s">
        <v>1055</v>
      </c>
      <c r="B5" s="928"/>
      <c r="C5" s="928"/>
      <c r="D5" s="929"/>
      <c r="E5" s="6" t="s">
        <v>0</v>
      </c>
      <c r="F5" s="6">
        <f>SUM(F13:F587)</f>
        <v>0</v>
      </c>
      <c r="G5" s="6">
        <f>SUM(G13:G587)</f>
        <v>57408.26</v>
      </c>
      <c r="H5" s="6">
        <f t="shared" ref="H5:AT5" si="0">SUM(H13:H656)</f>
        <v>57408.26</v>
      </c>
      <c r="I5" s="6">
        <f t="shared" si="0"/>
        <v>39456.269999999997</v>
      </c>
      <c r="J5" s="6">
        <f t="shared" si="0"/>
        <v>0</v>
      </c>
      <c r="K5" s="6">
        <f t="shared" si="0"/>
        <v>11357.59</v>
      </c>
      <c r="L5" s="6">
        <f t="shared" si="0"/>
        <v>0</v>
      </c>
      <c r="M5" s="6">
        <f t="shared" si="0"/>
        <v>1614.85</v>
      </c>
      <c r="N5" s="6">
        <f t="shared" si="0"/>
        <v>0</v>
      </c>
      <c r="O5" s="6">
        <f t="shared" si="0"/>
        <v>195.18</v>
      </c>
      <c r="P5" s="6">
        <f t="shared" si="0"/>
        <v>0</v>
      </c>
      <c r="Q5" s="6">
        <f t="shared" si="0"/>
        <v>4784.37</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57408.26</v>
      </c>
      <c r="BA5" s="455">
        <f t="shared" si="1"/>
        <v>57408.26</v>
      </c>
      <c r="BB5" s="455">
        <f t="shared" si="1"/>
        <v>39456.269999999997</v>
      </c>
      <c r="BC5" s="455">
        <f t="shared" si="1"/>
        <v>11357.59</v>
      </c>
      <c r="BD5" s="455">
        <f t="shared" si="1"/>
        <v>1614.85</v>
      </c>
      <c r="BE5" s="455">
        <f t="shared" si="1"/>
        <v>195.18</v>
      </c>
      <c r="BF5" s="455">
        <f t="shared" si="1"/>
        <v>4784.37</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3.2">
      <c r="A6" s="8" t="s">
        <v>1056</v>
      </c>
      <c r="B6" s="928"/>
      <c r="C6" s="928"/>
      <c r="D6" s="929"/>
      <c r="E6" s="6">
        <f>H6+AC6+AT6</f>
        <v>16447.62</v>
      </c>
      <c r="F6" s="6" t="s">
        <v>0</v>
      </c>
      <c r="G6" s="6" t="s">
        <v>1</v>
      </c>
      <c r="H6" s="11">
        <f>SUMIF(I$12:AB$12,"总值",I6:AB6)</f>
        <v>16447.62</v>
      </c>
      <c r="I6" s="6">
        <f t="shared" ref="I6:AB6" si="2">ROUND($A$3*I5/$B$3,2)</f>
        <v>11304.33</v>
      </c>
      <c r="J6" s="6">
        <f t="shared" si="2"/>
        <v>0</v>
      </c>
      <c r="K6" s="6">
        <f t="shared" si="2"/>
        <v>3253.98</v>
      </c>
      <c r="L6" s="6">
        <f t="shared" si="2"/>
        <v>0</v>
      </c>
      <c r="M6" s="6">
        <f t="shared" si="2"/>
        <v>462.66</v>
      </c>
      <c r="N6" s="6">
        <f t="shared" si="2"/>
        <v>0</v>
      </c>
      <c r="O6" s="6">
        <f t="shared" si="2"/>
        <v>55.92</v>
      </c>
      <c r="P6" s="6">
        <f t="shared" si="2"/>
        <v>0</v>
      </c>
      <c r="Q6" s="6">
        <f t="shared" si="2"/>
        <v>1370.73</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16447.62</v>
      </c>
      <c r="AZ6" s="6" t="s">
        <v>2</v>
      </c>
      <c r="BA6" s="6">
        <f>ROUND($AY$6*BA5/$AZ$5,2)</f>
        <v>16447.62</v>
      </c>
      <c r="BB6" s="6">
        <f>ROUND($AY$6*BB5/$AZ$5,2)</f>
        <v>11304.33</v>
      </c>
      <c r="BC6" s="6">
        <f t="shared" ref="BC6:BH6" si="4">ROUND($AY$6*BC5/$AZ$5,2)</f>
        <v>3253.98</v>
      </c>
      <c r="BD6" s="6">
        <f t="shared" si="4"/>
        <v>462.66</v>
      </c>
      <c r="BE6" s="6">
        <f t="shared" si="4"/>
        <v>55.92</v>
      </c>
      <c r="BF6" s="6">
        <f t="shared" si="4"/>
        <v>1370.73</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5.2">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3.2">
      <c r="A9" s="1148"/>
      <c r="B9" s="1148"/>
      <c r="C9" s="1148"/>
      <c r="D9" s="1148"/>
      <c r="E9" s="1148"/>
      <c r="F9" s="1148"/>
      <c r="G9" s="730"/>
      <c r="H9" s="1156" t="s">
        <v>1075</v>
      </c>
      <c r="I9" s="1157" t="s">
        <v>4018</v>
      </c>
      <c r="J9" s="546"/>
      <c r="K9" s="1157" t="s">
        <v>4018</v>
      </c>
      <c r="L9" s="546"/>
      <c r="M9" s="1157" t="s">
        <v>4022</v>
      </c>
      <c r="N9" s="546"/>
      <c r="O9" s="1157" t="s">
        <v>4022</v>
      </c>
      <c r="P9" s="546"/>
      <c r="Q9" s="1157" t="s">
        <v>4022</v>
      </c>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3.2">
      <c r="A10" s="1148"/>
      <c r="B10" s="1148"/>
      <c r="C10" s="1148"/>
      <c r="D10" s="1148"/>
      <c r="E10" s="1148"/>
      <c r="F10" s="1148"/>
      <c r="G10" s="730"/>
      <c r="H10" s="16"/>
      <c r="I10" s="1157" t="s">
        <v>19</v>
      </c>
      <c r="J10" s="546"/>
      <c r="K10" s="1163" t="s">
        <v>660</v>
      </c>
      <c r="L10" s="546"/>
      <c r="M10" s="1163" t="s">
        <v>660</v>
      </c>
      <c r="N10" s="546"/>
      <c r="O10" s="1163" t="s">
        <v>3217</v>
      </c>
      <c r="P10" s="546"/>
      <c r="Q10" s="1163" t="s">
        <v>4023</v>
      </c>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3.2">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t="str">
        <f>K10</f>
        <v>商业</v>
      </c>
      <c r="BD11" s="1153" t="str">
        <f>M10</f>
        <v>商业</v>
      </c>
      <c r="BE11" s="1153" t="str">
        <f>O10</f>
        <v>仓储</v>
      </c>
      <c r="BF11" s="1153" t="str">
        <f>Q10</f>
        <v>车库—办公</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3.2">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3.2">
      <c r="A13" s="712"/>
      <c r="B13" s="712"/>
      <c r="C13" s="4214" t="s">
        <v>4016</v>
      </c>
      <c r="D13" s="1179" t="s">
        <v>4017</v>
      </c>
      <c r="E13" s="6">
        <f>IF($C$3="是",ROUND($A$3*G13/$B$3,2),ROUND($A$3*(G13-AT13)/$B$3,2))</f>
        <v>11304.33</v>
      </c>
      <c r="F13" s="597"/>
      <c r="G13" s="18">
        <f>H13+AC13+AT13</f>
        <v>39456.269999999997</v>
      </c>
      <c r="H13" s="11">
        <f>SUMIF(I$12:AB$12,"总值",I13:AB13)</f>
        <v>39456.269999999997</v>
      </c>
      <c r="I13" s="1131">
        <f>面积位置!O21</f>
        <v>39456.269999999997</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t="str">
        <f t="shared" si="6"/>
        <v>办公</v>
      </c>
      <c r="AY13" s="929">
        <f>ROUND($AY$6*AZ13/$AZ$5,2)</f>
        <v>11304.33</v>
      </c>
      <c r="AZ13" s="9">
        <f>BA13+BL13</f>
        <v>39456.269999999997</v>
      </c>
      <c r="BA13" s="9">
        <f>SUM(BB13:BK13)</f>
        <v>39456.269999999997</v>
      </c>
      <c r="BB13" s="9">
        <f>IF($D13="是",I13-J13,0)</f>
        <v>39456.269999999997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3.2">
      <c r="A14" s="712"/>
      <c r="B14" s="712"/>
      <c r="C14" s="4215" t="s">
        <v>4019</v>
      </c>
      <c r="D14" s="1179" t="s">
        <v>4017</v>
      </c>
      <c r="E14" s="6">
        <f>IF($C$3="是",ROUND($A$3*G14/$B$3,2),ROUND($A$3*(G14-AT14)/$B$3,2))</f>
        <v>3716.64</v>
      </c>
      <c r="F14" s="597"/>
      <c r="G14" s="18">
        <f>H14+AC14+AT14</f>
        <v>12972.44</v>
      </c>
      <c r="H14" s="11">
        <f>SUMIF(I$12:AB$12,"总值",I14:AB14)</f>
        <v>12972.44</v>
      </c>
      <c r="I14" s="1131"/>
      <c r="J14" s="1131"/>
      <c r="K14" s="1131">
        <f>面积位置!O22</f>
        <v>11357.59</v>
      </c>
      <c r="L14" s="1131"/>
      <c r="M14" s="1131">
        <f>面积位置!O23</f>
        <v>1614.85</v>
      </c>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t="str">
        <f t="shared" si="6"/>
        <v>商业</v>
      </c>
      <c r="AY14" s="929">
        <f>ROUND($AY$6*AZ14/$AZ$5,2)</f>
        <v>3716.64</v>
      </c>
      <c r="AZ14" s="9">
        <f>BA14+BL14</f>
        <v>12972.44</v>
      </c>
      <c r="BA14" s="9">
        <f>SUM(BB14:BK14)</f>
        <v>12972.44</v>
      </c>
      <c r="BB14" s="9">
        <f>IF($D14="是",I14-J14,0)</f>
        <v>0</v>
      </c>
      <c r="BC14" s="9">
        <f>IF($D14="是",K14-L14,0)</f>
        <v>11357.59</v>
      </c>
      <c r="BD14" s="9">
        <f>IF($D14="是",M14-N14,0)</f>
        <v>1614.85</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3.2">
      <c r="A15" s="712"/>
      <c r="B15" s="712"/>
      <c r="C15" s="4215" t="s">
        <v>4020</v>
      </c>
      <c r="D15" s="1179" t="s">
        <v>4017</v>
      </c>
      <c r="E15" s="6">
        <f>IF($C$3="是",ROUND($A$3*G15/$B$3,2),ROUND($A$3*(G15-AT15)/$B$3,2))</f>
        <v>55.92</v>
      </c>
      <c r="F15" s="597"/>
      <c r="G15" s="18">
        <f>H15+AC15+AT15</f>
        <v>195.18</v>
      </c>
      <c r="H15" s="11">
        <f>SUMIF(I$12:AB$12,"总值",I15:AB15)</f>
        <v>195.18</v>
      </c>
      <c r="I15" s="1131"/>
      <c r="J15" s="1131"/>
      <c r="K15" s="1131"/>
      <c r="L15" s="1131"/>
      <c r="M15" s="1131"/>
      <c r="N15" s="1131"/>
      <c r="O15" s="1131">
        <f>面积位置!O24</f>
        <v>195.18</v>
      </c>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t="str">
        <f t="shared" si="6"/>
        <v>地下仓储</v>
      </c>
      <c r="AY15" s="929">
        <f>ROUND($AY$6*AZ15/$AZ$5,2)</f>
        <v>55.92</v>
      </c>
      <c r="AZ15" s="9">
        <f>BA15+BL15</f>
        <v>195.18</v>
      </c>
      <c r="BA15" s="9">
        <f>SUM(BB15:BK15)</f>
        <v>195.18</v>
      </c>
      <c r="BB15" s="9">
        <f>IF($D15="是",I15-J15,0)</f>
        <v>0</v>
      </c>
      <c r="BC15" s="9">
        <f>IF($D15="是",K15-L15,0)</f>
        <v>0</v>
      </c>
      <c r="BD15" s="9">
        <f>IF($D15="是",M15-N15,0)</f>
        <v>0</v>
      </c>
      <c r="BE15" s="9">
        <f>IF($D15="是",O15-P15,0)</f>
        <v>195.18</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3.2">
      <c r="A16" s="712"/>
      <c r="B16" s="712"/>
      <c r="C16" s="4215" t="s">
        <v>4021</v>
      </c>
      <c r="D16" s="1179" t="s">
        <v>4017</v>
      </c>
      <c r="E16" s="6">
        <f>IF($C$3="是",ROUND($A$3*G16/$B$3,2),ROUND($A$3*(G16-AT16)/$B$3,2))</f>
        <v>1370.73</v>
      </c>
      <c r="F16" s="597"/>
      <c r="G16" s="18">
        <f>H16+AC16+AT16</f>
        <v>4784.37</v>
      </c>
      <c r="H16" s="11">
        <f>SUMIF(I$12:AB$12,"总值",I16:AB16)</f>
        <v>4784.37</v>
      </c>
      <c r="I16" s="1131"/>
      <c r="J16" s="1131"/>
      <c r="K16" s="1131"/>
      <c r="L16" s="1131"/>
      <c r="M16" s="1131"/>
      <c r="N16" s="1131"/>
      <c r="O16" s="1131"/>
      <c r="P16" s="1131"/>
      <c r="Q16" s="1131">
        <f>面积位置!O25</f>
        <v>4784.37</v>
      </c>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t="str">
        <f t="shared" si="6"/>
        <v>地下车库</v>
      </c>
      <c r="AY16" s="929">
        <f>ROUND($AY$6*AZ16/$AZ$5,2)</f>
        <v>1370.73</v>
      </c>
      <c r="AZ16" s="9">
        <f>BA16+BL16</f>
        <v>4784.37</v>
      </c>
      <c r="BA16" s="9">
        <f>SUM(BB16:BK16)</f>
        <v>4784.37</v>
      </c>
      <c r="BB16" s="9">
        <f>IF($D16="是",I16-J16,0)</f>
        <v>0</v>
      </c>
      <c r="BC16" s="9">
        <f>IF($D16="是",K16-L16,0)</f>
        <v>0</v>
      </c>
      <c r="BD16" s="9">
        <f>IF($D16="是",M16-N16,0)</f>
        <v>0</v>
      </c>
      <c r="BE16" s="9">
        <f>IF($D16="是",O16-P16,0)</f>
        <v>0</v>
      </c>
      <c r="BF16" s="9">
        <f>IF($D16="是",Q16-R16,0)</f>
        <v>4784.37</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3.2">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11903-E422-4507-87A4-A4454F0BD13B}">
  <dimension ref="G1:O31"/>
  <sheetViews>
    <sheetView workbookViewId="0">
      <selection activeCell="M34" sqref="M34"/>
    </sheetView>
  </sheetViews>
  <sheetFormatPr defaultRowHeight="14.4"/>
  <cols>
    <col min="7" max="7" width="7.33203125" bestFit="1" customWidth="1"/>
    <col min="8" max="8" width="5.44140625" bestFit="1" customWidth="1"/>
    <col min="9" max="9" width="9.44140625" bestFit="1" customWidth="1"/>
    <col min="10" max="10" width="33.88671875" bestFit="1" customWidth="1"/>
    <col min="11" max="11" width="7.33203125" bestFit="1" customWidth="1"/>
    <col min="12" max="12" width="5.44140625" bestFit="1" customWidth="1"/>
    <col min="13" max="13" width="9.44140625" bestFit="1" customWidth="1"/>
    <col min="14" max="14" width="21.33203125" bestFit="1" customWidth="1"/>
    <col min="15" max="15" width="9.44140625" bestFit="1" customWidth="1"/>
    <col min="16" max="16" width="21.33203125" bestFit="1" customWidth="1"/>
  </cols>
  <sheetData>
    <row r="1" spans="7:14">
      <c r="G1" t="s">
        <v>3998</v>
      </c>
      <c r="H1" s="4774">
        <v>301</v>
      </c>
      <c r="I1" s="4774">
        <v>1123.47</v>
      </c>
      <c r="J1" s="4774" t="s">
        <v>3999</v>
      </c>
      <c r="K1" t="s">
        <v>4000</v>
      </c>
      <c r="L1">
        <v>301</v>
      </c>
      <c r="M1" s="4774">
        <v>1124.71</v>
      </c>
      <c r="N1" t="s">
        <v>3999</v>
      </c>
    </row>
    <row r="2" spans="7:14">
      <c r="G2" t="s">
        <v>4001</v>
      </c>
      <c r="H2" s="4774">
        <v>401</v>
      </c>
      <c r="I2" s="4774">
        <v>1277.1400000000001</v>
      </c>
      <c r="J2" s="4774" t="s">
        <v>3999</v>
      </c>
      <c r="K2" t="s">
        <v>4001</v>
      </c>
      <c r="L2">
        <v>401</v>
      </c>
      <c r="M2">
        <v>1277.1099999999999</v>
      </c>
      <c r="N2" t="s">
        <v>3999</v>
      </c>
    </row>
    <row r="3" spans="7:14">
      <c r="H3">
        <v>501</v>
      </c>
      <c r="I3">
        <v>1277.1400000000001</v>
      </c>
      <c r="J3" t="s">
        <v>3999</v>
      </c>
      <c r="L3">
        <v>501</v>
      </c>
      <c r="M3">
        <v>1277.1099999999999</v>
      </c>
      <c r="N3" t="s">
        <v>3999</v>
      </c>
    </row>
    <row r="4" spans="7:14">
      <c r="H4">
        <v>601</v>
      </c>
      <c r="I4">
        <f>I3</f>
        <v>1277.1400000000001</v>
      </c>
      <c r="J4" t="s">
        <v>3999</v>
      </c>
      <c r="L4">
        <v>601</v>
      </c>
      <c r="M4">
        <v>1277.1099999999999</v>
      </c>
      <c r="N4" t="s">
        <v>3999</v>
      </c>
    </row>
    <row r="5" spans="7:14">
      <c r="H5">
        <v>701</v>
      </c>
      <c r="I5">
        <f>I4</f>
        <v>1277.1400000000001</v>
      </c>
      <c r="J5" t="s">
        <v>3999</v>
      </c>
      <c r="L5">
        <v>701</v>
      </c>
      <c r="M5">
        <v>1277.1099999999999</v>
      </c>
      <c r="N5" t="s">
        <v>3999</v>
      </c>
    </row>
    <row r="6" spans="7:14">
      <c r="H6">
        <v>801</v>
      </c>
      <c r="I6">
        <v>1277.1400000000001</v>
      </c>
      <c r="J6" t="s">
        <v>3999</v>
      </c>
      <c r="L6">
        <v>801</v>
      </c>
      <c r="M6">
        <v>1277.1099999999999</v>
      </c>
      <c r="N6" t="s">
        <v>3999</v>
      </c>
    </row>
    <row r="7" spans="7:14">
      <c r="H7">
        <v>901</v>
      </c>
      <c r="I7">
        <v>1277.1400000000001</v>
      </c>
      <c r="J7" t="s">
        <v>3999</v>
      </c>
      <c r="L7">
        <v>901</v>
      </c>
      <c r="M7">
        <v>1277.1099999999999</v>
      </c>
      <c r="N7" t="s">
        <v>3999</v>
      </c>
    </row>
    <row r="8" spans="7:14">
      <c r="H8">
        <v>1001</v>
      </c>
      <c r="I8">
        <f>I7</f>
        <v>1277.1400000000001</v>
      </c>
      <c r="J8" t="s">
        <v>3999</v>
      </c>
      <c r="L8">
        <v>1001</v>
      </c>
      <c r="M8">
        <f>M7</f>
        <v>1277.1099999999999</v>
      </c>
      <c r="N8" t="s">
        <v>3999</v>
      </c>
    </row>
    <row r="9" spans="7:14">
      <c r="H9">
        <v>1101</v>
      </c>
      <c r="I9">
        <f>I8</f>
        <v>1277.1400000000001</v>
      </c>
      <c r="J9" t="s">
        <v>3999</v>
      </c>
      <c r="L9">
        <v>1101</v>
      </c>
      <c r="M9">
        <f>M8</f>
        <v>1277.1099999999999</v>
      </c>
      <c r="N9" t="s">
        <v>3999</v>
      </c>
    </row>
    <row r="10" spans="7:14">
      <c r="H10">
        <v>1201</v>
      </c>
      <c r="I10">
        <f>I9</f>
        <v>1277.1400000000001</v>
      </c>
      <c r="J10" t="s">
        <v>3999</v>
      </c>
      <c r="L10">
        <v>1201</v>
      </c>
      <c r="M10">
        <v>1277.1099999999999</v>
      </c>
      <c r="N10" t="s">
        <v>3999</v>
      </c>
    </row>
    <row r="11" spans="7:14">
      <c r="H11">
        <v>1301</v>
      </c>
      <c r="I11">
        <v>1277.1400000000001</v>
      </c>
      <c r="J11" t="s">
        <v>3999</v>
      </c>
      <c r="L11">
        <v>1301</v>
      </c>
      <c r="M11">
        <v>1277.1099999999999</v>
      </c>
      <c r="N11" t="s">
        <v>3999</v>
      </c>
    </row>
    <row r="12" spans="7:14">
      <c r="H12">
        <v>1401</v>
      </c>
      <c r="I12">
        <v>1277.1400000000001</v>
      </c>
      <c r="J12" t="s">
        <v>3999</v>
      </c>
      <c r="L12">
        <v>1401</v>
      </c>
      <c r="M12">
        <v>1277.1099999999999</v>
      </c>
      <c r="N12" t="s">
        <v>3999</v>
      </c>
    </row>
    <row r="13" spans="7:14">
      <c r="H13">
        <v>1501</v>
      </c>
      <c r="I13">
        <v>1277.1400000000001</v>
      </c>
      <c r="J13" t="s">
        <v>3999</v>
      </c>
      <c r="L13">
        <v>1501</v>
      </c>
      <c r="M13">
        <v>1277.1099999999999</v>
      </c>
      <c r="N13" t="s">
        <v>3999</v>
      </c>
    </row>
    <row r="14" spans="7:14">
      <c r="H14">
        <v>1601</v>
      </c>
      <c r="I14">
        <v>1199.48</v>
      </c>
      <c r="J14" t="s">
        <v>3999</v>
      </c>
      <c r="L14">
        <v>1601</v>
      </c>
      <c r="M14">
        <v>1199.45</v>
      </c>
      <c r="N14" t="s">
        <v>3999</v>
      </c>
    </row>
    <row r="15" spans="7:14">
      <c r="H15">
        <v>1701</v>
      </c>
      <c r="I15">
        <v>1150.94</v>
      </c>
      <c r="J15" t="s">
        <v>3999</v>
      </c>
      <c r="L15">
        <v>1701</v>
      </c>
      <c r="M15">
        <v>1150.92</v>
      </c>
      <c r="N15" t="s">
        <v>3999</v>
      </c>
    </row>
    <row r="16" spans="7:14">
      <c r="H16">
        <v>1801</v>
      </c>
      <c r="I16">
        <v>928.16</v>
      </c>
      <c r="J16" t="s">
        <v>3999</v>
      </c>
      <c r="L16">
        <v>1801</v>
      </c>
      <c r="M16">
        <v>928.14</v>
      </c>
      <c r="N16" t="s">
        <v>3999</v>
      </c>
    </row>
    <row r="17" spans="7:15">
      <c r="I17">
        <f>SUM(I1:I16)</f>
        <v>19727.729999999996</v>
      </c>
      <c r="M17">
        <f>SUM(M1:M16)</f>
        <v>19728.54</v>
      </c>
    </row>
    <row r="19" spans="7:15">
      <c r="G19" t="s">
        <v>4002</v>
      </c>
      <c r="H19">
        <v>-101</v>
      </c>
      <c r="I19">
        <v>2.65</v>
      </c>
      <c r="J19" t="s">
        <v>4003</v>
      </c>
    </row>
    <row r="20" spans="7:15">
      <c r="H20">
        <v>-103</v>
      </c>
      <c r="I20">
        <v>12.41</v>
      </c>
      <c r="J20" t="s">
        <v>4003</v>
      </c>
      <c r="N20" s="1075" t="s">
        <v>4015</v>
      </c>
      <c r="O20">
        <f>I17+M17+I31</f>
        <v>57408.259999999995</v>
      </c>
    </row>
    <row r="21" spans="7:15">
      <c r="H21">
        <v>-105</v>
      </c>
      <c r="I21">
        <v>14.16</v>
      </c>
      <c r="J21" t="s">
        <v>4003</v>
      </c>
      <c r="N21" s="1075" t="s">
        <v>4008</v>
      </c>
      <c r="O21">
        <f>I17+M17</f>
        <v>39456.269999999997</v>
      </c>
    </row>
    <row r="22" spans="7:15">
      <c r="H22">
        <v>-106</v>
      </c>
      <c r="I22">
        <v>40.36</v>
      </c>
      <c r="J22" t="s">
        <v>4003</v>
      </c>
      <c r="N22" s="1075" t="s">
        <v>4009</v>
      </c>
      <c r="O22">
        <f>I29+I30</f>
        <v>11357.59</v>
      </c>
    </row>
    <row r="23" spans="7:15">
      <c r="H23">
        <v>-107</v>
      </c>
      <c r="I23">
        <v>109.62</v>
      </c>
      <c r="J23" t="s">
        <v>4004</v>
      </c>
      <c r="N23" s="1075" t="s">
        <v>4010</v>
      </c>
      <c r="O23">
        <f>I23+I24+I25+I27</f>
        <v>1614.85</v>
      </c>
    </row>
    <row r="24" spans="7:15">
      <c r="H24">
        <v>-108</v>
      </c>
      <c r="I24">
        <v>161</v>
      </c>
      <c r="J24" t="s">
        <v>4004</v>
      </c>
      <c r="N24" s="1075" t="s">
        <v>4012</v>
      </c>
      <c r="O24">
        <f>I19+I20+I21+I22+I26</f>
        <v>195.18</v>
      </c>
    </row>
    <row r="25" spans="7:15">
      <c r="H25">
        <v>-109</v>
      </c>
      <c r="I25">
        <v>1140.8399999999999</v>
      </c>
      <c r="J25" t="s">
        <v>4004</v>
      </c>
      <c r="N25" s="1075" t="s">
        <v>4014</v>
      </c>
      <c r="O25">
        <f>I28</f>
        <v>4784.37</v>
      </c>
    </row>
    <row r="26" spans="7:15">
      <c r="H26">
        <v>-112</v>
      </c>
      <c r="I26">
        <v>125.6</v>
      </c>
      <c r="J26" t="s">
        <v>4003</v>
      </c>
      <c r="N26" s="1075"/>
    </row>
    <row r="27" spans="7:15">
      <c r="H27">
        <v>-115</v>
      </c>
      <c r="I27">
        <v>203.39</v>
      </c>
      <c r="J27" t="s">
        <v>4004</v>
      </c>
    </row>
    <row r="28" spans="7:15">
      <c r="H28">
        <v>-116</v>
      </c>
      <c r="I28">
        <v>4784.37</v>
      </c>
      <c r="J28" t="s">
        <v>4005</v>
      </c>
    </row>
    <row r="29" spans="7:15">
      <c r="H29">
        <v>101</v>
      </c>
      <c r="I29">
        <v>6115.54</v>
      </c>
      <c r="J29" t="s">
        <v>4006</v>
      </c>
    </row>
    <row r="30" spans="7:15">
      <c r="H30">
        <v>201</v>
      </c>
      <c r="I30">
        <v>5242.05</v>
      </c>
      <c r="J30" t="s">
        <v>4007</v>
      </c>
    </row>
    <row r="31" spans="7:15">
      <c r="I31">
        <f>SUM(I19:I30)</f>
        <v>17951.989999999998</v>
      </c>
    </row>
  </sheetData>
  <sortState xmlns:xlrd2="http://schemas.microsoft.com/office/spreadsheetml/2017/richdata2" ref="G19:J44">
    <sortCondition ref="H19:H44"/>
  </sortState>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34" sqref="G34"/>
    </sheetView>
  </sheetViews>
  <sheetFormatPr defaultColWidth="9.21875" defaultRowHeight="13.8"/>
  <cols>
    <col min="1" max="1" width="12.109375" style="1187" customWidth="1"/>
    <col min="2" max="2" width="10.21875" style="1187" customWidth="1"/>
    <col min="3" max="3" width="18.44140625" style="1187" customWidth="1"/>
    <col min="4" max="4" width="11.6640625" style="1187" customWidth="1"/>
    <col min="5" max="5" width="13.33203125" style="1187" customWidth="1"/>
    <col min="6" max="8" width="11.44140625" style="1187" customWidth="1"/>
    <col min="9" max="9" width="11.109375" style="1187" customWidth="1"/>
    <col min="10" max="10" width="3.109375" style="1187" customWidth="1"/>
    <col min="11" max="16" width="10" style="1187" customWidth="1"/>
    <col min="17" max="17" width="2.6640625" style="1187" customWidth="1"/>
    <col min="18" max="18" width="9.6640625" style="1187" bestFit="1" customWidth="1"/>
    <col min="19" max="19" width="10.6640625" style="1187" bestFit="1" customWidth="1"/>
    <col min="20" max="16384" width="9.21875" style="1187"/>
  </cols>
  <sheetData>
    <row r="1" spans="1:16" ht="18" thickBot="1">
      <c r="A1" s="1186" t="s">
        <v>1114</v>
      </c>
      <c r="B1" s="785"/>
      <c r="C1" s="785"/>
      <c r="D1" s="785"/>
      <c r="E1" s="785"/>
      <c r="F1" s="785"/>
      <c r="G1" s="785"/>
      <c r="H1" s="785"/>
      <c r="I1" s="785"/>
      <c r="J1" s="785"/>
      <c r="K1" s="785"/>
      <c r="L1" s="785"/>
      <c r="M1" s="785"/>
      <c r="N1" s="785"/>
      <c r="O1" s="785"/>
      <c r="P1" s="785"/>
    </row>
    <row r="2" spans="1:16" ht="14.4">
      <c r="A2" s="4422" t="s">
        <v>1115</v>
      </c>
      <c r="B2" s="4422"/>
      <c r="C2" s="4422"/>
      <c r="D2" s="538" t="s">
        <v>1091</v>
      </c>
      <c r="E2" s="1188" t="s">
        <v>1092</v>
      </c>
      <c r="F2" s="1961"/>
      <c r="G2" s="1955"/>
      <c r="H2" s="1956"/>
      <c r="I2" s="1727" t="s">
        <v>1116</v>
      </c>
      <c r="J2" s="1961"/>
      <c r="K2" s="1961"/>
      <c r="L2" s="1961"/>
      <c r="M2" s="1961"/>
      <c r="N2" s="1962"/>
      <c r="O2" s="1961"/>
      <c r="P2" s="1961"/>
    </row>
    <row r="3" spans="1:16" ht="15" thickBot="1">
      <c r="A3" s="4423" t="s">
        <v>1089</v>
      </c>
      <c r="B3" s="4423"/>
      <c r="C3" s="4423"/>
      <c r="D3" s="3913">
        <f>'数据-基础表'!AY6</f>
        <v>16447.62</v>
      </c>
      <c r="E3" s="3913">
        <f>'数据-基础表'!AZ5</f>
        <v>57408.26</v>
      </c>
      <c r="F3" s="1961"/>
      <c r="G3" s="24"/>
      <c r="H3" s="25" t="s">
        <v>1090</v>
      </c>
      <c r="I3" s="2659">
        <f>ROUND('数据-基础表'!B3/'数据-基础表'!A3,2)</f>
        <v>3.49</v>
      </c>
      <c r="J3" s="1961"/>
      <c r="K3" s="1961"/>
      <c r="L3" s="1961"/>
      <c r="M3" s="1961"/>
      <c r="N3" s="1962"/>
      <c r="O3" s="1961"/>
      <c r="P3" s="1961"/>
    </row>
    <row r="4" spans="1:16" ht="14.4">
      <c r="A4" s="4424"/>
      <c r="B4" s="4425"/>
      <c r="C4" s="4426"/>
      <c r="D4" s="1190" t="s">
        <v>1091</v>
      </c>
      <c r="E4" s="1191" t="s">
        <v>1092</v>
      </c>
      <c r="F4" s="1961"/>
      <c r="G4" s="1957" t="s">
        <v>1117</v>
      </c>
      <c r="H4" s="25" t="s">
        <v>1097</v>
      </c>
      <c r="I4" s="2659">
        <f>ROUND(SUMIF('数据-基础表'!I9:AS9,"地上",'数据-基础表'!I5:AS5)/'数据-基础表'!A3,2)</f>
        <v>3.09</v>
      </c>
      <c r="J4" s="1961"/>
      <c r="K4" s="1961"/>
      <c r="L4" s="1961"/>
      <c r="M4" s="1961"/>
      <c r="N4" s="1962"/>
      <c r="O4" s="1961"/>
      <c r="P4" s="1961"/>
    </row>
    <row r="5" spans="1:16" ht="14.4">
      <c r="A5" s="24" t="s">
        <v>1093</v>
      </c>
      <c r="B5" s="4427" t="s">
        <v>1094</v>
      </c>
      <c r="C5" s="4427"/>
      <c r="D5" s="3895">
        <f>ROUND($D$3*E5/$E$3,2)</f>
        <v>0</v>
      </c>
      <c r="E5" s="3786">
        <f>SUMIF('数据-基础表'!$11:$11,"住宅",'数据-基础表'!$5:$5)</f>
        <v>0</v>
      </c>
      <c r="F5" s="1961"/>
      <c r="G5" s="24"/>
      <c r="H5" s="25" t="s">
        <v>1090</v>
      </c>
      <c r="I5" s="2659">
        <f>ROUND(E31/D31,2)</f>
        <v>3.49</v>
      </c>
      <c r="J5" s="1961"/>
      <c r="K5" s="1961"/>
      <c r="L5" s="1961"/>
      <c r="M5" s="1961"/>
      <c r="N5" s="1961"/>
      <c r="O5" s="1961"/>
      <c r="P5" s="1961"/>
    </row>
    <row r="6" spans="1:16" ht="15" thickBot="1">
      <c r="A6" s="1193"/>
      <c r="B6" s="4427" t="s">
        <v>1095</v>
      </c>
      <c r="C6" s="4427"/>
      <c r="D6" s="3895">
        <f>ROUND($D$3*E6/$E$3,2)</f>
        <v>16447.62</v>
      </c>
      <c r="E6" s="3786">
        <f>E3-E5</f>
        <v>57408.26</v>
      </c>
      <c r="F6" s="1961"/>
      <c r="G6" s="1195" t="s">
        <v>1096</v>
      </c>
      <c r="H6" s="26" t="s">
        <v>1097</v>
      </c>
      <c r="I6" s="2660">
        <f>ROUND(F31/D31,2)</f>
        <v>3.09</v>
      </c>
      <c r="J6" s="1961"/>
      <c r="K6" s="1961"/>
      <c r="L6" s="1961"/>
      <c r="M6" s="1961"/>
      <c r="N6" s="1961"/>
      <c r="O6" s="1961"/>
      <c r="P6" s="1961"/>
    </row>
    <row r="7" spans="1:16" ht="15" thickBot="1">
      <c r="A7" s="4419"/>
      <c r="B7" s="4420"/>
      <c r="C7" s="4421"/>
      <c r="D7" s="1190" t="s">
        <v>1091</v>
      </c>
      <c r="E7" s="1194" t="s">
        <v>1098</v>
      </c>
      <c r="F7" s="1961"/>
      <c r="G7" s="1958" t="s">
        <v>1099</v>
      </c>
      <c r="H7" s="1959"/>
      <c r="I7" s="2661"/>
      <c r="J7" s="1961"/>
      <c r="K7" s="1961"/>
      <c r="L7" s="1961"/>
      <c r="M7" s="1961"/>
      <c r="N7" s="1961"/>
      <c r="O7" s="1961"/>
      <c r="P7" s="1961"/>
    </row>
    <row r="8" spans="1:16" ht="14.4">
      <c r="A8" s="24" t="s">
        <v>1100</v>
      </c>
      <c r="B8" s="26" t="s">
        <v>1101</v>
      </c>
      <c r="C8" s="25" t="s">
        <v>1102</v>
      </c>
      <c r="D8" s="3895">
        <f t="shared" ref="D8:D15" si="0">ROUND($D$3*E8/$E$3,2)</f>
        <v>14558.31</v>
      </c>
      <c r="E8" s="3786">
        <f>SUMIF('数据-基础表'!BB10:BK10,"地上",'数据-基础表'!BB5:BK5)</f>
        <v>50813.86</v>
      </c>
      <c r="F8" s="1961"/>
      <c r="G8" s="1961"/>
      <c r="H8" s="1961"/>
      <c r="I8" s="1961"/>
      <c r="J8" s="1961"/>
      <c r="K8" s="1961"/>
      <c r="L8" s="1961"/>
      <c r="M8" s="1961"/>
      <c r="N8" s="1961"/>
      <c r="O8" s="1961"/>
      <c r="P8" s="1961"/>
    </row>
    <row r="9" spans="1:16" ht="14.4">
      <c r="A9" s="1195"/>
      <c r="B9" s="1196"/>
      <c r="C9" s="25" t="s">
        <v>1103</v>
      </c>
      <c r="D9" s="3895">
        <f t="shared" si="0"/>
        <v>0</v>
      </c>
      <c r="E9" s="3914"/>
      <c r="F9" s="1961"/>
      <c r="G9" s="1961"/>
      <c r="H9" s="1961"/>
      <c r="I9" s="1961"/>
      <c r="J9" s="1961"/>
      <c r="K9" s="1961"/>
      <c r="L9" s="1961"/>
      <c r="M9" s="1961"/>
      <c r="N9" s="1961"/>
      <c r="O9" s="1961"/>
      <c r="P9" s="1961"/>
    </row>
    <row r="10" spans="1:16" ht="14.4">
      <c r="A10" s="1195"/>
      <c r="B10" s="1196"/>
      <c r="C10" s="25" t="s">
        <v>1112</v>
      </c>
      <c r="D10" s="3895">
        <f t="shared" si="0"/>
        <v>462.66</v>
      </c>
      <c r="E10" s="3786">
        <f>SUMPRODUCT(('数据-基础表'!BB10:BK10="地下")*('数据-基础表'!BB11:BK11="商业")*('数据-基础表'!BB5:BK5))</f>
        <v>1614.85</v>
      </c>
      <c r="F10" s="1961"/>
      <c r="G10" s="1961"/>
      <c r="H10" s="1961"/>
      <c r="I10" s="1961"/>
      <c r="J10" s="1961"/>
      <c r="K10" s="1961"/>
      <c r="L10" s="1961"/>
      <c r="M10" s="1961"/>
      <c r="N10" s="1961"/>
      <c r="O10" s="1961"/>
      <c r="P10" s="1961"/>
    </row>
    <row r="11" spans="1:16" ht="14.4">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ht="14.4">
      <c r="A12" s="1195"/>
      <c r="B12" s="1196"/>
      <c r="C12" s="25" t="s">
        <v>1105</v>
      </c>
      <c r="D12" s="3895">
        <f t="shared" si="0"/>
        <v>55.92</v>
      </c>
      <c r="E12" s="3786">
        <f>SUMPRODUCT(('数据-基础表'!BB10:BK10="地下")*('数据-基础表'!BB11:BK11="仓储")*('数据-基础表'!BB5:BK5))</f>
        <v>195.18</v>
      </c>
      <c r="F12" s="1961"/>
      <c r="G12" s="1961"/>
      <c r="H12" s="1961"/>
      <c r="I12" s="1961"/>
      <c r="J12" s="1961"/>
      <c r="K12" s="1961"/>
      <c r="L12" s="1961"/>
      <c r="M12" s="1961"/>
      <c r="N12" s="1961"/>
      <c r="O12" s="1961"/>
      <c r="P12" s="1961"/>
    </row>
    <row r="13" spans="1:16" ht="14.4">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ht="14.4">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1370.73</v>
      </c>
      <c r="E15" s="3786">
        <f>SUMPRODUCT(('数据-基础表'!BB10:BK10="地下")*('数据-基础表'!BB11:BK11="车库—办公")*('数据-基础表'!BB5:BK5))</f>
        <v>4784.37</v>
      </c>
      <c r="F15" s="1961"/>
      <c r="G15" s="1961"/>
      <c r="H15" s="1961"/>
      <c r="I15" s="1961"/>
      <c r="J15" s="1961"/>
      <c r="K15" s="1961"/>
      <c r="L15" s="1961"/>
      <c r="M15" s="1961"/>
      <c r="N15" s="1961"/>
      <c r="O15" s="1961"/>
      <c r="P15" s="1961"/>
    </row>
    <row r="16" spans="1:16" ht="15" thickBot="1">
      <c r="A16" s="1193"/>
      <c r="B16" s="1196"/>
      <c r="C16" s="26" t="s">
        <v>1107</v>
      </c>
      <c r="D16" s="3740">
        <f>SUM(D8:D15)</f>
        <v>16447.62</v>
      </c>
      <c r="E16" s="3905">
        <f>SUM(E8:E15)</f>
        <v>57408.26</v>
      </c>
      <c r="F16" s="1961"/>
      <c r="G16" s="1961"/>
      <c r="H16" s="1197" t="s">
        <v>1119</v>
      </c>
      <c r="I16" s="1198"/>
      <c r="J16" s="785"/>
      <c r="K16" s="4416" t="s">
        <v>1119</v>
      </c>
      <c r="L16" s="4417"/>
      <c r="M16" s="4417"/>
      <c r="N16" s="4417"/>
      <c r="O16" s="4417"/>
      <c r="P16" s="4418"/>
    </row>
    <row r="17" spans="1:19" ht="14.4">
      <c r="A17" s="1199" t="s">
        <v>1120</v>
      </c>
      <c r="B17" s="1200" t="s">
        <v>1121</v>
      </c>
      <c r="C17" s="1201" t="s">
        <v>1122</v>
      </c>
      <c r="D17" s="1202" t="s">
        <v>1110</v>
      </c>
      <c r="E17" s="1203" t="s">
        <v>1111</v>
      </c>
      <c r="F17" s="1204"/>
      <c r="G17" s="1205"/>
      <c r="H17" s="1206" t="s">
        <v>1123</v>
      </c>
      <c r="I17" s="1207" t="s">
        <v>1108</v>
      </c>
      <c r="J17" s="785"/>
      <c r="K17" s="4413" t="s">
        <v>1124</v>
      </c>
      <c r="L17" s="4414"/>
      <c r="M17" s="4415"/>
      <c r="N17" s="4413" t="s">
        <v>1125</v>
      </c>
      <c r="O17" s="4414"/>
      <c r="P17" s="4415"/>
      <c r="R17" s="1189" t="s">
        <v>1126</v>
      </c>
      <c r="S17" s="30"/>
    </row>
    <row r="18" spans="1:19" ht="14.4">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ht="14.4">
      <c r="A19" s="1215"/>
      <c r="B19" s="26" t="s">
        <v>1109</v>
      </c>
      <c r="C19" s="2528" t="str">
        <f>'数据-基础表'!C13</f>
        <v>办公</v>
      </c>
      <c r="D19" s="3895">
        <f>ROUND($D$3*E19/$E$3,2)</f>
        <v>11304.33</v>
      </c>
      <c r="E19" s="3895">
        <f t="shared" ref="E19:E26" si="1">SUM(F19:G19)</f>
        <v>39456.269999999997</v>
      </c>
      <c r="F19" s="3896">
        <f>'数据-基础表'!I13</f>
        <v>39456.269999999997</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11304.33</v>
      </c>
      <c r="S19" s="3895">
        <f t="shared" si="5"/>
        <v>39456.269999999997</v>
      </c>
    </row>
    <row r="20" spans="1:19" ht="14.4">
      <c r="A20" s="1215"/>
      <c r="B20" s="26" t="s">
        <v>1137</v>
      </c>
      <c r="C20" s="2528" t="str">
        <f>'数据-基础表'!C14</f>
        <v>商业</v>
      </c>
      <c r="D20" s="3895">
        <f t="shared" ref="D20:D26" si="6">ROUND($D$3*E20/$E$3,2)</f>
        <v>3716.64</v>
      </c>
      <c r="E20" s="3895">
        <f t="shared" si="1"/>
        <v>12972.44</v>
      </c>
      <c r="F20" s="3896">
        <f>'数据-基础表'!K14</f>
        <v>11357.59</v>
      </c>
      <c r="G20" s="3758">
        <f>'数据-基础表'!M14</f>
        <v>1614.85</v>
      </c>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3716.64</v>
      </c>
      <c r="S20" s="3895">
        <f t="shared" si="5"/>
        <v>12972.44</v>
      </c>
    </row>
    <row r="21" spans="1:19" ht="14.4">
      <c r="A21" s="1215"/>
      <c r="B21" s="26" t="s">
        <v>1137</v>
      </c>
      <c r="C21" s="2528" t="str">
        <f>'数据-基础表'!C15</f>
        <v>地下仓储</v>
      </c>
      <c r="D21" s="3895">
        <f t="shared" si="6"/>
        <v>55.92</v>
      </c>
      <c r="E21" s="3895">
        <f t="shared" si="1"/>
        <v>195.18</v>
      </c>
      <c r="F21" s="3896"/>
      <c r="G21" s="3758">
        <f>'数据-基础表'!O15</f>
        <v>195.18</v>
      </c>
      <c r="H21" s="3897">
        <f t="shared" si="7"/>
        <v>0</v>
      </c>
      <c r="I21" s="3786">
        <f t="shared" si="2"/>
        <v>0</v>
      </c>
      <c r="J21" s="785"/>
      <c r="K21" s="3897">
        <f t="shared" si="3"/>
        <v>0</v>
      </c>
      <c r="L21" s="3895">
        <f t="shared" si="4"/>
        <v>0</v>
      </c>
      <c r="M21" s="3786">
        <f t="shared" si="8"/>
        <v>0</v>
      </c>
      <c r="N21" s="3909"/>
      <c r="O21" s="3910"/>
      <c r="P21" s="3786">
        <f t="shared" si="9"/>
        <v>0</v>
      </c>
      <c r="R21" s="3895">
        <f t="shared" si="5"/>
        <v>55.92</v>
      </c>
      <c r="S21" s="3895">
        <f t="shared" si="5"/>
        <v>195.18</v>
      </c>
    </row>
    <row r="22" spans="1:19" ht="14.4">
      <c r="A22" s="1215"/>
      <c r="B22" s="26" t="s">
        <v>1137</v>
      </c>
      <c r="C22" s="2529" t="str">
        <f>'数据-基础表'!C16</f>
        <v>地下车库</v>
      </c>
      <c r="D22" s="3895">
        <f t="shared" si="6"/>
        <v>1370.73</v>
      </c>
      <c r="E22" s="3895">
        <f t="shared" si="1"/>
        <v>4784.37</v>
      </c>
      <c r="F22" s="3898"/>
      <c r="G22" s="3899">
        <f>'数据-基础表'!Q16</f>
        <v>4784.37</v>
      </c>
      <c r="H22" s="3897">
        <f t="shared" si="7"/>
        <v>0</v>
      </c>
      <c r="I22" s="3786">
        <f t="shared" si="2"/>
        <v>0</v>
      </c>
      <c r="J22" s="785"/>
      <c r="K22" s="3897">
        <f t="shared" si="3"/>
        <v>0</v>
      </c>
      <c r="L22" s="3895">
        <f t="shared" si="4"/>
        <v>0</v>
      </c>
      <c r="M22" s="3786">
        <f t="shared" si="8"/>
        <v>0</v>
      </c>
      <c r="N22" s="3909"/>
      <c r="O22" s="3910"/>
      <c r="P22" s="3786">
        <f t="shared" si="9"/>
        <v>0</v>
      </c>
      <c r="R22" s="3895">
        <f t="shared" si="5"/>
        <v>1370.73</v>
      </c>
      <c r="S22" s="3895">
        <f t="shared" si="5"/>
        <v>4784.37</v>
      </c>
    </row>
    <row r="23" spans="1:19" ht="14.4">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ht="14.4">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ht="14.4">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ht="14.4">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 thickBot="1">
      <c r="A27" s="1215"/>
      <c r="B27" s="25"/>
      <c r="C27" s="1216" t="s">
        <v>1138</v>
      </c>
      <c r="D27" s="172">
        <f>SUM(D19:D26)</f>
        <v>16447.62</v>
      </c>
      <c r="E27" s="172">
        <f>IF(SUM(E19:E26)='数据-基础表'!BA5,SUM(E19:E26),IF(F27="地上面积有误","面积有误","地下面积有误"))</f>
        <v>57408.26</v>
      </c>
      <c r="F27" s="172">
        <f>IF(SUM(F19:F26)=E8,SUM(F19:F26),"地上面积有误")</f>
        <v>50813.86</v>
      </c>
      <c r="G27" s="3784">
        <f>SUM(G19:G26)</f>
        <v>6594.4</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16447.62</v>
      </c>
      <c r="S27" s="3895">
        <f>IF(SUM(S19:S26)=$E$3,SUM(S19:S26),SUM(S19:S26)&amp;"误差"&amp;ROUND(SUM(S19:S26)-E3,2))</f>
        <v>57408.26</v>
      </c>
    </row>
    <row r="28" spans="1:19" ht="14.4">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ht="14.4">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4.4">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 thickBot="1">
      <c r="A31" s="1219"/>
      <c r="B31" s="45"/>
      <c r="C31" s="552" t="s">
        <v>1142</v>
      </c>
      <c r="D31" s="3906">
        <f>D27+D30</f>
        <v>16447.62</v>
      </c>
      <c r="E31" s="3906">
        <f>E27+E30</f>
        <v>57408.26</v>
      </c>
      <c r="F31" s="3907">
        <f>F27+F30</f>
        <v>50813.86</v>
      </c>
      <c r="G31" s="3908">
        <f>G27+G30</f>
        <v>6594.4</v>
      </c>
      <c r="H31" s="1961"/>
      <c r="I31" s="1961"/>
      <c r="J31" s="1961"/>
      <c r="K31" s="1961"/>
      <c r="L31" s="1961"/>
      <c r="M31" s="1961"/>
      <c r="N31" s="1961"/>
      <c r="O31" s="1961"/>
      <c r="P31" s="1961"/>
    </row>
    <row r="32" spans="1:19" ht="14.4">
      <c r="A32" s="1192"/>
      <c r="B32" s="1192" t="s">
        <v>1143</v>
      </c>
      <c r="C32" s="1192"/>
      <c r="D32" s="3739"/>
      <c r="E32" s="3739">
        <f>SUMIF(C19:C26,"*住宅*",E19:E26)</f>
        <v>0</v>
      </c>
      <c r="F32" s="3739"/>
      <c r="G32" s="3739"/>
      <c r="H32" s="1961"/>
      <c r="I32" s="1961"/>
      <c r="J32" s="1961"/>
      <c r="K32" s="1961"/>
      <c r="L32" s="1961"/>
      <c r="M32" s="1961"/>
      <c r="N32" s="1961"/>
      <c r="O32" s="1961"/>
      <c r="P32" s="1961"/>
    </row>
    <row r="33" spans="4:7">
      <c r="D33" s="1220"/>
      <c r="G33" s="1187">
        <f>G31/E31</f>
        <v>0.11486848756607497</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0" sqref="T20"/>
    </sheetView>
  </sheetViews>
  <sheetFormatPr defaultColWidth="13.77734375" defaultRowHeight="13.2"/>
  <cols>
    <col min="1" max="1" width="31.6640625" style="1275" customWidth="1"/>
    <col min="2" max="2" width="12" style="1223" customWidth="1"/>
    <col min="3" max="3" width="12.77734375" style="1223" customWidth="1"/>
    <col min="4" max="4" width="9.109375" style="1276" customWidth="1"/>
    <col min="5" max="5" width="15" style="1223" bestFit="1" customWidth="1"/>
    <col min="6" max="10" width="8.88671875" style="1223" customWidth="1"/>
    <col min="11" max="12" width="12.33203125" style="1155" customWidth="1"/>
    <col min="13" max="13" width="8.6640625" style="1223" customWidth="1"/>
    <col min="14" max="14" width="11.88671875" style="1223" customWidth="1"/>
    <col min="15" max="15" width="8.44140625" style="1223" customWidth="1"/>
    <col min="16" max="17" width="10.88671875" style="1223" customWidth="1"/>
    <col min="18" max="19" width="12.44140625" style="1223" customWidth="1"/>
    <col min="20" max="20" width="12.109375" style="1223" customWidth="1"/>
    <col min="21" max="21" width="7.44140625" style="1223" customWidth="1"/>
    <col min="22" max="22" width="6.33203125" style="1223" customWidth="1"/>
    <col min="23" max="30" width="6.77734375" style="1223" customWidth="1"/>
    <col min="31" max="31" width="8" style="1223" customWidth="1"/>
    <col min="32" max="33" width="7.21875" style="1223" customWidth="1"/>
    <col min="34" max="34" width="9.6640625" style="1223" customWidth="1"/>
    <col min="35" max="39" width="8" style="1223" customWidth="1"/>
    <col min="40" max="40" width="13.77734375" style="48"/>
    <col min="41" max="45" width="14.33203125" style="3423" customWidth="1"/>
    <col min="46" max="67" width="13.77734375" style="48"/>
    <col min="68" max="16384" width="13.77734375" style="1223"/>
  </cols>
  <sheetData>
    <row r="1" spans="1:67" ht="18"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 thickBot="1">
      <c r="A2" s="1224" t="s">
        <v>1145</v>
      </c>
      <c r="B2" s="707">
        <f>项目基本情况!D3</f>
        <v>46049</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4.4"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3.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4158</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3611</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3.8">
      <c r="A6" s="1247" t="str">
        <f>'数据-汇总表'!C19</f>
        <v>办公</v>
      </c>
      <c r="B6" s="1248" t="str">
        <f>IF(A6=0,"","经营性")</f>
        <v>经营性</v>
      </c>
      <c r="C6" s="1249" t="s">
        <v>19</v>
      </c>
      <c r="D6" s="3399">
        <f>SUMIF(项目基本情况!C$12:I$12,C6,项目基本情况!C$14:I$14)</f>
        <v>50</v>
      </c>
      <c r="E6" s="565">
        <f>IF(B6="","",SUMIF(项目基本情况!C$12:I$12,C6,项目基本情况!C$13:I$13))</f>
        <v>56457</v>
      </c>
      <c r="F6" s="3401">
        <f>SUMIF(项目基本情况!C$12:I$12,C6,项目基本情况!C$15:I$15)</f>
        <v>28.51</v>
      </c>
      <c r="G6" s="3402">
        <f t="shared" ref="G6:G13" si="0">IF(ISERROR(ROUND(POWER(1+H6,D6-F6)*(POWER(1+H6,F6)-1)/(POWER(1+H6,D6)-1),4)),0,ROUND(POWER(1+H6,D6-F6)*(POWER(1+H6,F6)-1)/(POWER(1+H6,D6)-1),4))</f>
        <v>0.82289999999999996</v>
      </c>
      <c r="H6" s="3403">
        <v>0.05</v>
      </c>
      <c r="I6" s="3403">
        <v>5.5E-2</v>
      </c>
      <c r="J6" s="3404">
        <v>7.0000000000000007E-2</v>
      </c>
      <c r="K6" s="3915">
        <f>SUMIF('数据-汇总表'!C$19:C$33,A6,'数据-汇总表'!E$19:E$33)</f>
        <v>39456.269999999997</v>
      </c>
      <c r="L6" s="3916">
        <v>5000</v>
      </c>
      <c r="M6" s="3917">
        <f t="shared" ref="M6:M14" si="1">ROUND(K6*L6/10000,0)</f>
        <v>19728</v>
      </c>
      <c r="N6" s="3391">
        <v>0.92</v>
      </c>
      <c r="O6" s="3917" t="str">
        <f>IF($N$5="成新度","——",ROUND(M6*N6,0))</f>
        <v>——</v>
      </c>
      <c r="P6" s="3748" t="str">
        <f>IF($N$5="成新度","——",M6-O6)</f>
        <v>——</v>
      </c>
      <c r="Q6" s="3392">
        <v>0.15</v>
      </c>
      <c r="R6" s="3931">
        <f ca="1">SUMIF('数据-汇总表'!C$19:C$33,A6,'数据-汇总表'!R$19:R$27)</f>
        <v>11304.33</v>
      </c>
      <c r="S6" s="3895">
        <f>IF('数据-汇总表'!$I$17="按面积比例",SUMIF('数据-汇总表'!C$19:C$33,A6,'数据-汇总表'!K$19:K$33),SUMIF('数据-汇总表'!C$19:C$33,A6,'数据-汇总表'!N$19:N$33))</f>
        <v>0</v>
      </c>
      <c r="T6" s="3932">
        <f>ROUND($L$14*S6/10000,0)</f>
        <v>0</v>
      </c>
      <c r="U6" s="3936">
        <v>3.3</v>
      </c>
      <c r="V6" s="36">
        <v>0.02</v>
      </c>
      <c r="W6" s="36">
        <v>0.1</v>
      </c>
      <c r="X6" s="702"/>
      <c r="Y6" s="37">
        <f>N6</f>
        <v>0.92</v>
      </c>
      <c r="Z6" s="3941"/>
      <c r="AA6" s="35"/>
      <c r="AB6" s="35"/>
      <c r="AC6" s="702"/>
      <c r="AD6" s="38"/>
      <c r="AE6" s="703">
        <f ca="1">IF(AN6="",0,SUMIF(INDIRECT("'"&amp;AN6&amp;"'"&amp;"!E:E"),$AE$5,INDIRECT("'"&amp;AN6&amp;"'"&amp;"!F:F")))</f>
        <v>28.51</v>
      </c>
      <c r="AF6" s="3943"/>
      <c r="AG6" s="52">
        <f>IF(AF6="",0,AE6-AF6)</f>
        <v>0</v>
      </c>
      <c r="AH6" s="3936"/>
      <c r="AI6" s="3944">
        <v>365</v>
      </c>
      <c r="AJ6" s="3943"/>
      <c r="AK6" s="39">
        <v>2E-3</v>
      </c>
      <c r="AL6" s="40">
        <v>1E-3</v>
      </c>
      <c r="AM6" s="41">
        <v>0.01</v>
      </c>
      <c r="AN6" s="1250" t="s">
        <v>4159</v>
      </c>
      <c r="AO6" s="3895">
        <f ca="1">SUMIF(INDIRECT("'"&amp;AN6&amp;"'"&amp;"!A:A"),"总价",INDIRECT("'"&amp;AN6&amp;"'"&amp;"!B:B"))</f>
        <v>70726</v>
      </c>
      <c r="AP6" s="3895">
        <f>IF(C6="住宅",K6*L6,0)</f>
        <v>0</v>
      </c>
      <c r="AQ6" s="3895">
        <f>ROUND($L$14*$N$14*S6/10000,0)</f>
        <v>0</v>
      </c>
      <c r="AR6" s="3895">
        <f>ROUND($L$14*(1-$N$14)*S6/10000,0)</f>
        <v>0</v>
      </c>
      <c r="AS6" s="3895">
        <f>ROUND(1-1/(1+H6)^F6,3)</f>
        <v>0.751</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3.8">
      <c r="A7" s="1247" t="str">
        <f>'数据-汇总表'!C20</f>
        <v>商业</v>
      </c>
      <c r="B7" s="1248" t="str">
        <f t="shared" ref="B7:B13" si="2">IF(A7=0,"","经营性")</f>
        <v>经营性</v>
      </c>
      <c r="C7" s="1249" t="s">
        <v>660</v>
      </c>
      <c r="D7" s="3399">
        <f>SUMIF(项目基本情况!C$12:I$12,C7,项目基本情况!C$14:I$14)</f>
        <v>40</v>
      </c>
      <c r="E7" s="565">
        <f>IF(B7="","",SUMIF(项目基本情况!C$12:I$12,C7,项目基本情况!C$13:I$13))</f>
        <v>52805</v>
      </c>
      <c r="F7" s="3401">
        <f>SUMIF(项目基本情况!C$12:I$12,C7,项目基本情况!C$15:I$15)</f>
        <v>18.5</v>
      </c>
      <c r="G7" s="3402">
        <f t="shared" si="0"/>
        <v>0.69289999999999996</v>
      </c>
      <c r="H7" s="3403">
        <v>0.05</v>
      </c>
      <c r="I7" s="3403">
        <v>5.5E-2</v>
      </c>
      <c r="J7" s="3404">
        <v>7.0000000000000007E-2</v>
      </c>
      <c r="K7" s="3915">
        <f>SUMIF('数据-汇总表'!C$19:C$33,A7,'数据-汇总表'!E$19:E$33)</f>
        <v>12972.44</v>
      </c>
      <c r="L7" s="3916">
        <v>5000</v>
      </c>
      <c r="M7" s="3917">
        <f t="shared" si="1"/>
        <v>6486</v>
      </c>
      <c r="N7" s="3391">
        <v>0.92</v>
      </c>
      <c r="O7" s="3917" t="str">
        <f t="shared" ref="O7:O14" si="3">IF($N$5="成新度","——",ROUND(M7*N7,0))</f>
        <v>——</v>
      </c>
      <c r="P7" s="3748" t="str">
        <f t="shared" ref="P7:P14" si="4">IF($N$5="成新度","——",M7-O7)</f>
        <v>——</v>
      </c>
      <c r="Q7" s="3392">
        <v>0.2</v>
      </c>
      <c r="R7" s="3931">
        <f ca="1">SUMIF('数据-汇总表'!C$19:C$33,A7,'数据-汇总表'!R$19:R$27)</f>
        <v>3716.64</v>
      </c>
      <c r="S7" s="3895">
        <f>IF('数据-汇总表'!$I$17="按面积比例",SUMIF('数据-汇总表'!C$19:C$33,A7,'数据-汇总表'!K$19:K$33),SUMIF('数据-汇总表'!C$19:C$33,A7,'数据-汇总表'!N$19:N$33))</f>
        <v>0</v>
      </c>
      <c r="T7" s="3932">
        <f t="shared" ref="T7:T13" si="5">ROUND($L$14*S7/10000,0)</f>
        <v>0</v>
      </c>
      <c r="U7" s="3936">
        <v>3.5</v>
      </c>
      <c r="V7" s="36">
        <v>0.02</v>
      </c>
      <c r="W7" s="36">
        <v>0.1</v>
      </c>
      <c r="X7" s="702"/>
      <c r="Y7" s="37">
        <f t="shared" ref="Y7:Y9" si="6">N7</f>
        <v>0.92</v>
      </c>
      <c r="Z7" s="3941"/>
      <c r="AA7" s="35"/>
      <c r="AB7" s="35"/>
      <c r="AC7" s="702"/>
      <c r="AD7" s="38"/>
      <c r="AE7" s="703">
        <f t="shared" ref="AE7:AE13" ca="1" si="7">IF(AN7="",0,SUMIF(INDIRECT("'"&amp;AN7&amp;"'"&amp;"!E:E"),$AE$5,INDIRECT("'"&amp;AN7&amp;"'"&amp;"!F:F")))</f>
        <v>18.5</v>
      </c>
      <c r="AF7" s="3943"/>
      <c r="AG7" s="52">
        <f t="shared" ref="AG7:AG13" si="8">IF(AF7="",0,AE7-AF7)</f>
        <v>0</v>
      </c>
      <c r="AH7" s="3936"/>
      <c r="AI7" s="3944">
        <v>365</v>
      </c>
      <c r="AJ7" s="3943"/>
      <c r="AK7" s="39">
        <v>2E-3</v>
      </c>
      <c r="AL7" s="40">
        <v>1E-3</v>
      </c>
      <c r="AM7" s="41">
        <v>0.01</v>
      </c>
      <c r="AN7" s="1250" t="s">
        <v>4161</v>
      </c>
      <c r="AO7" s="3895">
        <f t="shared" ref="AO7:AO13" ca="1" si="9">SUMIF(INDIRECT("'"&amp;AN7&amp;"'"&amp;"!A:A"),"总价",INDIRECT("'"&amp;AN7&amp;"'"&amp;"!B:B"))</f>
        <v>19729</v>
      </c>
      <c r="AP7" s="3895">
        <f t="shared" ref="AP7:AP13" si="10">IF(C7="住宅",K7*L7,0)</f>
        <v>0</v>
      </c>
      <c r="AQ7" s="3895">
        <f t="shared" ref="AQ7:AQ13" si="11">ROUND($L$14*$N$14*S7/10000,0)</f>
        <v>0</v>
      </c>
      <c r="AR7" s="3895">
        <f t="shared" ref="AR7:AR13" si="12">ROUND($L$14*(1-$N$14)*S7/10000,0)</f>
        <v>0</v>
      </c>
      <c r="AS7" s="3895">
        <f t="shared" ref="AS7:AS13" si="13">ROUND(1-1/(1+H7)^F7,3)</f>
        <v>0.59399999999999997</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3.8">
      <c r="A8" s="1247" t="str">
        <f>'数据-汇总表'!C21</f>
        <v>地下仓储</v>
      </c>
      <c r="B8" s="1248" t="str">
        <f t="shared" si="2"/>
        <v>经营性</v>
      </c>
      <c r="C8" s="1249" t="s">
        <v>3217</v>
      </c>
      <c r="D8" s="3399">
        <f>SUMIF(项目基本情况!C$12:I$12,C8,项目基本情况!C$14:I$14)</f>
        <v>50</v>
      </c>
      <c r="E8" s="565">
        <f>IF(B8="","",SUMIF(项目基本情况!C$12:I$12,C8,项目基本情况!C$13:I$13))</f>
        <v>56457</v>
      </c>
      <c r="F8" s="3401">
        <f>SUMIF(项目基本情况!C$12:I$12,C8,项目基本情况!C$15:I$15)</f>
        <v>28.51</v>
      </c>
      <c r="G8" s="3402">
        <f t="shared" si="0"/>
        <v>0.82289999999999996</v>
      </c>
      <c r="H8" s="3403">
        <v>0.05</v>
      </c>
      <c r="I8" s="3403">
        <v>5.5E-2</v>
      </c>
      <c r="J8" s="3404">
        <v>7.0000000000000007E-2</v>
      </c>
      <c r="K8" s="3915">
        <f>SUMIF('数据-汇总表'!C$19:C$33,A8,'数据-汇总表'!E$19:E$33)</f>
        <v>195.18</v>
      </c>
      <c r="L8" s="3916">
        <v>5000</v>
      </c>
      <c r="M8" s="3917">
        <f>ROUND(K8*L8/10000,0)</f>
        <v>98</v>
      </c>
      <c r="N8" s="3391">
        <v>0.92</v>
      </c>
      <c r="O8" s="3917" t="str">
        <f t="shared" si="3"/>
        <v>——</v>
      </c>
      <c r="P8" s="3748" t="str">
        <f t="shared" si="4"/>
        <v>——</v>
      </c>
      <c r="Q8" s="3392">
        <v>0.05</v>
      </c>
      <c r="R8" s="3931">
        <f ca="1">SUMIF('数据-汇总表'!C$19:C$33,A8,'数据-汇总表'!R$19:R$27)</f>
        <v>55.92</v>
      </c>
      <c r="S8" s="3895">
        <f>IF('数据-汇总表'!$I$17="按面积比例",SUMIF('数据-汇总表'!C$19:C$33,A8,'数据-汇总表'!K$19:K$33),SUMIF('数据-汇总表'!C$19:C$33,A8,'数据-汇总表'!N$19:N$33))</f>
        <v>0</v>
      </c>
      <c r="T8" s="3932">
        <f t="shared" si="5"/>
        <v>0</v>
      </c>
      <c r="U8" s="3937">
        <v>0.5</v>
      </c>
      <c r="V8" s="499">
        <v>0.02</v>
      </c>
      <c r="W8" s="499">
        <v>0.1</v>
      </c>
      <c r="X8" s="702"/>
      <c r="Y8" s="37">
        <f t="shared" si="6"/>
        <v>0.92</v>
      </c>
      <c r="Z8" s="3941"/>
      <c r="AA8" s="35"/>
      <c r="AB8" s="35"/>
      <c r="AC8" s="702"/>
      <c r="AD8" s="38"/>
      <c r="AE8" s="703">
        <f t="shared" ca="1" si="7"/>
        <v>28.51</v>
      </c>
      <c r="AF8" s="3943"/>
      <c r="AG8" s="52">
        <f t="shared" si="8"/>
        <v>0</v>
      </c>
      <c r="AH8" s="3937"/>
      <c r="AI8" s="3944">
        <v>365</v>
      </c>
      <c r="AJ8" s="3943"/>
      <c r="AK8" s="500">
        <v>2E-3</v>
      </c>
      <c r="AL8" s="501">
        <v>1E-3</v>
      </c>
      <c r="AM8" s="502">
        <v>0.01</v>
      </c>
      <c r="AN8" s="1250" t="s">
        <v>4163</v>
      </c>
      <c r="AO8" s="3895">
        <f t="shared" ca="1" si="9"/>
        <v>52.482799999999997</v>
      </c>
      <c r="AP8" s="3895">
        <f t="shared" si="10"/>
        <v>0</v>
      </c>
      <c r="AQ8" s="3895">
        <f t="shared" si="11"/>
        <v>0</v>
      </c>
      <c r="AR8" s="3895">
        <f t="shared" si="12"/>
        <v>0</v>
      </c>
      <c r="AS8" s="3895">
        <f t="shared" si="13"/>
        <v>0.751</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3.8">
      <c r="A9" s="1247" t="str">
        <f>'数据-汇总表'!C22</f>
        <v>地下车库</v>
      </c>
      <c r="B9" s="1248" t="str">
        <f t="shared" si="2"/>
        <v>经营性</v>
      </c>
      <c r="C9" s="1249" t="s">
        <v>3216</v>
      </c>
      <c r="D9" s="3399">
        <f>SUMIF(项目基本情况!C$12:I$12,C9,项目基本情况!C$14:I$14)</f>
        <v>50</v>
      </c>
      <c r="E9" s="565">
        <f>IF(B9="","",SUMIF(项目基本情况!C$12:I$12,C9,项目基本情况!C$13:I$13))</f>
        <v>56457</v>
      </c>
      <c r="F9" s="3401">
        <f>SUMIF(项目基本情况!C$12:I$12,C9,项目基本情况!C$15:I$15)</f>
        <v>28.51</v>
      </c>
      <c r="G9" s="3402">
        <f t="shared" si="0"/>
        <v>0.82289999999999996</v>
      </c>
      <c r="H9" s="3403">
        <v>0.05</v>
      </c>
      <c r="I9" s="3403">
        <v>5.5E-2</v>
      </c>
      <c r="J9" s="3404">
        <v>7.0000000000000007E-2</v>
      </c>
      <c r="K9" s="3915">
        <f>SUMIF('数据-汇总表'!C$19:C$33,A9,'数据-汇总表'!E$19:E$33)</f>
        <v>4784.37</v>
      </c>
      <c r="L9" s="3916">
        <v>5000</v>
      </c>
      <c r="M9" s="3917">
        <f t="shared" si="1"/>
        <v>2392</v>
      </c>
      <c r="N9" s="3391">
        <v>0.92</v>
      </c>
      <c r="O9" s="3917" t="str">
        <f t="shared" si="3"/>
        <v>——</v>
      </c>
      <c r="P9" s="3748" t="str">
        <f t="shared" si="4"/>
        <v>——</v>
      </c>
      <c r="Q9" s="3393">
        <v>0.05</v>
      </c>
      <c r="R9" s="3931">
        <f ca="1">SUMIF('数据-汇总表'!C$19:C$33,A9,'数据-汇总表'!R$19:R$27)</f>
        <v>1370.73</v>
      </c>
      <c r="S9" s="3895">
        <f>IF('数据-汇总表'!$I$17="按面积比例",SUMIF('数据-汇总表'!C$19:C$33,A9,'数据-汇总表'!K$19:K$33),SUMIF('数据-汇总表'!C$19:C$33,A9,'数据-汇总表'!N$19:N$33))</f>
        <v>0</v>
      </c>
      <c r="T9" s="3932">
        <f t="shared" si="5"/>
        <v>0</v>
      </c>
      <c r="U9" s="3936">
        <f>ROUND(600/30/35,2)</f>
        <v>0.56999999999999995</v>
      </c>
      <c r="V9" s="36">
        <v>0.01</v>
      </c>
      <c r="W9" s="36">
        <v>0.1</v>
      </c>
      <c r="X9" s="702"/>
      <c r="Y9" s="37">
        <f t="shared" si="6"/>
        <v>0.92</v>
      </c>
      <c r="Z9" s="3941"/>
      <c r="AA9" s="35"/>
      <c r="AB9" s="35"/>
      <c r="AC9" s="702"/>
      <c r="AD9" s="38"/>
      <c r="AE9" s="703">
        <f t="shared" ca="1" si="7"/>
        <v>28.51</v>
      </c>
      <c r="AF9" s="3943"/>
      <c r="AG9" s="52">
        <f t="shared" si="8"/>
        <v>0</v>
      </c>
      <c r="AH9" s="3936"/>
      <c r="AI9" s="3944">
        <v>365</v>
      </c>
      <c r="AJ9" s="3943"/>
      <c r="AK9" s="39">
        <v>2E-3</v>
      </c>
      <c r="AL9" s="40">
        <v>1E-3</v>
      </c>
      <c r="AM9" s="41">
        <v>0.01</v>
      </c>
      <c r="AN9" s="1250" t="s">
        <v>4165</v>
      </c>
      <c r="AO9" s="3895">
        <f t="shared" ca="1" si="9"/>
        <v>1340</v>
      </c>
      <c r="AP9" s="3895">
        <f t="shared" si="10"/>
        <v>0</v>
      </c>
      <c r="AQ9" s="3895">
        <f t="shared" si="11"/>
        <v>0</v>
      </c>
      <c r="AR9" s="3895">
        <f t="shared" si="12"/>
        <v>0</v>
      </c>
      <c r="AS9" s="3895">
        <f t="shared" si="13"/>
        <v>0.751</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3.8">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7"/>
        <v>0</v>
      </c>
      <c r="AF10" s="3943"/>
      <c r="AG10" s="52">
        <f t="shared" si="8"/>
        <v>0</v>
      </c>
      <c r="AH10" s="3936"/>
      <c r="AI10" s="3944"/>
      <c r="AJ10" s="3943"/>
      <c r="AK10" s="39"/>
      <c r="AL10" s="40"/>
      <c r="AM10" s="41"/>
      <c r="AN10" s="1250"/>
      <c r="AO10" s="3895" t="e">
        <f t="shared" ca="1" si="9"/>
        <v>#REF!</v>
      </c>
      <c r="AP10" s="3895">
        <f t="shared" si="10"/>
        <v>0</v>
      </c>
      <c r="AQ10" s="3895">
        <f t="shared" si="11"/>
        <v>0</v>
      </c>
      <c r="AR10" s="3895">
        <f t="shared" si="12"/>
        <v>0</v>
      </c>
      <c r="AS10" s="3895">
        <f t="shared" si="13"/>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3.8">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7"/>
        <v>0</v>
      </c>
      <c r="AF11" s="3943"/>
      <c r="AG11" s="52">
        <f t="shared" si="8"/>
        <v>0</v>
      </c>
      <c r="AH11" s="3936"/>
      <c r="AI11" s="3944"/>
      <c r="AJ11" s="3943"/>
      <c r="AK11" s="39"/>
      <c r="AL11" s="40"/>
      <c r="AM11" s="41"/>
      <c r="AN11" s="1250"/>
      <c r="AO11" s="3895" t="e">
        <f t="shared" ca="1" si="9"/>
        <v>#REF!</v>
      </c>
      <c r="AP11" s="3895">
        <f t="shared" si="10"/>
        <v>0</v>
      </c>
      <c r="AQ11" s="3895">
        <f t="shared" si="11"/>
        <v>0</v>
      </c>
      <c r="AR11" s="3895">
        <f t="shared" si="12"/>
        <v>0</v>
      </c>
      <c r="AS11" s="3895">
        <f t="shared" si="13"/>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3.8">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7"/>
        <v>0</v>
      </c>
      <c r="AF12" s="3943"/>
      <c r="AG12" s="52">
        <f t="shared" si="8"/>
        <v>0</v>
      </c>
      <c r="AH12" s="3936"/>
      <c r="AI12" s="3944"/>
      <c r="AJ12" s="3943"/>
      <c r="AK12" s="39"/>
      <c r="AL12" s="40"/>
      <c r="AM12" s="41"/>
      <c r="AN12" s="1250"/>
      <c r="AO12" s="3895" t="e">
        <f t="shared" ca="1" si="9"/>
        <v>#REF!</v>
      </c>
      <c r="AP12" s="3895">
        <f t="shared" si="10"/>
        <v>0</v>
      </c>
      <c r="AQ12" s="3895">
        <f t="shared" si="11"/>
        <v>0</v>
      </c>
      <c r="AR12" s="3895">
        <f t="shared" si="12"/>
        <v>0</v>
      </c>
      <c r="AS12" s="3895">
        <f t="shared" si="13"/>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3.8">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7"/>
        <v>0</v>
      </c>
      <c r="AF13" s="3943"/>
      <c r="AG13" s="52">
        <f t="shared" si="8"/>
        <v>0</v>
      </c>
      <c r="AH13" s="3936"/>
      <c r="AI13" s="3944"/>
      <c r="AJ13" s="3943"/>
      <c r="AK13" s="39"/>
      <c r="AL13" s="40"/>
      <c r="AM13" s="41"/>
      <c r="AN13" s="1250"/>
      <c r="AO13" s="3895" t="e">
        <f t="shared" ca="1" si="9"/>
        <v>#REF!</v>
      </c>
      <c r="AP13" s="3895">
        <f t="shared" si="10"/>
        <v>0</v>
      </c>
      <c r="AQ13" s="3895">
        <f t="shared" si="11"/>
        <v>0</v>
      </c>
      <c r="AR13" s="3895">
        <f t="shared" si="12"/>
        <v>0</v>
      </c>
      <c r="AS13" s="3895">
        <f t="shared" si="13"/>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4">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4">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 thickBot="1">
      <c r="A16" s="1253" t="s">
        <v>1193</v>
      </c>
      <c r="B16" s="42"/>
      <c r="C16" s="551"/>
      <c r="D16" s="3400"/>
      <c r="E16" s="42"/>
      <c r="F16" s="3406"/>
      <c r="G16" s="3407">
        <f>ROUND(SUMPRODUCT(G6:G13,K6:K13)/SUMPRODUCT((G6:G13&gt;0)*(K6:K13)),4)</f>
        <v>0.79349999999999998</v>
      </c>
      <c r="H16" s="3408">
        <f>ROUND(SUMPRODUCT(H6:H13,K6:K13)/SUMPRODUCT((H6:H13&gt;0)*(K6:K13)),3)</f>
        <v>0.05</v>
      </c>
      <c r="I16" s="3409"/>
      <c r="J16" s="3409"/>
      <c r="K16" s="3919">
        <f>SUM(K6:K15)</f>
        <v>57408.26</v>
      </c>
      <c r="L16" s="3920">
        <f>ROUND(M16*10000/SUM(K6:K14),0)</f>
        <v>5000</v>
      </c>
      <c r="M16" s="3920">
        <f>SUM(M6:M14)</f>
        <v>28704</v>
      </c>
      <c r="N16" s="3397">
        <f>ROUND(SUMPRODUCT(M6:M14,N6:N14)/M16,3)</f>
        <v>0.92</v>
      </c>
      <c r="O16" s="3920">
        <f>SUM(O6:O14)</f>
        <v>0</v>
      </c>
      <c r="P16" s="3920">
        <f>SUM(P6:P14)</f>
        <v>0</v>
      </c>
      <c r="Q16" s="3398">
        <f>ROUND(SUMPRODUCT(Q6:Q13,K6:K13)/SUMPRODUCT((Q6:Q13&gt;0)*(K6:K13)),2)</f>
        <v>0.15</v>
      </c>
      <c r="R16" s="3933">
        <f ca="1">SUM(R6:R13)</f>
        <v>16447.62</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0.71599999999999997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8" thickBot="1">
      <c r="A17" s="1254"/>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4">
      <c r="A19" s="3955" t="s">
        <v>1195</v>
      </c>
      <c r="B19" s="3921">
        <v>0</v>
      </c>
      <c r="C19" s="4038" t="s">
        <v>2194</v>
      </c>
      <c r="D19" s="4034"/>
      <c r="E19" s="4035"/>
      <c r="F19" s="4035"/>
      <c r="G19" s="4035"/>
      <c r="H19" s="1961"/>
      <c r="I19" s="1961"/>
      <c r="J19" s="1961"/>
      <c r="K19" s="1972"/>
      <c r="L19" s="1972">
        <v>5500</v>
      </c>
      <c r="M19" s="1971"/>
      <c r="N19" s="1971">
        <v>2021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4">
      <c r="A20" s="1255" t="s">
        <v>1196</v>
      </c>
      <c r="B20" s="3922">
        <v>2</v>
      </c>
      <c r="C20" s="4036" t="s">
        <v>3856</v>
      </c>
      <c r="D20" s="4034"/>
      <c r="E20" s="4035"/>
      <c r="F20" s="4035"/>
      <c r="G20" s="4035"/>
      <c r="H20" s="1961"/>
      <c r="I20" s="1961"/>
      <c r="J20" s="1961"/>
      <c r="K20" s="1972"/>
      <c r="L20" s="1972">
        <v>1.0900000000000001</v>
      </c>
      <c r="M20" s="1971"/>
      <c r="N20" s="1971">
        <f>ROUND(1-(2026-N19)/60,2)</f>
        <v>0.92</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4">
      <c r="A21" s="1256" t="s">
        <v>1197</v>
      </c>
      <c r="B21" s="3922">
        <v>2</v>
      </c>
      <c r="C21" s="1961"/>
      <c r="D21" s="1974"/>
      <c r="E21" s="1961"/>
      <c r="F21" s="1961"/>
      <c r="G21" s="1961"/>
      <c r="H21" s="1961"/>
      <c r="I21" s="1961"/>
      <c r="J21" s="1961"/>
      <c r="K21" s="1972"/>
      <c r="L21" s="1972">
        <f>L19/L20</f>
        <v>5045.8715596330276</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4">
      <c r="A22" s="1255" t="s">
        <v>1198</v>
      </c>
      <c r="B22" s="3923">
        <f>B19+B20</f>
        <v>2</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4">
      <c r="A23" s="1256" t="s">
        <v>1199</v>
      </c>
      <c r="B23" s="3923">
        <f>B19+B21</f>
        <v>2</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4.4"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4">
      <c r="A27" s="1259" t="s">
        <v>1204</v>
      </c>
      <c r="B27" s="3925"/>
      <c r="C27" s="4083" t="s">
        <v>2195</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4">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29.4" thickBot="1">
      <c r="A29" s="1261" t="s">
        <v>1206</v>
      </c>
      <c r="B29" s="3927"/>
      <c r="C29" s="4085" t="s">
        <v>3855</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4">
      <c r="A30" s="1262" t="s">
        <v>1207</v>
      </c>
      <c r="B30" s="3928">
        <v>130</v>
      </c>
      <c r="C30" s="4090" t="s">
        <v>3989</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4">
      <c r="A31" s="1260" t="s">
        <v>1208</v>
      </c>
      <c r="B31" s="3923">
        <f>B30-B32</f>
        <v>130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4">
      <c r="A33" s="3958" t="s">
        <v>3820</v>
      </c>
      <c r="B33" s="4029">
        <v>0.05</v>
      </c>
      <c r="C33" s="4074" t="s">
        <v>3848</v>
      </c>
      <c r="D33" s="4034"/>
      <c r="E33" s="4035"/>
      <c r="F33" s="4035"/>
      <c r="G33" s="1961"/>
      <c r="H33" s="1961"/>
      <c r="I33" s="1961">
        <f>B33*L16</f>
        <v>250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4">
      <c r="A34" s="1260" t="s">
        <v>1210</v>
      </c>
      <c r="B34" s="4030">
        <v>0</v>
      </c>
      <c r="C34" s="4036" t="s">
        <v>3850</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4">
      <c r="A35" s="1260" t="s">
        <v>1211</v>
      </c>
      <c r="B35" s="4031">
        <v>300</v>
      </c>
      <c r="C35" s="4038" t="s">
        <v>3852</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4">
      <c r="A36" s="3956" t="s">
        <v>3289</v>
      </c>
      <c r="B36" s="3410">
        <v>0.01</v>
      </c>
      <c r="C36" s="4075" t="s">
        <v>3851</v>
      </c>
      <c r="D36" s="4039"/>
      <c r="E36" s="4040"/>
      <c r="F36" s="4040"/>
      <c r="G36" s="1961"/>
      <c r="H36" s="1961"/>
      <c r="I36" s="1961"/>
      <c r="J36" s="1961">
        <f>B36*L16</f>
        <v>50</v>
      </c>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3290</v>
      </c>
      <c r="B37" s="3411">
        <v>0</v>
      </c>
      <c r="C37" s="4038" t="s">
        <v>3849</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4">
      <c r="A38" s="1262" t="s">
        <v>1212</v>
      </c>
      <c r="B38" s="3412">
        <v>0.02</v>
      </c>
      <c r="C38" s="4036" t="s">
        <v>3265</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4">
      <c r="A39" s="1260" t="s">
        <v>1213</v>
      </c>
      <c r="B39" s="3410">
        <v>0.02</v>
      </c>
      <c r="C39" s="4036" t="s">
        <v>3853</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4">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4.4" thickBot="1">
      <c r="A41" s="2082" t="s">
        <v>2201</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4">
      <c r="A42" s="3958" t="s">
        <v>3282</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4">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4">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4">
      <c r="A45" s="1265" t="s">
        <v>1217</v>
      </c>
      <c r="B45" s="3416">
        <v>7.0000000000000007E-2</v>
      </c>
      <c r="C45" s="4036" t="s">
        <v>3266</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4">
      <c r="A46" s="1265" t="s">
        <v>1218</v>
      </c>
      <c r="B46" s="3417">
        <v>0.03</v>
      </c>
      <c r="C46" s="4085" t="s">
        <v>3857</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4">
      <c r="A47" s="1265" t="s">
        <v>1219</v>
      </c>
      <c r="B47" s="3417">
        <v>0.02</v>
      </c>
      <c r="C47" s="4085" t="s">
        <v>3858</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2196</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4">
      <c r="A49" s="1267" t="s">
        <v>1221</v>
      </c>
      <c r="B49" s="3419">
        <v>0.03</v>
      </c>
      <c r="C49" s="4085" t="s">
        <v>3859</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3860</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4">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4">
      <c r="A53" s="1268" t="s">
        <v>1225</v>
      </c>
      <c r="B53" s="3420">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4">
      <c r="A54" s="1260" t="s">
        <v>1226</v>
      </c>
      <c r="B54" s="3421" t="s">
        <v>108</v>
      </c>
      <c r="C54" s="1972" t="s">
        <v>3861</v>
      </c>
      <c r="D54" s="4089" t="s">
        <v>3862</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4">
      <c r="A55" s="1269" t="s">
        <v>1227</v>
      </c>
      <c r="B55" s="3914">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4">
      <c r="A56" s="1269" t="s">
        <v>1228</v>
      </c>
      <c r="B56" s="3914">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4">
      <c r="A57" s="1269" t="s">
        <v>1229</v>
      </c>
      <c r="B57" s="3914">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4">
      <c r="A58" s="1269" t="s">
        <v>1230</v>
      </c>
      <c r="B58" s="3914">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4">
      <c r="A59" s="1269" t="s">
        <v>1231</v>
      </c>
      <c r="B59" s="3914">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4">
      <c r="A60" s="1269" t="s">
        <v>1232</v>
      </c>
      <c r="B60" s="3914">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4">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4">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4">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87" customWidth="1"/>
    <col min="2" max="3" width="24.44140625" style="1132" customWidth="1"/>
    <col min="4" max="4" width="2.6640625" style="1132" customWidth="1"/>
    <col min="5" max="5" width="5.88671875" style="1132" customWidth="1"/>
    <col min="6" max="7" width="27" style="1132" customWidth="1"/>
    <col min="8" max="8" width="11.88671875" style="1850" customWidth="1"/>
    <col min="9" max="9" width="16.77734375" style="1850" customWidth="1"/>
    <col min="10" max="10" width="2.6640625" style="1850" customWidth="1"/>
    <col min="11" max="11" width="11.88671875" style="1850" customWidth="1"/>
    <col min="12" max="12" width="16.77734375" style="1850" customWidth="1"/>
    <col min="13" max="13" width="2.6640625" style="1850" customWidth="1"/>
    <col min="14" max="14" width="11.88671875" style="1850" customWidth="1"/>
    <col min="15" max="15" width="16.77734375" style="1850" customWidth="1"/>
    <col min="16" max="16" width="2.6640625" style="1850" customWidth="1"/>
    <col min="17" max="17" width="11.88671875" style="1850" customWidth="1"/>
    <col min="18" max="18" width="16.77734375" style="539" customWidth="1"/>
    <col min="19" max="29" width="9" style="539"/>
    <col min="30" max="16384" width="9" style="1187"/>
  </cols>
  <sheetData>
    <row r="1" spans="1:29" s="1832" customFormat="1" ht="18" thickBot="1">
      <c r="A1" s="4428" t="s">
        <v>2186</v>
      </c>
      <c r="B1" s="4429"/>
      <c r="C1" s="4429"/>
      <c r="D1" s="4429"/>
      <c r="E1" s="4429"/>
      <c r="F1" s="4429"/>
      <c r="G1" s="4429"/>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4.4" thickBot="1">
      <c r="A2" s="1833"/>
      <c r="B2" s="1834"/>
      <c r="C2" s="1835" t="s">
        <v>2183</v>
      </c>
      <c r="D2" s="1254"/>
      <c r="E2" s="1833"/>
      <c r="F2" s="1836"/>
      <c r="G2" s="1835" t="s">
        <v>2184</v>
      </c>
      <c r="H2" s="539"/>
      <c r="I2" s="539"/>
      <c r="J2" s="539"/>
      <c r="K2" s="539"/>
      <c r="L2" s="539"/>
      <c r="M2" s="539"/>
      <c r="N2" s="539"/>
      <c r="O2" s="539"/>
      <c r="P2" s="539"/>
      <c r="Q2" s="539"/>
    </row>
    <row r="3" spans="1:29" ht="24">
      <c r="A3" s="1820" t="s">
        <v>2185</v>
      </c>
      <c r="B3" s="1837" t="s">
        <v>2161</v>
      </c>
      <c r="C3" s="1838"/>
      <c r="D3" s="1839"/>
      <c r="E3" s="1821" t="s">
        <v>2185</v>
      </c>
      <c r="F3" s="1840" t="s">
        <v>2162</v>
      </c>
      <c r="G3" s="1841"/>
      <c r="H3" s="539"/>
      <c r="I3" s="539"/>
      <c r="J3" s="539"/>
      <c r="K3" s="539"/>
      <c r="L3" s="539"/>
      <c r="M3" s="539"/>
      <c r="N3" s="539"/>
      <c r="O3" s="539"/>
      <c r="P3" s="539"/>
      <c r="Q3" s="539"/>
    </row>
    <row r="4" spans="1:29">
      <c r="A4" s="1821"/>
      <c r="B4" s="206" t="s">
        <v>2163</v>
      </c>
      <c r="C4" s="1842"/>
      <c r="D4" s="1839"/>
      <c r="E4" s="1843"/>
      <c r="F4" s="950" t="s">
        <v>2164</v>
      </c>
      <c r="G4" s="1844"/>
      <c r="H4" s="539"/>
      <c r="I4" s="539"/>
      <c r="J4" s="539"/>
      <c r="K4" s="539"/>
      <c r="L4" s="539"/>
      <c r="M4" s="539"/>
      <c r="N4" s="539"/>
      <c r="O4" s="539"/>
      <c r="P4" s="539"/>
      <c r="Q4" s="539"/>
    </row>
    <row r="5" spans="1:29">
      <c r="A5" s="1821"/>
      <c r="B5" s="206" t="s">
        <v>2165</v>
      </c>
      <c r="C5" s="1842"/>
      <c r="D5" s="1839"/>
      <c r="E5" s="1843"/>
      <c r="F5" s="206" t="s">
        <v>2166</v>
      </c>
      <c r="G5" s="1844"/>
      <c r="H5" s="539"/>
      <c r="I5" s="539"/>
      <c r="J5" s="539"/>
      <c r="K5" s="539"/>
      <c r="L5" s="539"/>
      <c r="M5" s="539"/>
      <c r="N5" s="539"/>
      <c r="O5" s="539"/>
      <c r="P5" s="539"/>
      <c r="Q5" s="539"/>
    </row>
    <row r="6" spans="1:29">
      <c r="A6" s="1821"/>
      <c r="B6" s="206" t="s">
        <v>2167</v>
      </c>
      <c r="C6" s="1844"/>
      <c r="D6" s="1839"/>
      <c r="E6" s="1843"/>
      <c r="F6" s="206" t="s">
        <v>2168</v>
      </c>
      <c r="G6" s="1844"/>
      <c r="H6" s="539"/>
      <c r="I6" s="539"/>
      <c r="J6" s="539"/>
      <c r="K6" s="539"/>
      <c r="L6" s="539"/>
      <c r="M6" s="539"/>
      <c r="N6" s="539"/>
      <c r="O6" s="539"/>
      <c r="P6" s="539"/>
      <c r="Q6" s="539"/>
    </row>
    <row r="7" spans="1:29" ht="14.4" thickBot="1">
      <c r="A7" s="1821"/>
      <c r="B7" s="206" t="s">
        <v>2166</v>
      </c>
      <c r="C7" s="1844"/>
      <c r="D7" s="1818"/>
      <c r="E7" s="1845"/>
      <c r="F7" s="1846" t="s">
        <v>2169</v>
      </c>
      <c r="G7" s="1847"/>
      <c r="H7" s="539"/>
      <c r="I7" s="539"/>
      <c r="J7" s="539"/>
      <c r="K7" s="539"/>
      <c r="L7" s="539"/>
      <c r="M7" s="539"/>
      <c r="N7" s="539"/>
      <c r="O7" s="539"/>
      <c r="P7" s="539"/>
      <c r="Q7" s="539"/>
    </row>
    <row r="8" spans="1:29">
      <c r="A8" s="1821"/>
      <c r="B8" s="206" t="s">
        <v>2168</v>
      </c>
      <c r="C8" s="1844"/>
      <c r="D8" s="1818"/>
      <c r="E8" s="1818"/>
      <c r="F8" s="47"/>
      <c r="G8" s="47"/>
      <c r="H8" s="539"/>
      <c r="I8" s="539"/>
      <c r="J8" s="539"/>
      <c r="K8" s="539"/>
      <c r="L8" s="539"/>
      <c r="M8" s="539"/>
      <c r="N8" s="539"/>
      <c r="O8" s="539"/>
      <c r="P8" s="539"/>
      <c r="Q8" s="539"/>
    </row>
    <row r="9" spans="1:29">
      <c r="A9" s="1821"/>
      <c r="B9" s="206" t="s">
        <v>2170</v>
      </c>
      <c r="C9" s="1842"/>
      <c r="D9" s="1839"/>
      <c r="E9" s="1818"/>
      <c r="F9" s="47"/>
      <c r="G9" s="47"/>
      <c r="H9" s="539"/>
      <c r="I9" s="539"/>
      <c r="J9" s="539"/>
      <c r="K9" s="539"/>
      <c r="L9" s="539"/>
      <c r="M9" s="539"/>
      <c r="N9" s="539"/>
      <c r="O9" s="539"/>
      <c r="P9" s="539"/>
      <c r="Q9" s="539"/>
    </row>
    <row r="10" spans="1:29" ht="14.4" thickBot="1">
      <c r="A10" s="1822"/>
      <c r="B10" s="1848" t="s">
        <v>2171</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7.399999999999999">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 thickBot="1">
      <c r="A13" s="1857" t="s">
        <v>2187</v>
      </c>
      <c r="B13" s="1853"/>
      <c r="C13" s="1853"/>
      <c r="D13" s="1852"/>
      <c r="E13" s="1853"/>
      <c r="F13" s="1853"/>
      <c r="G13" s="1853"/>
    </row>
    <row r="14" spans="1:29" ht="14.4" thickBot="1">
      <c r="A14" s="1858"/>
      <c r="B14" s="1858"/>
      <c r="C14" s="1859" t="s">
        <v>2172</v>
      </c>
      <c r="D14" s="1839"/>
      <c r="E14" s="1860"/>
      <c r="F14" s="1860"/>
      <c r="G14" s="1835" t="s">
        <v>2173</v>
      </c>
    </row>
    <row r="15" spans="1:29" ht="24">
      <c r="A15" s="1823" t="s">
        <v>2174</v>
      </c>
      <c r="B15" s="1861" t="s">
        <v>2161</v>
      </c>
      <c r="C15" s="1862">
        <f>C3</f>
        <v>0</v>
      </c>
      <c r="D15" s="1839"/>
      <c r="E15" s="1824" t="s">
        <v>2175</v>
      </c>
      <c r="F15" s="1861" t="s">
        <v>2176</v>
      </c>
      <c r="G15" s="1863">
        <f>G3</f>
        <v>0</v>
      </c>
    </row>
    <row r="16" spans="1:29">
      <c r="A16" s="1825"/>
      <c r="B16" s="1864" t="s">
        <v>2163</v>
      </c>
      <c r="C16" s="1865">
        <f>C4</f>
        <v>0</v>
      </c>
      <c r="D16" s="1839"/>
      <c r="E16" s="1826"/>
      <c r="F16" s="1866" t="s">
        <v>2164</v>
      </c>
      <c r="G16" s="1867">
        <f>G4</f>
        <v>0</v>
      </c>
    </row>
    <row r="17" spans="1:17">
      <c r="A17" s="1825"/>
      <c r="B17" s="1864" t="s">
        <v>2165</v>
      </c>
      <c r="C17" s="1865">
        <f>C5</f>
        <v>0</v>
      </c>
      <c r="D17" s="1818"/>
      <c r="E17" s="1826"/>
      <c r="F17" s="1866" t="s">
        <v>2177</v>
      </c>
      <c r="G17" s="1868"/>
    </row>
    <row r="18" spans="1:17">
      <c r="A18" s="1825"/>
      <c r="B18" s="1866" t="s">
        <v>2167</v>
      </c>
      <c r="C18" s="1867">
        <f>C6</f>
        <v>0</v>
      </c>
      <c r="D18" s="1818"/>
      <c r="E18" s="1826"/>
      <c r="F18" s="1866" t="s">
        <v>2169</v>
      </c>
      <c r="G18" s="1867">
        <f>G7</f>
        <v>0</v>
      </c>
    </row>
    <row r="19" spans="1:17">
      <c r="A19" s="1825"/>
      <c r="B19" s="1866" t="s">
        <v>2178</v>
      </c>
      <c r="C19" s="1868"/>
      <c r="D19" s="1839"/>
      <c r="E19" s="1826"/>
      <c r="F19" s="206" t="s">
        <v>2166</v>
      </c>
      <c r="G19" s="1867">
        <f>G5</f>
        <v>0</v>
      </c>
    </row>
    <row r="20" spans="1:17">
      <c r="A20" s="1825"/>
      <c r="B20" s="1866" t="s">
        <v>2179</v>
      </c>
      <c r="C20" s="1865">
        <f>C9</f>
        <v>0</v>
      </c>
      <c r="D20" s="1818"/>
      <c r="E20" s="1826"/>
      <c r="F20" s="206" t="s">
        <v>2168</v>
      </c>
      <c r="G20" s="1867">
        <f>G6</f>
        <v>0</v>
      </c>
    </row>
    <row r="21" spans="1:17">
      <c r="A21" s="1825"/>
      <c r="B21" s="206" t="s">
        <v>2166</v>
      </c>
      <c r="C21" s="1867">
        <f>C7</f>
        <v>0</v>
      </c>
      <c r="D21" s="1839"/>
      <c r="E21" s="1826"/>
      <c r="F21" s="1866" t="s">
        <v>2180</v>
      </c>
      <c r="G21" s="1869"/>
    </row>
    <row r="22" spans="1:17" ht="13.5" customHeight="1">
      <c r="A22" s="1825"/>
      <c r="B22" s="206" t="s">
        <v>2168</v>
      </c>
      <c r="C22" s="1867">
        <f>C8</f>
        <v>0</v>
      </c>
      <c r="D22" s="1839"/>
      <c r="E22" s="1826"/>
      <c r="F22" s="1866" t="s">
        <v>2171</v>
      </c>
      <c r="G22" s="1868"/>
    </row>
    <row r="23" spans="1:17" s="539" customFormat="1" ht="14.4" thickBot="1">
      <c r="A23" s="1825"/>
      <c r="B23" s="1866" t="s">
        <v>2180</v>
      </c>
      <c r="C23" s="1869"/>
      <c r="D23" s="1271"/>
      <c r="E23" s="1827"/>
      <c r="F23" s="1870" t="s">
        <v>2181</v>
      </c>
      <c r="G23" s="1871"/>
      <c r="H23" s="1850"/>
      <c r="I23" s="1850"/>
      <c r="J23" s="1850"/>
      <c r="K23" s="1850"/>
      <c r="L23" s="1850"/>
      <c r="M23" s="1850"/>
      <c r="N23" s="1850"/>
      <c r="O23" s="1850"/>
      <c r="P23" s="1850"/>
      <c r="Q23" s="1850"/>
    </row>
    <row r="24" spans="1:17" s="539" customFormat="1" ht="14.4" thickBot="1">
      <c r="A24" s="1828"/>
      <c r="B24" s="1870" t="s">
        <v>2182</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9" sqref="H19"/>
    </sheetView>
  </sheetViews>
  <sheetFormatPr defaultColWidth="9" defaultRowHeight="14.4"/>
  <cols>
    <col min="1" max="1" width="25" style="1874" customWidth="1"/>
    <col min="2" max="9" width="15.77734375" style="1874" customWidth="1"/>
    <col min="10" max="16384" width="9" style="1874"/>
  </cols>
  <sheetData>
    <row r="1" spans="1:11" ht="16.2">
      <c r="A1" s="1873" t="s">
        <v>653</v>
      </c>
      <c r="B1" s="1873">
        <f>SUM(B14:B23)</f>
        <v>57408.26</v>
      </c>
      <c r="C1" s="1982"/>
      <c r="D1" s="1982"/>
      <c r="E1" s="1982"/>
      <c r="F1" s="1982"/>
      <c r="G1" s="1983"/>
      <c r="H1" s="1983"/>
      <c r="I1" s="1983"/>
      <c r="J1" s="1983"/>
      <c r="K1" s="1983"/>
    </row>
    <row r="2" spans="1:11" ht="16.2">
      <c r="A2" s="1873" t="s">
        <v>641</v>
      </c>
      <c r="B2" s="1873">
        <f>SUM(C14:C23)</f>
        <v>16447.62</v>
      </c>
      <c r="C2" s="1982"/>
      <c r="D2" s="1982"/>
      <c r="E2" s="1982"/>
      <c r="F2" s="1982"/>
      <c r="G2" s="1983"/>
      <c r="H2" s="1983"/>
      <c r="I2" s="1983"/>
      <c r="J2" s="1983"/>
      <c r="K2" s="1983"/>
    </row>
    <row r="3" spans="1:11" ht="15.6">
      <c r="A3" s="1873" t="s">
        <v>650</v>
      </c>
      <c r="B3" s="1875">
        <f>项目基本情况!D3</f>
        <v>46049</v>
      </c>
      <c r="C3" s="1982"/>
      <c r="D3" s="1982"/>
      <c r="E3" s="1982"/>
      <c r="F3" s="1982"/>
      <c r="G3" s="1983"/>
      <c r="H3" s="1983"/>
      <c r="I3" s="1983"/>
      <c r="J3" s="1983"/>
      <c r="K3" s="1983"/>
    </row>
    <row r="4" spans="1:11" ht="31.2">
      <c r="A4" s="1873" t="s">
        <v>649</v>
      </c>
      <c r="B4" s="1873" t="s">
        <v>648</v>
      </c>
      <c r="C4" s="1873" t="s">
        <v>647</v>
      </c>
      <c r="D4" s="1873" t="s">
        <v>646</v>
      </c>
      <c r="E4" s="1982"/>
      <c r="F4" s="1983"/>
      <c r="G4" s="1983"/>
      <c r="H4" s="1983"/>
      <c r="I4" s="1983"/>
      <c r="J4" s="1983"/>
      <c r="K4" s="1983"/>
    </row>
    <row r="5" spans="1:11" ht="15.6">
      <c r="A5" s="1873" t="s">
        <v>645</v>
      </c>
      <c r="B5" s="1873">
        <f ca="1">SUM(D14:D23)</f>
        <v>168398</v>
      </c>
      <c r="C5" s="1873">
        <f ca="1">ROUND(B5*10000/$B$1,0)</f>
        <v>29333</v>
      </c>
      <c r="D5" s="1873">
        <f ca="1">ROUND(B5*10000/$B$2,0)</f>
        <v>102384</v>
      </c>
      <c r="E5" s="1982"/>
      <c r="F5" s="1983"/>
      <c r="G5" s="1983"/>
      <c r="H5" s="1983"/>
      <c r="I5" s="1983"/>
      <c r="J5" s="1983"/>
      <c r="K5" s="1983"/>
    </row>
    <row r="6" spans="1:11" ht="15.6">
      <c r="A6" s="1873" t="s">
        <v>644</v>
      </c>
      <c r="B6" s="1873">
        <f ca="1">SUM(G14:G23)</f>
        <v>168398</v>
      </c>
      <c r="C6" s="1873">
        <f ca="1">ROUND(B6*10000/$B$1,0)</f>
        <v>29333</v>
      </c>
      <c r="D6" s="1873">
        <f ca="1">ROUND(B6*10000/$B$2,0)</f>
        <v>102384</v>
      </c>
      <c r="E6" s="1982"/>
      <c r="F6" s="1983"/>
      <c r="G6" s="1983"/>
      <c r="H6" s="1983"/>
      <c r="I6" s="1983"/>
      <c r="J6" s="1983"/>
      <c r="K6" s="1983"/>
    </row>
    <row r="7" spans="1:11" ht="15.6">
      <c r="A7" s="1873" t="s">
        <v>652</v>
      </c>
      <c r="B7" s="1873">
        <f>SUM(H14:H23)</f>
        <v>0</v>
      </c>
      <c r="C7" s="1873" t="str">
        <f>IF(B7=H14,结果表!H110,ROUND(B7*10000/$B$1,0))</f>
        <v>——</v>
      </c>
      <c r="D7" s="1873">
        <f>ROUND(B7*10000/$B$2,0)</f>
        <v>0</v>
      </c>
      <c r="E7" s="1982"/>
      <c r="F7" s="1983"/>
      <c r="G7" s="1983"/>
      <c r="H7" s="1983"/>
      <c r="I7" s="1983"/>
      <c r="J7" s="1983"/>
      <c r="K7" s="1983"/>
    </row>
    <row r="8" spans="1:11" ht="15.6">
      <c r="A8" s="1873" t="s">
        <v>581</v>
      </c>
      <c r="B8" s="1873">
        <f>SUM(I14:I23)</f>
        <v>0</v>
      </c>
      <c r="C8" s="1873" t="str">
        <f>IF(B8=I14,结果表!H112,ROUND(B8*10000/$B$1,0))</f>
        <v>——</v>
      </c>
      <c r="D8" s="1873">
        <f>ROUND(B8*10000/$B$2,0)</f>
        <v>0</v>
      </c>
      <c r="E8" s="1982"/>
      <c r="F8" s="1983"/>
      <c r="G8" s="1983"/>
      <c r="H8" s="1983"/>
      <c r="I8" s="1983"/>
      <c r="J8" s="1983"/>
      <c r="K8" s="1983"/>
    </row>
    <row r="9" spans="1:11" ht="15.6">
      <c r="A9" s="1873" t="s">
        <v>643</v>
      </c>
      <c r="B9" s="2652"/>
      <c r="C9" s="2653"/>
      <c r="D9" s="2653"/>
      <c r="E9" s="1982"/>
      <c r="F9" s="1983"/>
      <c r="G9" s="1983"/>
      <c r="H9" s="1983"/>
      <c r="I9" s="1983"/>
      <c r="J9" s="1983"/>
      <c r="K9" s="1983"/>
    </row>
    <row r="10" spans="1:11" ht="15.6">
      <c r="A10" s="1873" t="s">
        <v>642</v>
      </c>
      <c r="B10" s="1873">
        <f>IF(E10="",0,ROUND(B1*(E10*365/G10)/10000,0))</f>
        <v>0</v>
      </c>
      <c r="C10" s="1873" t="s">
        <v>3238</v>
      </c>
      <c r="D10" s="1873" t="s">
        <v>3239</v>
      </c>
      <c r="E10" s="3737"/>
      <c r="F10" s="2547" t="s">
        <v>3240</v>
      </c>
      <c r="G10" s="3738"/>
      <c r="H10" s="1983"/>
      <c r="I10" s="1983"/>
      <c r="J10" s="1983"/>
      <c r="K10" s="1983"/>
    </row>
    <row r="11" spans="1:11" ht="15.6">
      <c r="A11" s="1873" t="s">
        <v>658</v>
      </c>
      <c r="B11" s="3736"/>
      <c r="C11" s="1982"/>
      <c r="D11" s="1982"/>
      <c r="E11" s="1982"/>
      <c r="F11" s="1983"/>
      <c r="G11" s="1983"/>
      <c r="H11" s="1983"/>
      <c r="I11" s="1983"/>
      <c r="J11" s="1983"/>
      <c r="K11" s="1983"/>
    </row>
    <row r="12" spans="1:11" ht="15.6">
      <c r="A12" s="1982"/>
      <c r="B12" s="1982"/>
      <c r="C12" s="1982"/>
      <c r="D12" s="1982"/>
      <c r="E12" s="1982"/>
      <c r="F12" s="1983"/>
      <c r="G12" s="1983"/>
      <c r="H12" s="1983"/>
      <c r="I12" s="1983"/>
      <c r="J12" s="1983"/>
      <c r="K12" s="1983"/>
    </row>
    <row r="13" spans="1:11" ht="31.8">
      <c r="A13" s="1876" t="s">
        <v>657</v>
      </c>
      <c r="B13" s="1877" t="s">
        <v>654</v>
      </c>
      <c r="C13" s="1877" t="s">
        <v>656</v>
      </c>
      <c r="D13" s="1877" t="s">
        <v>655</v>
      </c>
      <c r="E13" s="1873" t="s">
        <v>647</v>
      </c>
      <c r="F13" s="1873" t="s">
        <v>646</v>
      </c>
      <c r="G13" s="1877" t="s">
        <v>640</v>
      </c>
      <c r="H13" s="1877" t="s">
        <v>651</v>
      </c>
      <c r="I13" s="1877" t="s">
        <v>639</v>
      </c>
      <c r="J13" s="1983"/>
      <c r="K13" s="1983"/>
    </row>
    <row r="14" spans="1:11" ht="15.6">
      <c r="A14" s="1878" t="s">
        <v>638</v>
      </c>
      <c r="B14" s="3734">
        <f>'数据-汇总表'!E3</f>
        <v>57408.26</v>
      </c>
      <c r="C14" s="3734">
        <f>'数据-汇总表'!D3</f>
        <v>16447.62</v>
      </c>
      <c r="D14" s="3734">
        <f ca="1">结果表!H101</f>
        <v>168398</v>
      </c>
      <c r="E14" s="3734">
        <f ca="1">ROUND(D14*10000/B14,0)</f>
        <v>29333</v>
      </c>
      <c r="F14" s="3734">
        <f ca="1">ROUND(D14*10000/C14,0)</f>
        <v>102384</v>
      </c>
      <c r="G14" s="3734">
        <f ca="1">D14</f>
        <v>168398</v>
      </c>
      <c r="H14" s="3734"/>
      <c r="I14" s="3734"/>
      <c r="J14" s="1983"/>
      <c r="K14" s="1983"/>
    </row>
    <row r="15" spans="1:11" ht="15.6">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5.6">
      <c r="A16" s="1878" t="s">
        <v>636</v>
      </c>
      <c r="B16" s="3735"/>
      <c r="C16" s="3735"/>
      <c r="D16" s="3735"/>
      <c r="E16" s="3734" t="e">
        <f t="shared" si="0"/>
        <v>#DIV/0!</v>
      </c>
      <c r="F16" s="3734" t="e">
        <f t="shared" si="1"/>
        <v>#DIV/0!</v>
      </c>
      <c r="G16" s="3736"/>
      <c r="H16" s="3736"/>
      <c r="I16" s="3735"/>
      <c r="J16" s="1983"/>
      <c r="K16" s="1983"/>
    </row>
    <row r="17" spans="1:11" ht="15.6">
      <c r="A17" s="1878" t="s">
        <v>635</v>
      </c>
      <c r="B17" s="3735"/>
      <c r="C17" s="3735"/>
      <c r="D17" s="3735"/>
      <c r="E17" s="3734" t="e">
        <f t="shared" si="0"/>
        <v>#DIV/0!</v>
      </c>
      <c r="F17" s="3734" t="e">
        <f t="shared" si="1"/>
        <v>#DIV/0!</v>
      </c>
      <c r="G17" s="3736"/>
      <c r="H17" s="3736"/>
      <c r="I17" s="3735"/>
      <c r="J17" s="1983"/>
      <c r="K17" s="1983"/>
    </row>
    <row r="18" spans="1:11" ht="15.6">
      <c r="A18" s="1878" t="s">
        <v>634</v>
      </c>
      <c r="B18" s="3735"/>
      <c r="C18" s="3735"/>
      <c r="D18" s="3735"/>
      <c r="E18" s="3734" t="e">
        <f t="shared" si="0"/>
        <v>#DIV/0!</v>
      </c>
      <c r="F18" s="3734" t="e">
        <f t="shared" si="1"/>
        <v>#DIV/0!</v>
      </c>
      <c r="G18" s="3735"/>
      <c r="H18" s="3735"/>
      <c r="I18" s="3735"/>
      <c r="J18" s="1983"/>
      <c r="K18" s="1983"/>
    </row>
    <row r="19" spans="1:11" ht="15.6">
      <c r="A19" s="1878" t="s">
        <v>633</v>
      </c>
      <c r="B19" s="3735"/>
      <c r="C19" s="3735"/>
      <c r="D19" s="3735"/>
      <c r="E19" s="3734" t="e">
        <f t="shared" si="0"/>
        <v>#DIV/0!</v>
      </c>
      <c r="F19" s="3734" t="e">
        <f t="shared" si="1"/>
        <v>#DIV/0!</v>
      </c>
      <c r="G19" s="3735"/>
      <c r="H19" s="3735"/>
      <c r="I19" s="3735"/>
      <c r="J19" s="1983"/>
      <c r="K19" s="1983"/>
    </row>
    <row r="20" spans="1:11" ht="15.6">
      <c r="A20" s="1878" t="s">
        <v>632</v>
      </c>
      <c r="B20" s="3735"/>
      <c r="C20" s="3735"/>
      <c r="D20" s="3735"/>
      <c r="E20" s="3734" t="e">
        <f t="shared" si="0"/>
        <v>#DIV/0!</v>
      </c>
      <c r="F20" s="3734" t="e">
        <f t="shared" si="1"/>
        <v>#DIV/0!</v>
      </c>
      <c r="G20" s="3735"/>
      <c r="H20" s="3735"/>
      <c r="I20" s="3735"/>
      <c r="J20" s="1983"/>
      <c r="K20" s="1983"/>
    </row>
    <row r="21" spans="1:11" ht="15.6">
      <c r="A21" s="1878" t="s">
        <v>631</v>
      </c>
      <c r="B21" s="3735"/>
      <c r="C21" s="3735"/>
      <c r="D21" s="3735"/>
      <c r="E21" s="3734" t="e">
        <f t="shared" si="0"/>
        <v>#DIV/0!</v>
      </c>
      <c r="F21" s="3734" t="e">
        <f t="shared" si="1"/>
        <v>#DIV/0!</v>
      </c>
      <c r="G21" s="3735"/>
      <c r="H21" s="3735"/>
      <c r="I21" s="3735"/>
      <c r="J21" s="1983"/>
      <c r="K21" s="1983"/>
    </row>
    <row r="22" spans="1:11" ht="15.6">
      <c r="A22" s="1878" t="s">
        <v>630</v>
      </c>
      <c r="B22" s="3735"/>
      <c r="C22" s="3735"/>
      <c r="D22" s="3735"/>
      <c r="E22" s="3734" t="e">
        <f t="shared" si="0"/>
        <v>#DIV/0!</v>
      </c>
      <c r="F22" s="3734" t="e">
        <f t="shared" si="1"/>
        <v>#DIV/0!</v>
      </c>
      <c r="G22" s="3735"/>
      <c r="H22" s="3735"/>
      <c r="I22" s="3735"/>
      <c r="J22" s="1983"/>
      <c r="K22" s="1983"/>
    </row>
    <row r="23" spans="1:11" ht="15.6">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3" sqref="K13"/>
    </sheetView>
  </sheetViews>
  <sheetFormatPr defaultColWidth="12.6640625" defaultRowHeight="21.75" customHeight="1"/>
  <cols>
    <col min="1" max="2" width="12.6640625" style="1223"/>
    <col min="3" max="4" width="12.6640625" style="1223" customWidth="1"/>
    <col min="5" max="9" width="12.6640625" style="1223"/>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80"/>
    <col min="36" max="16384" width="12.6640625" style="1223"/>
  </cols>
  <sheetData>
    <row r="1" spans="1:12" ht="21.75" customHeight="1" thickBot="1">
      <c r="A1" s="1186" t="s">
        <v>1242</v>
      </c>
      <c r="B1" s="464"/>
      <c r="C1" s="1277"/>
      <c r="D1" s="464"/>
      <c r="E1" s="464"/>
      <c r="F1" s="1278" t="s">
        <v>1243</v>
      </c>
      <c r="G1" s="1123" t="s">
        <v>4299</v>
      </c>
      <c r="H1" s="1278" t="str">
        <f>IF(G1="现房","——","估价对象范围")</f>
        <v>——</v>
      </c>
      <c r="I1" s="1279" t="s">
        <v>4300</v>
      </c>
    </row>
    <row r="2" spans="1:12" ht="21.75" customHeight="1" thickBot="1">
      <c r="A2" s="4482" t="str">
        <f>项目基本情况!S2</f>
        <v>北京市房地产</v>
      </c>
      <c r="B2" s="4483"/>
      <c r="C2" s="4483"/>
      <c r="D2" s="4483"/>
      <c r="E2" s="4483"/>
      <c r="F2" s="4483"/>
      <c r="G2" s="4483"/>
      <c r="H2" s="4483"/>
      <c r="I2" s="4484"/>
    </row>
    <row r="3" spans="1:12" ht="13.2">
      <c r="A3" s="4486" t="s">
        <v>1244</v>
      </c>
      <c r="B3" s="4487"/>
      <c r="C3" s="4487"/>
      <c r="D3" s="4487"/>
      <c r="E3" s="4487"/>
      <c r="F3" s="4487"/>
      <c r="G3" s="4487"/>
      <c r="H3" s="4487"/>
      <c r="I3" s="4487"/>
    </row>
    <row r="4" spans="1:12" ht="14.4">
      <c r="A4" s="1281" t="s">
        <v>1245</v>
      </c>
      <c r="B4" s="1282" t="s">
        <v>1246</v>
      </c>
      <c r="C4" s="3655" t="s">
        <v>4291</v>
      </c>
      <c r="D4" s="3655" t="s">
        <v>4167</v>
      </c>
      <c r="E4" s="4491" t="s">
        <v>1247</v>
      </c>
      <c r="F4" s="4492"/>
      <c r="G4" s="4492"/>
      <c r="H4" s="4492"/>
      <c r="I4" s="449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474" t="s">
        <v>1248</v>
      </c>
      <c r="B5" s="4454">
        <v>25</v>
      </c>
      <c r="C5" s="4488"/>
      <c r="D5" s="4485"/>
      <c r="E5" s="49" t="s">
        <v>1249</v>
      </c>
      <c r="F5" s="1283"/>
      <c r="G5" s="1283"/>
      <c r="H5" s="1283"/>
      <c r="I5" s="950"/>
    </row>
    <row r="6" spans="1:12" ht="13.2">
      <c r="A6" s="4474"/>
      <c r="B6" s="4454"/>
      <c r="C6" s="4490"/>
      <c r="D6" s="4485"/>
      <c r="E6" s="49" t="s">
        <v>1250</v>
      </c>
      <c r="F6" s="1283"/>
      <c r="G6" s="1283"/>
      <c r="H6" s="1283"/>
      <c r="I6" s="950"/>
    </row>
    <row r="7" spans="1:12" ht="13.2">
      <c r="A7" s="4474"/>
      <c r="B7" s="4454"/>
      <c r="C7" s="4489"/>
      <c r="D7" s="4485"/>
      <c r="E7" s="49" t="s">
        <v>1251</v>
      </c>
      <c r="F7" s="1283"/>
      <c r="G7" s="1283"/>
      <c r="H7" s="1283"/>
      <c r="I7" s="950"/>
    </row>
    <row r="8" spans="1:12" ht="13.2">
      <c r="A8" s="4474" t="s">
        <v>1252</v>
      </c>
      <c r="B8" s="4454">
        <v>15</v>
      </c>
      <c r="C8" s="4488"/>
      <c r="D8" s="4485"/>
      <c r="E8" s="49" t="s">
        <v>1253</v>
      </c>
      <c r="F8" s="1283"/>
      <c r="G8" s="1283"/>
      <c r="H8" s="1283"/>
      <c r="I8" s="950"/>
    </row>
    <row r="9" spans="1:12" ht="13.2">
      <c r="A9" s="4474"/>
      <c r="B9" s="4454"/>
      <c r="C9" s="4489"/>
      <c r="D9" s="4485"/>
      <c r="E9" s="49" t="s">
        <v>1254</v>
      </c>
      <c r="F9" s="1283"/>
      <c r="G9" s="1283"/>
      <c r="H9" s="1283"/>
      <c r="I9" s="950"/>
    </row>
    <row r="10" spans="1:12" ht="13.2">
      <c r="A10" s="4474" t="s">
        <v>1255</v>
      </c>
      <c r="B10" s="4454">
        <v>15</v>
      </c>
      <c r="C10" s="4488"/>
      <c r="D10" s="4485"/>
      <c r="E10" s="49" t="s">
        <v>1256</v>
      </c>
      <c r="F10" s="1283"/>
      <c r="G10" s="1283"/>
      <c r="H10" s="1283"/>
      <c r="I10" s="950"/>
    </row>
    <row r="11" spans="1:12" ht="13.2">
      <c r="A11" s="4474"/>
      <c r="B11" s="4454"/>
      <c r="C11" s="4489"/>
      <c r="D11" s="4485"/>
      <c r="E11" s="49" t="s">
        <v>1257</v>
      </c>
      <c r="F11" s="1283"/>
      <c r="G11" s="1283"/>
      <c r="H11" s="1283"/>
      <c r="I11" s="950"/>
    </row>
    <row r="12" spans="1:12" ht="13.2">
      <c r="A12" s="4474" t="s">
        <v>1258</v>
      </c>
      <c r="B12" s="4454">
        <v>15</v>
      </c>
      <c r="C12" s="4488"/>
      <c r="D12" s="4485"/>
      <c r="E12" s="49" t="s">
        <v>1259</v>
      </c>
      <c r="F12" s="1283"/>
      <c r="G12" s="1283"/>
      <c r="H12" s="1283"/>
      <c r="I12" s="950"/>
    </row>
    <row r="13" spans="1:12" ht="13.2">
      <c r="A13" s="4474"/>
      <c r="B13" s="4454"/>
      <c r="C13" s="4489"/>
      <c r="D13" s="4485"/>
      <c r="E13" s="49" t="s">
        <v>1260</v>
      </c>
      <c r="F13" s="1283"/>
      <c r="G13" s="1283"/>
      <c r="H13" s="1283"/>
      <c r="I13" s="950"/>
    </row>
    <row r="14" spans="1:12" ht="13.2">
      <c r="A14" s="4474" t="s">
        <v>1261</v>
      </c>
      <c r="B14" s="4454">
        <v>30</v>
      </c>
      <c r="C14" s="4488">
        <v>6</v>
      </c>
      <c r="D14" s="4485">
        <v>4</v>
      </c>
      <c r="E14" s="49" t="s">
        <v>1262</v>
      </c>
      <c r="F14" s="1283"/>
      <c r="G14" s="1283"/>
      <c r="H14" s="1283"/>
      <c r="I14" s="950"/>
    </row>
    <row r="15" spans="1:12" ht="13.2">
      <c r="A15" s="4474"/>
      <c r="B15" s="4454"/>
      <c r="C15" s="4490"/>
      <c r="D15" s="4485"/>
      <c r="E15" s="49" t="s">
        <v>1263</v>
      </c>
      <c r="F15" s="1283"/>
      <c r="G15" s="1283"/>
      <c r="H15" s="1283"/>
      <c r="I15" s="950"/>
    </row>
    <row r="16" spans="1:12" ht="13.2">
      <c r="A16" s="4474"/>
      <c r="B16" s="4454"/>
      <c r="C16" s="4489"/>
      <c r="D16" s="4485"/>
      <c r="E16" s="49" t="s">
        <v>1264</v>
      </c>
      <c r="F16" s="1283"/>
      <c r="G16" s="1283"/>
      <c r="H16" s="1283"/>
      <c r="I16" s="950"/>
    </row>
    <row r="17" spans="1:36" ht="14.4">
      <c r="A17" s="1284" t="s">
        <v>1265</v>
      </c>
      <c r="B17" s="3654"/>
      <c r="C17" s="3739">
        <f>SUM(C5:C16)</f>
        <v>6</v>
      </c>
      <c r="D17" s="3739">
        <f>SUM(D5:D16)</f>
        <v>4</v>
      </c>
      <c r="E17" s="47"/>
      <c r="F17" s="47"/>
      <c r="G17" s="47"/>
      <c r="H17" s="47"/>
      <c r="I17" s="47"/>
      <c r="K17" s="186"/>
      <c r="L17" s="186" t="s">
        <v>1266</v>
      </c>
      <c r="M17" s="186" t="s">
        <v>1267</v>
      </c>
    </row>
    <row r="18" spans="1:36" ht="31.95" customHeight="1" thickBot="1">
      <c r="A18" s="1285" t="s">
        <v>1268</v>
      </c>
      <c r="B18" s="1208"/>
      <c r="C18" s="3740">
        <f>ROUND(C17/SUM(C17:D17),2)</f>
        <v>0.6</v>
      </c>
      <c r="D18" s="3740">
        <f>1-C18</f>
        <v>0.4</v>
      </c>
      <c r="E18" s="4513" t="s">
        <v>2040</v>
      </c>
      <c r="F18" s="4514"/>
      <c r="G18" s="4514"/>
      <c r="H18" s="4514"/>
      <c r="I18" s="4514"/>
      <c r="K18" s="186" t="s">
        <v>1269</v>
      </c>
      <c r="L18" s="2736">
        <f>IF(C1="",'数据-汇总表'!E3,SUMIF(项目类型,C1,'数据-汇总表'!E17:E26)+SUMIF(项目类型,C1,'数据-汇总表'!I17:I26))</f>
        <v>57408.26</v>
      </c>
      <c r="M18" s="2736">
        <f>IF(C1="",'数据-汇总表'!E3,SUMIF(项目类型,C1,'数据-汇总表'!E17:E26))</f>
        <v>57408.26</v>
      </c>
    </row>
    <row r="19" spans="1:36" ht="14.4">
      <c r="A19" s="1286" t="s">
        <v>1270</v>
      </c>
      <c r="B19" s="1287" t="s">
        <v>1271</v>
      </c>
      <c r="C19" s="3741">
        <f ca="1">SUMIF(INDIRECT("'"&amp;C4&amp;"'"&amp;"!A:A"),结果表!B19,INDIRECT("'"&amp;C4&amp;"'"&amp;"!B:B"))</f>
        <v>219432</v>
      </c>
      <c r="D19" s="3742">
        <f ca="1">SUMIF(INDIRECT("'"&amp;D4&amp;"'"&amp;"!A:A"),结果表!B19,INDIRECT("'"&amp;D4&amp;"'"&amp;"!B:B"))</f>
        <v>91847.482799999998</v>
      </c>
      <c r="E19" s="1286" t="s">
        <v>1272</v>
      </c>
      <c r="F19" s="1287" t="s">
        <v>1271</v>
      </c>
      <c r="G19" s="3747">
        <f ca="1">ROUND(C19*$C$18+D19*$D$18,0)</f>
        <v>168398</v>
      </c>
      <c r="H19" s="1288" t="s">
        <v>1273</v>
      </c>
      <c r="I19" s="47">
        <f ca="1">ROUND(C19*$C$18+D19*$D$18,4)</f>
        <v>168398.1931</v>
      </c>
      <c r="K19" s="186" t="s">
        <v>1274</v>
      </c>
      <c r="L19" s="2736">
        <f>IF(C1="",'数据-汇总表'!D3,SUMIF(项目类型,C1,'数据-汇总表'!D17:D26)+SUMIF(项目类型,C1,'数据-汇总表'!H17:H27))</f>
        <v>16447.62</v>
      </c>
      <c r="M19" s="2736">
        <f>IF(C1="",'数据-汇总表'!D3,SUMIF(项目类型,C1,'数据-汇总表'!D17:D26))</f>
        <v>16447.62</v>
      </c>
    </row>
    <row r="20" spans="1:36" ht="14.4">
      <c r="A20" s="1289"/>
      <c r="B20" s="25" t="s">
        <v>1275</v>
      </c>
      <c r="C20" s="3743">
        <f ca="1">SUMIF(INDIRECT("'"&amp;C4&amp;"'"&amp;"!A:A"),结果表!B20,INDIRECT("'"&amp;C4&amp;"'"&amp;"!B:B"))</f>
        <v>38223</v>
      </c>
      <c r="D20" s="3744">
        <f ca="1">SUMIF(INDIRECT("'"&amp;D4&amp;"'"&amp;"!A:A"),结果表!B20,INDIRECT("'"&amp;D4&amp;"'"&amp;"!B:B"))</f>
        <v>15999</v>
      </c>
      <c r="E20" s="1289"/>
      <c r="F20" s="25" t="s">
        <v>1275</v>
      </c>
      <c r="G20" s="3748">
        <f ca="1">ROUND(C20*$C$18+D20*$D$18,0)</f>
        <v>29333</v>
      </c>
      <c r="H20" s="545" t="s">
        <v>1276</v>
      </c>
      <c r="I20" s="47"/>
    </row>
    <row r="21" spans="1:36" ht="15" customHeight="1" thickBot="1">
      <c r="A21" s="312"/>
      <c r="B21" s="3490" t="s">
        <v>3632</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row>
    <row r="22" spans="1:36" ht="15" thickBot="1">
      <c r="A22" s="1226" t="s">
        <v>1278</v>
      </c>
      <c r="B22" s="1290"/>
      <c r="C22" s="2654"/>
      <c r="D22" s="4001">
        <f ca="1">IF(C19&lt;D19,D19/C19-1,C19/D19-1)</f>
        <v>1.3890910595537846</v>
      </c>
      <c r="E22" s="3481"/>
      <c r="F22" s="3483"/>
      <c r="G22" s="3749">
        <f ca="1">ROUND(G19/('数据-汇总表'!D3/666.67),0)</f>
        <v>6826</v>
      </c>
      <c r="H22" s="3482" t="s">
        <v>3630</v>
      </c>
      <c r="I22" s="47"/>
    </row>
    <row r="23" spans="1:36" ht="13.8" thickBot="1">
      <c r="A23" s="464"/>
      <c r="B23" s="464"/>
      <c r="C23" s="464"/>
      <c r="D23" s="464"/>
      <c r="E23" s="47"/>
      <c r="F23" s="47"/>
      <c r="G23" s="47"/>
      <c r="H23" s="47"/>
      <c r="I23" s="47"/>
    </row>
    <row r="24" spans="1:36" ht="14.4">
      <c r="A24" s="4461" t="s">
        <v>1279</v>
      </c>
      <c r="B24" s="1287" t="s">
        <v>1271</v>
      </c>
      <c r="C24" s="3747">
        <f>IF(B30=0,0,D30)</f>
        <v>0</v>
      </c>
      <c r="D24" s="3750"/>
      <c r="E24" s="47"/>
      <c r="F24" s="47"/>
      <c r="G24" s="47"/>
      <c r="H24" s="47"/>
      <c r="I24" s="47"/>
    </row>
    <row r="25" spans="1:36" ht="14.4">
      <c r="A25" s="4462"/>
      <c r="B25" s="3491" t="s">
        <v>3633</v>
      </c>
      <c r="C25" s="3751">
        <f>IF(B30=0,0,C30)</f>
        <v>0</v>
      </c>
      <c r="D25" s="3752"/>
      <c r="E25" s="47"/>
      <c r="F25" s="47"/>
      <c r="G25" s="47"/>
      <c r="H25" s="47"/>
      <c r="I25" s="47"/>
    </row>
    <row r="26" spans="1:36" ht="13.5" customHeight="1">
      <c r="A26" s="1291" t="s">
        <v>1280</v>
      </c>
      <c r="B26" s="53" t="s">
        <v>1281</v>
      </c>
      <c r="C26" s="53" t="s">
        <v>1282</v>
      </c>
      <c r="D26" s="54" t="s">
        <v>1283</v>
      </c>
      <c r="E26" s="47"/>
      <c r="F26" s="47"/>
      <c r="G26" s="47"/>
      <c r="H26" s="47"/>
      <c r="I26" s="47"/>
    </row>
    <row r="27" spans="1:36" ht="13.8">
      <c r="A27" s="1291"/>
      <c r="B27" s="3753">
        <v>0</v>
      </c>
      <c r="C27" s="3753">
        <v>0</v>
      </c>
      <c r="D27" s="3754">
        <f>ROUND(C27*B27/10000,0)</f>
        <v>0</v>
      </c>
      <c r="E27" s="47"/>
      <c r="F27" s="47"/>
      <c r="G27" s="47"/>
      <c r="H27" s="47"/>
      <c r="I27" s="47"/>
    </row>
    <row r="28" spans="1:36" ht="13.8">
      <c r="A28" s="1291"/>
      <c r="B28" s="3753"/>
      <c r="C28" s="3753"/>
      <c r="D28" s="3754"/>
      <c r="E28" s="47"/>
      <c r="F28" s="47"/>
      <c r="G28" s="47"/>
      <c r="H28" s="47"/>
      <c r="I28" s="47"/>
    </row>
    <row r="29" spans="1:36" ht="13.8">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5.6" thickTop="1" thickBot="1">
      <c r="A32" s="1292" t="s">
        <v>1285</v>
      </c>
      <c r="B32" s="1201"/>
      <c r="C32" s="3755">
        <f ca="1">IF(D32="总价",G19-C24,G20-C25)</f>
        <v>168398</v>
      </c>
      <c r="D32" s="1293" t="s">
        <v>4292</v>
      </c>
      <c r="E32" s="47"/>
      <c r="F32" s="47"/>
      <c r="G32" s="47"/>
      <c r="H32" s="47"/>
      <c r="I32" s="47"/>
    </row>
    <row r="33" spans="1:19" ht="14.4">
      <c r="A33" s="534" t="s">
        <v>1286</v>
      </c>
      <c r="B33" s="49"/>
      <c r="C33" s="1294" t="s">
        <v>4293</v>
      </c>
      <c r="D33" s="1295" t="s">
        <v>4167</v>
      </c>
      <c r="E33" s="1296" t="s">
        <v>1287</v>
      </c>
      <c r="F33" s="1297" t="str">
        <f>IF(D32="楼面单价","取值（单价）","取值（总价）")</f>
        <v>取值（总价）</v>
      </c>
      <c r="G33" s="47"/>
      <c r="H33" s="47"/>
      <c r="I33" s="47"/>
    </row>
    <row r="34" spans="1:19" ht="14.4">
      <c r="A34" s="1298"/>
      <c r="B34" s="1299" t="s">
        <v>1288</v>
      </c>
      <c r="C34" s="3756">
        <f ca="1">IF(C33="自定义",F34,C32-C35)</f>
        <v>168398</v>
      </c>
      <c r="D34" s="4002">
        <f ca="1">IF(C33="自定义",ROUND(C34/C32,3),IF(C33="收益比率",SUMIF(INDIRECT("'"&amp;D33&amp;"'"&amp;"!b:b"),"土地收益比率",INDIRECT("'"&amp;D33&amp;"'"&amp;"!c:c")),SUMIF(INDIRECT("'"&amp;D33&amp;"'"&amp;"!b:b"),"土地成本比率",INDIRECT("'"&amp;D33&amp;"'"&amp;"!c:c"))))</f>
        <v>0</v>
      </c>
      <c r="E34" s="1300" t="s">
        <v>1289</v>
      </c>
      <c r="F34" s="3758"/>
      <c r="G34" s="47"/>
      <c r="H34" s="47"/>
      <c r="I34" s="47"/>
    </row>
    <row r="35" spans="1:19" ht="15" thickBot="1">
      <c r="A35" s="1301"/>
      <c r="B35" s="1302" t="s">
        <v>1290</v>
      </c>
      <c r="C35" s="3757">
        <f ca="1">IF(C33="自定义",F35,ROUND(C32*D35,0))</f>
        <v>0</v>
      </c>
      <c r="D35" s="4003">
        <f ca="1">IF(C33="自定义",ROUND(C35/C32,3),IF(C33="收益比率",SUMIF(INDIRECT("'"&amp;D33&amp;"'"&amp;"!b:b"),"建筑物收益比率",INDIRECT("'"&amp;D33&amp;"'"&amp;"!c:c")),SUMIF(INDIRECT("'"&amp;D33&amp;"'"&amp;"!b:b"),"建筑物成本比率",INDIRECT("'"&amp;D33&amp;"'"&amp;"!c:c"))))</f>
        <v>0</v>
      </c>
      <c r="E35" s="1303" t="s">
        <v>1291</v>
      </c>
      <c r="F35" s="3759"/>
      <c r="G35" s="47"/>
      <c r="H35" s="47"/>
      <c r="I35" s="47"/>
    </row>
    <row r="36" spans="1:19" ht="15" thickBot="1">
      <c r="A36" s="4477" t="s">
        <v>1292</v>
      </c>
      <c r="B36" s="1304" t="s">
        <v>1293</v>
      </c>
      <c r="C36" s="3760"/>
      <c r="D36" s="1305"/>
      <c r="E36" s="1229"/>
      <c r="F36" s="1306"/>
      <c r="G36" s="47"/>
      <c r="H36" s="47"/>
      <c r="I36" s="47"/>
    </row>
    <row r="37" spans="1:19" ht="15" thickBot="1">
      <c r="A37" s="4478"/>
      <c r="B37" s="1217" t="s">
        <v>1294</v>
      </c>
      <c r="C37" s="3761"/>
      <c r="D37" s="785"/>
      <c r="E37" s="785"/>
      <c r="F37" s="1306"/>
      <c r="G37" s="47"/>
      <c r="H37" s="47"/>
      <c r="I37" s="47"/>
    </row>
    <row r="38" spans="1:19" ht="15" thickBot="1">
      <c r="A38" s="4479"/>
      <c r="B38" s="1307" t="s">
        <v>1295</v>
      </c>
      <c r="C38" s="3762"/>
      <c r="D38" s="1308" t="s">
        <v>1296</v>
      </c>
      <c r="E38" s="785"/>
      <c r="F38" s="1306"/>
      <c r="G38" s="47"/>
      <c r="H38" s="47"/>
      <c r="I38" s="47"/>
    </row>
    <row r="39" spans="1:19" ht="14.4">
      <c r="A39" s="1289" t="s">
        <v>1297</v>
      </c>
      <c r="B39" s="1309" t="s">
        <v>1298</v>
      </c>
      <c r="C39" s="1310" t="s">
        <v>1299</v>
      </c>
      <c r="D39" s="1310" t="s">
        <v>1300</v>
      </c>
      <c r="E39" s="1311" t="s">
        <v>1301</v>
      </c>
      <c r="F39" s="1306"/>
      <c r="G39" s="47"/>
      <c r="H39" s="47"/>
      <c r="I39" s="47"/>
    </row>
    <row r="40" spans="1:19" ht="13.8">
      <c r="A40" s="1312" t="s">
        <v>1302</v>
      </c>
      <c r="B40" s="3763"/>
      <c r="C40" s="3764"/>
      <c r="D40" s="3764"/>
      <c r="E40" s="3758"/>
      <c r="F40" s="1306"/>
      <c r="G40" s="47"/>
      <c r="H40" s="47"/>
      <c r="I40" s="47"/>
    </row>
    <row r="41" spans="1:19" ht="13.8">
      <c r="A41" s="1312" t="s">
        <v>1303</v>
      </c>
      <c r="B41" s="3763"/>
      <c r="C41" s="3764"/>
      <c r="D41" s="3764"/>
      <c r="E41" s="3758"/>
      <c r="F41" s="1306"/>
      <c r="G41" s="47"/>
      <c r="H41" s="47"/>
      <c r="I41" s="47"/>
    </row>
    <row r="42" spans="1:19" ht="14.4" thickBot="1">
      <c r="A42" s="1313"/>
      <c r="B42" s="3765"/>
      <c r="C42" s="3766"/>
      <c r="D42" s="3766"/>
      <c r="E42" s="3759"/>
      <c r="F42" s="1306"/>
      <c r="G42" s="47"/>
      <c r="H42" s="47"/>
      <c r="I42" s="47"/>
    </row>
    <row r="43" spans="1:19" ht="13.2">
      <c r="A43" s="1137"/>
      <c r="B43" s="1137"/>
      <c r="C43" s="1137"/>
      <c r="D43" s="1137"/>
      <c r="E43" s="1137"/>
      <c r="F43" s="1314"/>
      <c r="G43" s="1314"/>
      <c r="H43" s="1314"/>
      <c r="I43" s="1315"/>
    </row>
    <row r="44" spans="1:19" ht="17.399999999999999">
      <c r="A44" s="1134" t="s">
        <v>1304</v>
      </c>
      <c r="B44" s="1316"/>
      <c r="C44" s="1316"/>
      <c r="D44" s="1317"/>
      <c r="E44" s="1317"/>
      <c r="F44" s="1318"/>
      <c r="G44" s="1318"/>
      <c r="H44" s="1318"/>
      <c r="I44" s="1318"/>
      <c r="J44" s="1319" t="s">
        <v>1305</v>
      </c>
      <c r="K44" s="4"/>
      <c r="L44" s="4"/>
      <c r="M44" s="4"/>
      <c r="N44" s="4"/>
      <c r="O44" s="4"/>
    </row>
    <row r="45" spans="1:19" ht="14.25" customHeight="1" thickBot="1">
      <c r="A45" s="4458" t="s">
        <v>1306</v>
      </c>
      <c r="B45" s="4459"/>
      <c r="C45" s="4460"/>
      <c r="D45" s="56">
        <f ca="1">ROUND(H101*F45,0)</f>
        <v>168398</v>
      </c>
      <c r="E45" s="57" t="s">
        <v>1307</v>
      </c>
      <c r="F45" s="58">
        <v>1</v>
      </c>
      <c r="G45" s="59" t="s">
        <v>1308</v>
      </c>
      <c r="H45" s="47"/>
      <c r="I45" s="47"/>
      <c r="J45" s="4468" t="s">
        <v>1309</v>
      </c>
      <c r="K45" s="4468"/>
      <c r="L45" s="4468"/>
      <c r="M45" s="4468"/>
      <c r="N45" s="4468"/>
      <c r="O45" s="4468"/>
    </row>
    <row r="46" spans="1:19" ht="14.25" customHeight="1">
      <c r="A46" s="4455" t="s">
        <v>1310</v>
      </c>
      <c r="B46" s="4456"/>
      <c r="C46" s="4456"/>
      <c r="D46" s="4456"/>
      <c r="E46" s="4456"/>
      <c r="F46" s="4456"/>
      <c r="G46" s="4457"/>
      <c r="H46" s="1320"/>
      <c r="I46" s="60"/>
      <c r="J46" s="1881">
        <v>1</v>
      </c>
      <c r="K46" s="4469" t="s">
        <v>1311</v>
      </c>
      <c r="L46" s="4469"/>
      <c r="M46" s="4470"/>
      <c r="N46" s="4470"/>
      <c r="O46" s="4470"/>
    </row>
    <row r="47" spans="1:19" ht="12" customHeight="1">
      <c r="A47" s="61" t="s">
        <v>1312</v>
      </c>
      <c r="B47" s="62"/>
      <c r="C47" s="63"/>
      <c r="D47" s="746" t="s">
        <v>1313</v>
      </c>
      <c r="E47" s="186" t="s">
        <v>1314</v>
      </c>
      <c r="F47" s="64" t="s">
        <v>1315</v>
      </c>
      <c r="G47" s="1896" t="s">
        <v>1316</v>
      </c>
      <c r="H47" s="1897"/>
      <c r="I47" s="60"/>
      <c r="J47" s="1881">
        <v>2</v>
      </c>
      <c r="K47" s="4469" t="s">
        <v>1317</v>
      </c>
      <c r="L47" s="4469"/>
      <c r="M47" s="4471">
        <f>'数据-取费表'!B2</f>
        <v>46049</v>
      </c>
      <c r="N47" s="4471"/>
      <c r="O47" s="4471"/>
    </row>
    <row r="48" spans="1:19" ht="26.4">
      <c r="A48" s="4480" t="s">
        <v>1318</v>
      </c>
      <c r="B48" s="4481"/>
      <c r="C48" s="4481"/>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469" t="s">
        <v>1320</v>
      </c>
      <c r="L48" s="4469"/>
      <c r="M48" s="4472">
        <f ca="1">H101</f>
        <v>168398</v>
      </c>
      <c r="N48" s="4472"/>
      <c r="O48" s="4472"/>
      <c r="R48" s="3507" t="s">
        <v>3647</v>
      </c>
      <c r="S48" s="3508"/>
    </row>
    <row r="49" spans="1:35" ht="25.5" customHeight="1">
      <c r="A49" s="3648" t="s">
        <v>1321</v>
      </c>
      <c r="B49" s="4453" t="s">
        <v>1322</v>
      </c>
      <c r="C49" s="4453"/>
      <c r="D49" s="3768">
        <v>0</v>
      </c>
      <c r="E49" s="207" t="s">
        <v>1323</v>
      </c>
      <c r="F49" s="3642" t="s">
        <v>26</v>
      </c>
      <c r="G49" s="4523"/>
      <c r="H49" s="3502" t="s">
        <v>2043</v>
      </c>
      <c r="I49" s="3503"/>
      <c r="J49" s="1881">
        <v>4</v>
      </c>
      <c r="K49" s="4469" t="str">
        <f>IF(项目基本情况!E8="房地产抵押价值","房地产抵押价值","抵押担保权已注销时的房地产抵押价值")</f>
        <v>房地产抵押价值</v>
      </c>
      <c r="L49" s="4469"/>
      <c r="M49" s="4472">
        <f ca="1">IF(项目基本情况!E8="房地产抵押价值",H107,H109)</f>
        <v>168398</v>
      </c>
      <c r="N49" s="4472"/>
      <c r="O49" s="4472"/>
      <c r="R49" s="3509" t="s">
        <v>3648</v>
      </c>
      <c r="S49" s="3507" t="s">
        <v>3649</v>
      </c>
    </row>
    <row r="50" spans="1:35" ht="25.5" customHeight="1">
      <c r="A50" s="3649"/>
      <c r="B50" s="4453" t="s">
        <v>1324</v>
      </c>
      <c r="C50" s="4453"/>
      <c r="D50" s="3769"/>
      <c r="E50" s="214"/>
      <c r="F50" s="3642"/>
      <c r="G50" s="4524"/>
      <c r="H50" s="1328" t="s">
        <v>2044</v>
      </c>
      <c r="I50" s="3503"/>
      <c r="J50" s="4468" t="s">
        <v>1325</v>
      </c>
      <c r="K50" s="4468"/>
      <c r="L50" s="4468"/>
      <c r="M50" s="4468"/>
      <c r="N50" s="4468"/>
      <c r="O50" s="4468"/>
      <c r="R50" s="3509" t="s">
        <v>3650</v>
      </c>
      <c r="S50" s="3507" t="s">
        <v>3651</v>
      </c>
    </row>
    <row r="51" spans="1:35" ht="20.399999999999999" customHeight="1">
      <c r="A51" s="3650"/>
      <c r="B51" s="4453" t="s">
        <v>1326</v>
      </c>
      <c r="C51" s="4453"/>
      <c r="D51" s="731"/>
      <c r="E51" s="210"/>
      <c r="F51" s="3642"/>
      <c r="G51" s="4525"/>
      <c r="H51" s="1328" t="s">
        <v>2045</v>
      </c>
      <c r="I51" s="3503"/>
      <c r="J51" s="1882" t="s">
        <v>1327</v>
      </c>
      <c r="K51" s="4469" t="s">
        <v>1328</v>
      </c>
      <c r="L51" s="4469"/>
      <c r="M51" s="1882" t="s">
        <v>1329</v>
      </c>
      <c r="N51" s="1882" t="s">
        <v>1330</v>
      </c>
      <c r="O51" s="1882" t="s">
        <v>1331</v>
      </c>
      <c r="R51" s="3509" t="s">
        <v>3652</v>
      </c>
      <c r="S51" s="3508" t="s">
        <v>3653</v>
      </c>
    </row>
    <row r="52" spans="1:35" ht="24" customHeight="1">
      <c r="A52" s="1733" t="s">
        <v>1332</v>
      </c>
      <c r="B52" s="4453" t="s">
        <v>1333</v>
      </c>
      <c r="C52" s="4453"/>
      <c r="D52" s="731">
        <f ca="1">ROUND(D45*F52/(1+F52),0)</f>
        <v>4905</v>
      </c>
      <c r="E52" s="925" t="s">
        <v>1334</v>
      </c>
      <c r="F52" s="1900">
        <v>0.03</v>
      </c>
      <c r="G52" s="920" t="s">
        <v>3695</v>
      </c>
      <c r="H52" s="1894"/>
      <c r="I52" s="1321"/>
      <c r="J52" s="1881">
        <v>1</v>
      </c>
      <c r="K52" s="4473" t="s">
        <v>1335</v>
      </c>
      <c r="L52" s="4473"/>
      <c r="M52" s="3771">
        <f>IF(D48&lt;=0,0,D48)</f>
        <v>0</v>
      </c>
      <c r="N52" s="1881" t="str">
        <f>E48</f>
        <v>销售额×税（费）率</v>
      </c>
      <c r="O52" s="3678">
        <f>F48</f>
        <v>0</v>
      </c>
      <c r="R52" s="3507" t="s">
        <v>3654</v>
      </c>
      <c r="S52" s="3507" t="s">
        <v>3658</v>
      </c>
    </row>
    <row r="53" spans="1:35" ht="12" customHeight="1">
      <c r="A53" s="1733" t="s">
        <v>1336</v>
      </c>
      <c r="B53" s="4475" t="s">
        <v>2191</v>
      </c>
      <c r="C53" s="4476"/>
      <c r="D53" s="731">
        <f ca="1">IF(G53="2016年5月1日之前项目",ROUND(D45*F53/(1+F53),0),H63)</f>
        <v>13904</v>
      </c>
      <c r="E53" s="925" t="str">
        <f>IF(G53="2016年5月1日之前项目","全额计税","进销项计算")</f>
        <v>进销项计算</v>
      </c>
      <c r="F53" s="1900">
        <f>IF(G53="2016年5月1日之前项目",5%,9%)</f>
        <v>0.09</v>
      </c>
      <c r="G53" s="3732"/>
      <c r="H53" s="1894"/>
      <c r="I53" s="1321"/>
      <c r="J53" s="1881">
        <v>2</v>
      </c>
      <c r="K53" s="4473" t="s">
        <v>1337</v>
      </c>
      <c r="L53" s="4473"/>
      <c r="M53" s="3771">
        <f t="shared" ref="M53:O54" ca="1" si="0">D55</f>
        <v>84</v>
      </c>
      <c r="N53" s="1881" t="str">
        <f t="shared" si="0"/>
        <v>销售额×税（费）率</v>
      </c>
      <c r="O53" s="3678" t="str">
        <f t="shared" si="0"/>
        <v>免征</v>
      </c>
      <c r="R53" s="3507" t="s">
        <v>3655</v>
      </c>
      <c r="S53" s="3508" t="s">
        <v>3662</v>
      </c>
    </row>
    <row r="54" spans="1:35" ht="12" customHeight="1">
      <c r="A54" s="1733" t="s">
        <v>1338</v>
      </c>
      <c r="B54" s="4475" t="s">
        <v>2192</v>
      </c>
      <c r="C54" s="4476"/>
      <c r="D54" s="731">
        <f ca="1">IF(G54="2016年5月1日之前项目",C68,H63)</f>
        <v>13904</v>
      </c>
      <c r="E54" s="3662" t="str">
        <f>IF(G54="2016年5月1日之前项目","差额计税","进销项计算")</f>
        <v>进销项计算</v>
      </c>
      <c r="F54" s="1900">
        <f>IF(G54="2016年5月1日之前项目",5%,9%)</f>
        <v>0.09</v>
      </c>
      <c r="G54" s="3732"/>
      <c r="H54" s="1902"/>
      <c r="I54" s="1321"/>
      <c r="J54" s="1881">
        <v>3</v>
      </c>
      <c r="K54" s="4473" t="s">
        <v>1339</v>
      </c>
      <c r="L54" s="4473"/>
      <c r="M54" s="3771" t="e">
        <f t="shared" ca="1" si="0"/>
        <v>#VALUE!</v>
      </c>
      <c r="N54" s="1881" t="str">
        <f t="shared" si="0"/>
        <v>增值额×税（费）率</v>
      </c>
      <c r="O54" s="3679" t="str">
        <f t="shared" si="0"/>
        <v>免征</v>
      </c>
      <c r="P54" s="47"/>
      <c r="R54" s="3509" t="s">
        <v>3656</v>
      </c>
      <c r="S54" s="3508" t="s">
        <v>3659</v>
      </c>
    </row>
    <row r="55" spans="1:35" ht="24" customHeight="1">
      <c r="A55" s="4508" t="s">
        <v>1340</v>
      </c>
      <c r="B55" s="4481"/>
      <c r="C55" s="4481"/>
      <c r="D55" s="3767">
        <f ca="1">IF(H55="个人住宅",0,ROUND(D45*I55,0))</f>
        <v>84</v>
      </c>
      <c r="E55" s="925" t="s">
        <v>1341</v>
      </c>
      <c r="F55" s="1900" t="str">
        <f>IF(H55="正常",I55,"免征")</f>
        <v>免征</v>
      </c>
      <c r="G55" s="1901"/>
      <c r="H55" s="1899"/>
      <c r="I55" s="65">
        <f>'数据-取费表'!B50</f>
        <v>5.0000000000000001E-4</v>
      </c>
      <c r="J55" s="1881">
        <f>IF(H59="非个人房产","",4)</f>
        <v>4</v>
      </c>
      <c r="K55" s="4473" t="str">
        <f>IF(H59="非个人房产","——","个人所得税")</f>
        <v>个人所得税</v>
      </c>
      <c r="L55" s="4473"/>
      <c r="M55" s="3772">
        <f ca="1">D59</f>
        <v>1684</v>
      </c>
      <c r="N55" s="1504" t="str">
        <f>E59</f>
        <v>差额计税</v>
      </c>
      <c r="O55" s="3680">
        <f>F59</f>
        <v>0.01</v>
      </c>
      <c r="R55" s="3509" t="s">
        <v>3657</v>
      </c>
      <c r="S55" s="3508" t="s">
        <v>3660</v>
      </c>
    </row>
    <row r="56" spans="1:35" ht="25.2">
      <c r="A56" s="4508" t="s">
        <v>1342</v>
      </c>
      <c r="B56" s="4481"/>
      <c r="C56" s="4481"/>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527" t="str">
        <f>IF(项目基本情况!K6="上海银行","其他处置费用","")</f>
        <v/>
      </c>
      <c r="L56" s="4528"/>
      <c r="M56" s="3771" t="str">
        <f>IF(项目基本情况!K6="上海银行",M69,"")</f>
        <v/>
      </c>
      <c r="N56" s="4527" t="str">
        <f>IF(项目基本情况!K6="上海银行","包含处置中涉及的律师、诉讼、拍卖、评估等费用","")</f>
        <v/>
      </c>
      <c r="O56" s="4531"/>
      <c r="R56" s="3508"/>
      <c r="S56" s="3508" t="s">
        <v>3661</v>
      </c>
    </row>
    <row r="57" spans="1:35" ht="13.2">
      <c r="A57" s="1733" t="s">
        <v>1321</v>
      </c>
      <c r="B57" s="4475" t="s">
        <v>1345</v>
      </c>
      <c r="C57" s="4476"/>
      <c r="D57" s="3768">
        <v>0</v>
      </c>
      <c r="E57" s="207" t="s">
        <v>1323</v>
      </c>
      <c r="F57" s="186"/>
      <c r="G57" s="1901"/>
      <c r="H57" s="1905"/>
      <c r="I57" s="1322"/>
      <c r="J57" s="4473">
        <f>IF(AND(J55="",J56=""),4,IF(项目基本情况!K6="上海银行",结果表!J56+1,结果表!J55+1))</f>
        <v>5</v>
      </c>
      <c r="K57" s="4473" t="s">
        <v>1346</v>
      </c>
      <c r="L57" s="1883" t="s">
        <v>1347</v>
      </c>
      <c r="M57" s="1884"/>
      <c r="N57" s="3773">
        <f ca="1">SUMIF(M52:M56,"&lt;9e307")</f>
        <v>1768</v>
      </c>
      <c r="O57" s="1885"/>
      <c r="P57" s="1985">
        <f ca="1">N57/M49</f>
        <v>1.0498937042007625E-2</v>
      </c>
      <c r="R57" s="4444" t="s">
        <v>3707</v>
      </c>
      <c r="S57" s="4445"/>
    </row>
    <row r="58" spans="1:35" ht="25.2">
      <c r="A58" s="1733" t="s">
        <v>1332</v>
      </c>
      <c r="B58" s="4475" t="s">
        <v>1348</v>
      </c>
      <c r="C58" s="4453"/>
      <c r="D58" s="3767">
        <f ca="1">IF(H58="转让取得",C81,C97)</f>
        <v>75084</v>
      </c>
      <c r="E58" s="925" t="s">
        <v>1343</v>
      </c>
      <c r="F58" s="186" t="s">
        <v>26</v>
      </c>
      <c r="G58" s="1901"/>
      <c r="H58" s="1904"/>
      <c r="I58" s="1322"/>
      <c r="J58" s="4473"/>
      <c r="K58" s="4473"/>
      <c r="L58" s="1883" t="s">
        <v>1349</v>
      </c>
      <c r="M58" s="1886"/>
      <c r="N58" s="1887" t="str">
        <f ca="1">NUMBERSTRING(INT(N57*10000),2)&amp;"元整"</f>
        <v>壹仟柒佰陆拾捌万元整</v>
      </c>
      <c r="O58" s="1888"/>
      <c r="R58" s="4446"/>
      <c r="S58" s="4447"/>
    </row>
    <row r="59" spans="1:35" ht="24.6" thickBot="1">
      <c r="A59" s="4521" t="s">
        <v>1350</v>
      </c>
      <c r="B59" s="4522"/>
      <c r="C59" s="4522"/>
      <c r="D59" s="3770">
        <f ca="1">IF(H59="非个人房产","——",IF(H59="个人住宅（满五唯一有凭证）",0,IF(H59="个人其他（无凭证）",ROUND(D45/(1+'数据-取费表'!C43)*F59,0),ROUND(C67*F59,0))))</f>
        <v>1684</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519">
        <f>J57+1</f>
        <v>6</v>
      </c>
      <c r="K59" s="4473" t="s">
        <v>1351</v>
      </c>
      <c r="L59" s="1881" t="s">
        <v>1347</v>
      </c>
      <c r="M59" s="1889"/>
      <c r="N59" s="2655">
        <f ca="1">M49-N57</f>
        <v>166630</v>
      </c>
      <c r="O59" s="1890"/>
      <c r="R59" s="3507" t="s">
        <v>3663</v>
      </c>
      <c r="S59" s="3507" t="s">
        <v>3664</v>
      </c>
    </row>
    <row r="60" spans="1:35" ht="12" customHeight="1" thickBot="1">
      <c r="A60" s="1323"/>
      <c r="B60" s="464"/>
      <c r="C60" s="464"/>
      <c r="D60" s="464"/>
      <c r="E60" s="1136"/>
      <c r="F60" s="1322"/>
      <c r="G60" s="1322"/>
      <c r="H60" s="60"/>
      <c r="I60" s="47"/>
      <c r="J60" s="4520"/>
      <c r="K60" s="4473"/>
      <c r="L60" s="1883" t="s">
        <v>1349</v>
      </c>
      <c r="M60" s="1886"/>
      <c r="N60" s="1887" t="str">
        <f ca="1">NUMBERSTRING(INT(N59*10000),2)&amp;"元整"</f>
        <v>壹拾陆亿陆仟陆佰叁拾万元整</v>
      </c>
      <c r="O60" s="1888"/>
      <c r="R60" s="3507" t="s">
        <v>3665</v>
      </c>
      <c r="S60" s="3507" t="s">
        <v>3706</v>
      </c>
    </row>
    <row r="61" spans="1:35" ht="15" thickBot="1">
      <c r="A61" s="4451" t="s">
        <v>3704</v>
      </c>
      <c r="B61" s="4452"/>
      <c r="C61" s="4452"/>
      <c r="D61" s="4452"/>
      <c r="E61" s="3669"/>
      <c r="F61" s="4515" t="s">
        <v>3705</v>
      </c>
      <c r="G61" s="4516"/>
      <c r="H61" s="4516"/>
      <c r="I61" s="4517"/>
      <c r="J61" s="3651">
        <f>J59+1</f>
        <v>7</v>
      </c>
      <c r="K61" s="4473" t="s">
        <v>1352</v>
      </c>
      <c r="L61" s="4473"/>
      <c r="M61" s="1891"/>
      <c r="N61" s="2656">
        <f ca="1">ROUND(N59*10000/'数据-汇总表'!E3,0)</f>
        <v>29025</v>
      </c>
      <c r="O61" s="1892"/>
    </row>
    <row r="62" spans="1:35" ht="13.5" customHeight="1">
      <c r="A62" s="3676" t="s">
        <v>3718</v>
      </c>
      <c r="B62" s="3677" t="s">
        <v>3719</v>
      </c>
      <c r="C62" s="2443" t="s">
        <v>3717</v>
      </c>
      <c r="D62" s="3663" t="s">
        <v>3708</v>
      </c>
      <c r="E62" s="3670" t="s">
        <v>3710</v>
      </c>
      <c r="F62" s="3682" t="s">
        <v>3720</v>
      </c>
      <c r="G62" s="3683" t="s">
        <v>3699</v>
      </c>
      <c r="H62" s="3684" t="s">
        <v>3721</v>
      </c>
      <c r="I62" s="3685" t="s">
        <v>3701</v>
      </c>
    </row>
    <row r="63" spans="1:35" ht="21.6">
      <c r="A63" s="70" t="s">
        <v>328</v>
      </c>
      <c r="B63" s="3672" t="s">
        <v>3712</v>
      </c>
      <c r="C63" s="3774">
        <f ca="1">ROUND(C64+C65,0)</f>
        <v>168398</v>
      </c>
      <c r="D63" s="3664"/>
      <c r="E63" s="4448" t="s">
        <v>3709</v>
      </c>
      <c r="F63" s="1733">
        <v>1</v>
      </c>
      <c r="G63" s="2814" t="s">
        <v>3696</v>
      </c>
      <c r="H63" s="3284">
        <f ca="1">H64-H66</f>
        <v>13904</v>
      </c>
      <c r="I63" s="2751"/>
      <c r="J63" s="4529" t="s">
        <v>1356</v>
      </c>
      <c r="K63" s="914" t="s">
        <v>1357</v>
      </c>
      <c r="L63" s="3789">
        <f ca="1">IF(M49&gt;10000,M49*0.5%,IF(AND(M49&gt;1000,M49&lt;=10000),M49*1%,IF(AND(M49&gt;100,M49&lt;=1000),M49*3%,IF(AND(M49&gt;10,M49&lt;=100),M49*5%,M49*8%))))</f>
        <v>841.99</v>
      </c>
      <c r="M63" s="2736">
        <f ca="1">ROUND(L63,1)</f>
        <v>842</v>
      </c>
      <c r="N63" s="1893"/>
      <c r="Z63" s="1280"/>
      <c r="AI63" s="1223"/>
    </row>
    <row r="64" spans="1:35" ht="14.25" customHeight="1">
      <c r="A64" s="67" t="s">
        <v>323</v>
      </c>
      <c r="B64" s="3673" t="s">
        <v>3713</v>
      </c>
      <c r="C64" s="3653">
        <f ca="1">D45</f>
        <v>168398</v>
      </c>
      <c r="D64" s="3665"/>
      <c r="E64" s="4449"/>
      <c r="F64" s="1733">
        <v>2</v>
      </c>
      <c r="G64" s="2814" t="s">
        <v>3697</v>
      </c>
      <c r="H64" s="3284">
        <f ca="1">ROUND(H65*I64/(1+I64),0)</f>
        <v>13904</v>
      </c>
      <c r="I64" s="3686">
        <v>0.09</v>
      </c>
      <c r="J64" s="4529"/>
      <c r="K64" s="914" t="s">
        <v>1358</v>
      </c>
      <c r="L64" s="3789">
        <f ca="1">IF(M49&gt;2000,M49*0.5%,IF(AND(M49&gt;1000,M49&lt;=2000),M49*0.6%,IF(AND(M49&gt;500,M49&lt;=1000),M49*0.7%,IF(AND(M49&gt;200,M49&lt;=500),M49*0.8%,IF(AND(M49&gt;100,M49&lt;=200),M49*0.9%,IF(AND(M49&gt;50,M49&lt;=100),M49*1%,IF(AND(M49&gt;20,M49&lt;=50),M49*1.5%,IF(AND(M49&gt;10,M49&lt;=20),M49*2%,IF(AND(M49&gt;1,M49&lt;=10),M49*2.5%)))))))))</f>
        <v>841.99</v>
      </c>
      <c r="M64" s="2736">
        <f t="shared" ref="M64:M65" ca="1" si="1">ROUND(L64,1)</f>
        <v>842</v>
      </c>
      <c r="N64" s="1894" t="s">
        <v>1359</v>
      </c>
      <c r="Z64" s="1280"/>
      <c r="AI64" s="1223"/>
    </row>
    <row r="65" spans="1:35" ht="14.25" customHeight="1">
      <c r="A65" s="67" t="s">
        <v>324</v>
      </c>
      <c r="B65" s="3673" t="s">
        <v>3714</v>
      </c>
      <c r="C65" s="3775"/>
      <c r="D65" s="3666"/>
      <c r="E65" s="4449"/>
      <c r="F65" s="67" t="s">
        <v>323</v>
      </c>
      <c r="G65" s="3687" t="s">
        <v>3700</v>
      </c>
      <c r="H65" s="3284">
        <f ca="1">D45</f>
        <v>168398</v>
      </c>
      <c r="I65" s="2751"/>
      <c r="J65" s="4529"/>
      <c r="K65" s="914" t="s">
        <v>1360</v>
      </c>
      <c r="L65" s="3789">
        <f ca="1">IF(M49&gt;1000,M49*0.1%,IF(AND(M49&gt;500,M49&lt;=1000),M49*0.5%,IF(AND(M49&gt;50,M49&lt;=500),M49*1%,IF(AND(M49&gt;1,M49&lt;=50),M49*1.5%))))</f>
        <v>168.398</v>
      </c>
      <c r="M65" s="2736">
        <f t="shared" ca="1" si="1"/>
        <v>168.4</v>
      </c>
      <c r="N65" s="1894" t="s">
        <v>1359</v>
      </c>
      <c r="Z65" s="1280"/>
      <c r="AI65" s="1223"/>
    </row>
    <row r="66" spans="1:35" ht="14.25" customHeight="1">
      <c r="A66" s="70" t="s">
        <v>325</v>
      </c>
      <c r="B66" s="3674" t="s">
        <v>3715</v>
      </c>
      <c r="C66" s="3775"/>
      <c r="D66" s="3667"/>
      <c r="E66" s="4449"/>
      <c r="F66" s="2493">
        <v>3</v>
      </c>
      <c r="G66" s="2814" t="s">
        <v>3698</v>
      </c>
      <c r="H66" s="3319">
        <f>ROUND(H67*I67,0)+ROUND(H68*I68,0)</f>
        <v>0</v>
      </c>
      <c r="I66" s="4213"/>
      <c r="J66" s="4529"/>
      <c r="K66" s="914" t="s">
        <v>1361</v>
      </c>
      <c r="L66" s="3789">
        <f ca="1">M49*0.5%</f>
        <v>841.99</v>
      </c>
      <c r="M66" s="2736">
        <f ca="1">IF(L66&gt;0.5,0.5,ROUND(L66,0))</f>
        <v>0.5</v>
      </c>
      <c r="N66" s="1894" t="s">
        <v>1362</v>
      </c>
      <c r="Z66" s="1280"/>
      <c r="AI66" s="1223"/>
    </row>
    <row r="67" spans="1:35" ht="14.25" customHeight="1">
      <c r="A67" s="70" t="s">
        <v>326</v>
      </c>
      <c r="B67" s="3671" t="s">
        <v>3711</v>
      </c>
      <c r="C67" s="3653">
        <f ca="1">C63-C66</f>
        <v>168398</v>
      </c>
      <c r="D67" s="3666"/>
      <c r="E67" s="4449"/>
      <c r="F67" s="67" t="s">
        <v>323</v>
      </c>
      <c r="G67" s="3687" t="s">
        <v>3702</v>
      </c>
      <c r="H67" s="3764"/>
      <c r="I67" s="3686">
        <v>0.09</v>
      </c>
      <c r="J67" s="4529"/>
      <c r="K67" s="914" t="s">
        <v>1363</v>
      </c>
      <c r="L67" s="3789">
        <f ca="1">IF(M49&gt;=10000,(8.25+(M49-10000)*0.01%),IF(AND(M49&gt;=8000,M49&lt;10000),(7.85+(M49-8000)*0.02%),IF(AND(M49&gt;=5000,M49&lt;8000),(6.65+(M49-5000)*0.04%),IF(AND(M49&gt;=2000,M49&lt;5000),(4.25+(PM49-2000)*0.08%),IF(AND(M49&gt;=1000,M49&lt;2000),(2.75+(M49-1000)*0.15%),IF(AND(M49&gt;=100,M49&lt;1000),(0.5+(M49-100)*0.25%),IF(AND(M49&gt;0,M49&lt;100),M49*0.5%)))))))</f>
        <v>24.0898</v>
      </c>
      <c r="M67" s="2736">
        <f ca="1">ROUND(L67*0.9,1)</f>
        <v>21.7</v>
      </c>
      <c r="N67" s="1893"/>
      <c r="Z67" s="1280"/>
      <c r="AI67" s="1223"/>
    </row>
    <row r="68" spans="1:35" ht="14.25" customHeight="1" thickBot="1">
      <c r="A68" s="72" t="s">
        <v>327</v>
      </c>
      <c r="B68" s="3675" t="s">
        <v>3716</v>
      </c>
      <c r="C68" s="3659">
        <f ca="1">IF(C67&lt;=0,0,ROUND(C67*D68,0))</f>
        <v>8420</v>
      </c>
      <c r="D68" s="3668">
        <v>0.05</v>
      </c>
      <c r="E68" s="4450"/>
      <c r="F68" s="3681" t="s">
        <v>324</v>
      </c>
      <c r="G68" s="3688" t="s">
        <v>3703</v>
      </c>
      <c r="H68" s="3766"/>
      <c r="I68" s="3689">
        <v>0.06</v>
      </c>
      <c r="J68" s="4529"/>
      <c r="K68" s="914" t="s">
        <v>1364</v>
      </c>
      <c r="L68" s="3789">
        <f ca="1">IF(M49&gt;10000,M49*0.5%,IF(AND(M49&gt;5000,M49&lt;=10000),M49*1%,IF(AND(M49&gt;1000,M49&lt;=5000),M49*2%,IF(AND(M49&gt;200,M49&lt;=1000),M49*3%,M49*5%))))</f>
        <v>841.99</v>
      </c>
      <c r="M68" s="2736">
        <f ca="1">ROUND(L68,1)</f>
        <v>842</v>
      </c>
      <c r="N68" s="1893"/>
      <c r="Z68" s="1280"/>
      <c r="AI68" s="1223"/>
    </row>
    <row r="69" spans="1:35" ht="16.5" customHeight="1">
      <c r="A69" s="1324"/>
      <c r="B69" s="1325"/>
      <c r="C69" s="1326"/>
      <c r="D69" s="1327"/>
      <c r="E69" s="1328"/>
      <c r="F69" s="1136"/>
      <c r="G69" s="1136"/>
      <c r="H69" s="1137"/>
      <c r="I69" s="464"/>
      <c r="J69" s="4530"/>
      <c r="K69" s="914" t="s">
        <v>1365</v>
      </c>
      <c r="L69" s="3789"/>
      <c r="M69" s="2736">
        <f ca="1">ROUND(SUM(M63:M68),0)</f>
        <v>2717</v>
      </c>
      <c r="N69" s="1895">
        <f ca="1">M69/M49</f>
        <v>1.6134395895438188E-2</v>
      </c>
      <c r="Z69" s="1280"/>
      <c r="AI69" s="1223"/>
    </row>
    <row r="70" spans="1:35" s="463" customFormat="1" ht="14.4" thickBot="1">
      <c r="A70" s="4500" t="s">
        <v>1366</v>
      </c>
      <c r="B70" s="4501"/>
      <c r="C70" s="4501"/>
      <c r="D70" s="4501"/>
      <c r="E70" s="4501"/>
      <c r="F70" s="4501"/>
      <c r="G70" s="4501"/>
      <c r="H70" s="4501"/>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3.8">
      <c r="A71" s="4465" t="s">
        <v>1353</v>
      </c>
      <c r="B71" s="4466"/>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3.8">
      <c r="A72" s="70" t="s">
        <v>328</v>
      </c>
      <c r="B72" s="71" t="s">
        <v>1367</v>
      </c>
      <c r="C72" s="3776">
        <f ca="1">ROUND(D45/(1+D72),0)</f>
        <v>154494</v>
      </c>
      <c r="D72" s="3652">
        <v>0.09</v>
      </c>
      <c r="E72" s="8" t="s">
        <v>3694</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3.8">
      <c r="A73" s="70" t="s">
        <v>325</v>
      </c>
      <c r="B73" s="64" t="s">
        <v>1368</v>
      </c>
      <c r="C73" s="3776">
        <f ca="1">C74+C78</f>
        <v>18539</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3694</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28.8">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475" t="s">
        <v>1374</v>
      </c>
      <c r="F76" s="4453"/>
      <c r="G76" s="4453"/>
      <c r="H76" s="4499"/>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18539</v>
      </c>
      <c r="D78" s="3658">
        <f>'数据-取费表'!B44</f>
        <v>0.12000000000000001</v>
      </c>
      <c r="E78" s="4463" t="s">
        <v>1378</v>
      </c>
      <c r="F78" s="4464"/>
      <c r="G78" s="4464"/>
      <c r="H78" s="4467"/>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3.8">
      <c r="A79" s="70" t="s">
        <v>332</v>
      </c>
      <c r="B79" s="71" t="s">
        <v>1379</v>
      </c>
      <c r="C79" s="3776">
        <f ca="1">C72-C73</f>
        <v>135955</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7.333459194131291</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6" thickBot="1">
      <c r="A81" s="72" t="s">
        <v>334</v>
      </c>
      <c r="B81" s="73" t="s">
        <v>1381</v>
      </c>
      <c r="C81" s="3777">
        <f ca="1">ROUND(IF(C79&lt;=0,0,IF(C80&gt;=200%,C79*60%-C73*35%,IF(C80&gt;=100%,C79*50%-C73*15%,IF(C80&gt;=50%,C79*40%-C73*5%,IF(C80&lt;50%,C79*30%,0))))),0)</f>
        <v>75084</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4.4" thickBot="1">
      <c r="A83" s="4500" t="s">
        <v>1382</v>
      </c>
      <c r="B83" s="4501"/>
      <c r="C83" s="4501"/>
      <c r="D83" s="4501"/>
      <c r="E83" s="4501"/>
      <c r="F83" s="4501"/>
      <c r="G83" s="4501"/>
      <c r="H83" s="4501"/>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3.8">
      <c r="A84" s="4465" t="s">
        <v>1353</v>
      </c>
      <c r="B84" s="4466"/>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3.8">
      <c r="A85" s="70" t="s">
        <v>328</v>
      </c>
      <c r="B85" s="71" t="s">
        <v>1367</v>
      </c>
      <c r="C85" s="3776">
        <f ca="1">ROUND(D45/(1+D85),0)</f>
        <v>154494</v>
      </c>
      <c r="D85" s="3652">
        <v>0.09</v>
      </c>
      <c r="E85" s="8" t="s">
        <v>3694</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3.8">
      <c r="A86" s="70" t="s">
        <v>325</v>
      </c>
      <c r="B86" s="64" t="s">
        <v>1368</v>
      </c>
      <c r="C86" s="3776">
        <f ca="1">IF(H88="仅含出让金",C87+C90+C91+C92+C93+C94,C87+C91+C92+C93+C94)</f>
        <v>18539</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3.8">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26.4">
      <c r="A88" s="67" t="s">
        <v>329</v>
      </c>
      <c r="B88" s="68" t="s">
        <v>1384</v>
      </c>
      <c r="C88" s="3775"/>
      <c r="D88" s="3658"/>
      <c r="E88" s="88" t="s">
        <v>1385</v>
      </c>
      <c r="F88" s="1729"/>
      <c r="G88" s="89" t="s">
        <v>1386</v>
      </c>
      <c r="H88" s="1336" t="s">
        <v>3692</v>
      </c>
      <c r="I88" s="1333"/>
      <c r="J88" s="1879" t="s">
        <v>2188</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3.8">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4">
      <c r="A90" s="67" t="s">
        <v>324</v>
      </c>
      <c r="B90" s="68" t="s">
        <v>1388</v>
      </c>
      <c r="C90" s="3775"/>
      <c r="D90" s="3658"/>
      <c r="E90" s="88" t="str">
        <f>IF(H88="-","土地取得成本中已包含该笔费用"," ")</f>
        <v xml:space="preserve"> </v>
      </c>
      <c r="F90" s="1729"/>
      <c r="G90" s="4532" t="s">
        <v>2038</v>
      </c>
      <c r="H90" s="4533"/>
      <c r="I90" s="1333"/>
      <c r="J90" s="1879" t="s">
        <v>2189</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463" t="s">
        <v>1391</v>
      </c>
      <c r="F91" s="4464"/>
      <c r="G91" s="4464"/>
      <c r="H91" s="3645" t="s">
        <v>3690</v>
      </c>
      <c r="I91" s="3779"/>
      <c r="J91" s="1330" t="s">
        <v>3691</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463" t="s">
        <v>1394</v>
      </c>
      <c r="F92" s="4464"/>
      <c r="G92" s="4464"/>
      <c r="H92" s="4467"/>
      <c r="I92" s="1333"/>
      <c r="J92" s="1880" t="s">
        <v>2190</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18539</v>
      </c>
      <c r="D93" s="3658">
        <f>'数据-取费表'!B44</f>
        <v>0.12000000000000001</v>
      </c>
      <c r="E93" s="4509" t="s">
        <v>3693</v>
      </c>
      <c r="F93" s="4464"/>
      <c r="G93" s="4464"/>
      <c r="H93" s="4467"/>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510" t="s">
        <v>1398</v>
      </c>
      <c r="F94" s="4511"/>
      <c r="G94" s="4511"/>
      <c r="H94" s="4512"/>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3.8">
      <c r="A95" s="70" t="s">
        <v>332</v>
      </c>
      <c r="B95" s="71" t="s">
        <v>1379</v>
      </c>
      <c r="C95" s="3776">
        <f ca="1">ROUND(C85-C86,0)</f>
        <v>135955</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7.333459194131291</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6" thickBot="1">
      <c r="A97" s="72" t="s">
        <v>334</v>
      </c>
      <c r="B97" s="73" t="s">
        <v>1381</v>
      </c>
      <c r="C97" s="3777">
        <f ca="1">ROUND(IF(C95&lt;=0,0,IF(C96&gt;=200%,C95*60%-C86*35%,IF(C96&gt;=100%,C95*50%-C86*15%,IF(C96&gt;=50%,C95*40%-C86*5%,IF(C96&lt;50%,C95*30%,0))))),0)</f>
        <v>75084</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424" t="s">
        <v>1400</v>
      </c>
      <c r="B100" s="4425"/>
      <c r="C100" s="4425"/>
      <c r="D100" s="4518"/>
      <c r="E100" s="4425" t="s">
        <v>1401</v>
      </c>
      <c r="F100" s="4425"/>
      <c r="G100" s="4425"/>
      <c r="H100" s="4518"/>
      <c r="I100" s="47"/>
    </row>
    <row r="101" spans="1:35" ht="18.75" customHeight="1">
      <c r="A101" s="4537" t="s">
        <v>1402</v>
      </c>
      <c r="B101" s="4538"/>
      <c r="C101" s="1910" t="str">
        <f>C4</f>
        <v>比较法-办公</v>
      </c>
      <c r="D101" s="1911" t="str">
        <f>D4</f>
        <v>收益法（汇总）</v>
      </c>
      <c r="E101" s="4526" t="s">
        <v>1403</v>
      </c>
      <c r="F101" s="4437"/>
      <c r="G101" s="1337" t="s">
        <v>1404</v>
      </c>
      <c r="H101" s="3784">
        <f ca="1">H118</f>
        <v>168398</v>
      </c>
      <c r="I101" s="47"/>
    </row>
    <row r="102" spans="1:35" ht="18.75" customHeight="1">
      <c r="A102" s="4494" t="s">
        <v>1405</v>
      </c>
      <c r="B102" s="1909" t="s">
        <v>1404</v>
      </c>
      <c r="C102" s="3780">
        <f ca="1">C19</f>
        <v>219432</v>
      </c>
      <c r="D102" s="3781">
        <f ca="1">D19</f>
        <v>91847.482799999998</v>
      </c>
      <c r="E102" s="4526"/>
      <c r="F102" s="4437"/>
      <c r="G102" s="1337" t="s">
        <v>1406</v>
      </c>
      <c r="H102" s="2842">
        <f ca="1">I118</f>
        <v>29333</v>
      </c>
      <c r="I102" s="47"/>
    </row>
    <row r="103" spans="1:35" ht="42.75" customHeight="1">
      <c r="A103" s="4494"/>
      <c r="B103" s="1909" t="s">
        <v>1406</v>
      </c>
      <c r="C103" s="3782">
        <f ca="1">C20</f>
        <v>38223</v>
      </c>
      <c r="D103" s="3783">
        <f ca="1">D20</f>
        <v>15999</v>
      </c>
      <c r="E103" s="4506" t="s">
        <v>1407</v>
      </c>
      <c r="F103" s="4507"/>
      <c r="G103" s="1338" t="s">
        <v>1408</v>
      </c>
      <c r="H103" s="3784">
        <f>IF(D36="正常操作",H104+H105+H106,H105+H106)</f>
        <v>0</v>
      </c>
      <c r="I103" s="47"/>
    </row>
    <row r="104" spans="1:35" ht="18.75" customHeight="1">
      <c r="A104" s="4494" t="s">
        <v>1409</v>
      </c>
      <c r="B104" s="1912" t="s">
        <v>1404</v>
      </c>
      <c r="C104" s="4543">
        <f ca="1">H118</f>
        <v>168398</v>
      </c>
      <c r="D104" s="4544"/>
      <c r="E104" s="1217" t="s">
        <v>1410</v>
      </c>
      <c r="F104" s="1214"/>
      <c r="G104" s="1338" t="s">
        <v>1408</v>
      </c>
      <c r="H104" s="3785">
        <f>IF(D36="同一抵押权人同一抵押物续贷",C36&amp;"（续贷，未扣减，详见特别提示）",C36)</f>
        <v>0</v>
      </c>
      <c r="I104" s="47"/>
    </row>
    <row r="105" spans="1:35" ht="18.75" customHeight="1" thickBot="1">
      <c r="A105" s="4495"/>
      <c r="B105" s="1913" t="s">
        <v>1406</v>
      </c>
      <c r="C105" s="4545">
        <f ca="1">I118</f>
        <v>29333</v>
      </c>
      <c r="D105" s="4546"/>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436" t="str">
        <f>IF(项目基本情况!E8="已注销","——","3.房地产抵押价值")</f>
        <v>3.房地产抵押价值</v>
      </c>
      <c r="F107" s="4437"/>
      <c r="G107" s="1337" t="s">
        <v>1404</v>
      </c>
      <c r="H107" s="3784">
        <f ca="1">IF(E107="——","——",H101-H103)</f>
        <v>168398</v>
      </c>
      <c r="I107" s="47"/>
    </row>
    <row r="108" spans="1:35" ht="18.75" customHeight="1">
      <c r="A108" s="47"/>
      <c r="B108" s="47"/>
      <c r="C108" s="47"/>
      <c r="D108" s="47"/>
      <c r="E108" s="4436"/>
      <c r="F108" s="4437"/>
      <c r="G108" s="1337" t="s">
        <v>1406</v>
      </c>
      <c r="H108" s="2842">
        <f ca="1">IF(H107=H101,H102,ROUND(H107*10000/'数据-汇总表'!E3,0))</f>
        <v>29333</v>
      </c>
      <c r="I108" s="47"/>
    </row>
    <row r="109" spans="1:35" ht="18.75" customHeight="1">
      <c r="A109" s="47"/>
      <c r="B109" s="47"/>
      <c r="C109" s="47"/>
      <c r="D109" s="47"/>
      <c r="E109" s="4436" t="str">
        <f>IF(项目基本情况!E8="已注销及未注销","4.抵押担保权已注销时的房地产抵押价值",IF(项目基本情况!E8="已注销","3.抵押担保权已注销时的房地产抵押价值","——"))</f>
        <v>——</v>
      </c>
      <c r="F109" s="4437"/>
      <c r="G109" s="1337" t="s">
        <v>1404</v>
      </c>
      <c r="H109" s="2837" t="str">
        <f>IF(E109="——","——",H101-H105-H106)</f>
        <v>——</v>
      </c>
      <c r="I109" s="47"/>
    </row>
    <row r="110" spans="1:35" ht="18.75" customHeight="1">
      <c r="A110" s="47"/>
      <c r="B110" s="47"/>
      <c r="C110" s="47"/>
      <c r="D110" s="47"/>
      <c r="E110" s="4436"/>
      <c r="F110" s="4437"/>
      <c r="G110" s="1337" t="s">
        <v>1406</v>
      </c>
      <c r="H110" s="2842" t="str">
        <f>IF(H109="——","——",ROUND(H109*10000/'数据-汇总表'!E3,0))</f>
        <v>——</v>
      </c>
      <c r="I110" s="47"/>
    </row>
    <row r="111" spans="1:35" ht="18.75" customHeight="1">
      <c r="A111" s="47"/>
      <c r="B111" s="47"/>
      <c r="C111" s="47"/>
      <c r="D111" s="47"/>
      <c r="E111" s="4539" t="str">
        <f>IF(项目基本情况!E9="抵押净值",IF(OR(项目基本情况!E8="已注销",项目基本情况!E8="房地产抵押价值"),"4.抵押净值","5.抵押净值"),"——")</f>
        <v>——</v>
      </c>
      <c r="F111" s="4540"/>
      <c r="G111" s="1337" t="s">
        <v>1404</v>
      </c>
      <c r="H111" s="3784" t="str">
        <f>IF(E111="——","——",N59)</f>
        <v>——</v>
      </c>
      <c r="I111" s="47"/>
    </row>
    <row r="112" spans="1:35" ht="18.75" customHeight="1" thickBot="1">
      <c r="A112" s="47"/>
      <c r="B112" s="47"/>
      <c r="C112" s="47"/>
      <c r="D112" s="47"/>
      <c r="E112" s="4541"/>
      <c r="F112" s="4542"/>
      <c r="G112" s="1340" t="s">
        <v>1406</v>
      </c>
      <c r="H112" s="3746" t="str">
        <f>IF(E111="——","——",N61)</f>
        <v>——</v>
      </c>
      <c r="I112" s="47"/>
    </row>
    <row r="113" spans="1:27" ht="18.75" customHeight="1">
      <c r="A113" s="47"/>
      <c r="B113" s="47"/>
      <c r="C113" s="47"/>
      <c r="D113" s="47"/>
      <c r="E113" s="4496" t="s">
        <v>1412</v>
      </c>
      <c r="F113" s="4496"/>
      <c r="G113" s="4496"/>
      <c r="H113" s="4496"/>
      <c r="I113" s="47"/>
    </row>
    <row r="114" spans="1:27" ht="3.75" customHeight="1">
      <c r="A114" s="464"/>
      <c r="B114" s="464"/>
      <c r="C114" s="464"/>
      <c r="D114" s="464"/>
      <c r="E114" s="1323"/>
      <c r="F114" s="1323"/>
      <c r="G114" s="1323"/>
      <c r="H114" s="1323"/>
      <c r="I114" s="464"/>
    </row>
    <row r="115" spans="1:27" ht="18.75" customHeight="1">
      <c r="A115" s="4503" t="s">
        <v>1414</v>
      </c>
      <c r="B115" s="4504"/>
      <c r="C115" s="4504"/>
      <c r="D115" s="4504"/>
      <c r="E115" s="4504"/>
      <c r="F115" s="4504"/>
      <c r="G115" s="4504"/>
      <c r="H115" s="4504"/>
      <c r="I115" s="4505"/>
    </row>
    <row r="116" spans="1:27" ht="27" customHeight="1">
      <c r="A116" s="4474" t="s">
        <v>1415</v>
      </c>
      <c r="B116" s="4497" t="s">
        <v>1416</v>
      </c>
      <c r="C116" s="4497" t="s">
        <v>1417</v>
      </c>
      <c r="D116" s="4535" t="s">
        <v>1418</v>
      </c>
      <c r="E116" s="4536"/>
      <c r="F116" s="4502"/>
      <c r="G116" s="4502"/>
      <c r="H116" s="4474" t="s">
        <v>1419</v>
      </c>
      <c r="I116" s="4474"/>
      <c r="K116" s="3137"/>
      <c r="L116" s="3138" t="s">
        <v>3483</v>
      </c>
      <c r="M116" s="3138" t="s">
        <v>3484</v>
      </c>
      <c r="N116" s="3138" t="s">
        <v>3485</v>
      </c>
    </row>
    <row r="117" spans="1:27" ht="18.75" customHeight="1">
      <c r="A117" s="4474"/>
      <c r="B117" s="4498"/>
      <c r="C117" s="4498"/>
      <c r="D117" s="1731" t="s">
        <v>1420</v>
      </c>
      <c r="E117" s="1731" t="s">
        <v>1421</v>
      </c>
      <c r="F117" s="1731" t="s">
        <v>1420</v>
      </c>
      <c r="G117" s="1731" t="s">
        <v>1422</v>
      </c>
      <c r="H117" s="1731" t="s">
        <v>1420</v>
      </c>
      <c r="I117" s="1731" t="s">
        <v>1422</v>
      </c>
      <c r="K117" s="3138" t="s">
        <v>3481</v>
      </c>
      <c r="L117" s="3787">
        <f ca="1">C34</f>
        <v>168398</v>
      </c>
      <c r="M117" s="3788">
        <f ca="1">C35</f>
        <v>0</v>
      </c>
      <c r="N117" s="3788">
        <f ca="1">C32</f>
        <v>168398</v>
      </c>
    </row>
    <row r="118" spans="1:27" ht="24.75" customHeight="1">
      <c r="A118" s="1914" t="str">
        <f>项目基本情况!S2</f>
        <v>北京市房地产</v>
      </c>
      <c r="B118" s="2663">
        <f>M18</f>
        <v>57408.26</v>
      </c>
      <c r="C118" s="2663">
        <f>M19</f>
        <v>16447.62</v>
      </c>
      <c r="D118" s="697">
        <f ca="1">ROUND(IF(D32="总价",L117,L119*B118/10000),0)</f>
        <v>168398</v>
      </c>
      <c r="E118" s="697">
        <f ca="1">ROUND(IF(C33="自定义",IF(D32="楼面单价",L119,D118*10000/B118),I118-G118),0)</f>
        <v>29333</v>
      </c>
      <c r="F118" s="697">
        <f ca="1">ROUND(IF(D32="总价",M117,M119*B118/10000),0)</f>
        <v>0</v>
      </c>
      <c r="G118" s="697">
        <f ca="1">ROUND(IF(D32="楼面单价",,F118*10000/B118),0)</f>
        <v>0</v>
      </c>
      <c r="H118" s="697">
        <f ca="1">ROUND(IF(D32="总价",C32,N119*B118/10000),4)</f>
        <v>168398</v>
      </c>
      <c r="I118" s="697">
        <f ca="1">ROUND(IF(D32="楼面单价",C32,N117*10000/B118),0)</f>
        <v>29333</v>
      </c>
      <c r="K118" s="3137"/>
      <c r="L118" s="3137"/>
      <c r="M118" s="3137"/>
      <c r="N118" s="3137"/>
    </row>
    <row r="119" spans="1:27" ht="18.75" customHeight="1">
      <c r="A119" s="4474" t="s">
        <v>1423</v>
      </c>
      <c r="B119" s="4474"/>
      <c r="C119" s="4474"/>
      <c r="D119" s="4433" t="str">
        <f ca="1">NUMBERSTRING(INT(D118*10000),2)&amp;"元整"</f>
        <v>壹拾陆亿捌仟叁佰玖拾捌万元整</v>
      </c>
      <c r="E119" s="4435"/>
      <c r="F119" s="4433" t="str">
        <f ca="1">NUMBERSTRING(INT(F118*10000),2)&amp;"元整"</f>
        <v>零元整</v>
      </c>
      <c r="G119" s="4435"/>
      <c r="H119" s="4433" t="str">
        <f ca="1">NUMBERSTRING(INT(H118*10000),2)&amp;"元整"</f>
        <v>壹拾陆亿捌仟叁佰玖拾捌万元整</v>
      </c>
      <c r="I119" s="4435"/>
      <c r="K119" s="3138" t="s">
        <v>3482</v>
      </c>
      <c r="L119" s="3788">
        <f ca="1">C34</f>
        <v>168398</v>
      </c>
      <c r="M119" s="3788">
        <f ca="1">C35</f>
        <v>0</v>
      </c>
      <c r="N119" s="3788">
        <f ca="1">C32</f>
        <v>168398</v>
      </c>
    </row>
    <row r="120" spans="1:27" ht="18.75" customHeight="1">
      <c r="A120" s="4430" t="str">
        <f>IF(项目基本情况!B9="房地产市场价值","",MID(E103,3,LEN(E103)-2))</f>
        <v>估价师知悉的法定优先受偿款</v>
      </c>
      <c r="B120" s="4431"/>
      <c r="C120" s="4431"/>
      <c r="D120" s="4431"/>
      <c r="E120" s="4431"/>
      <c r="F120" s="4431"/>
      <c r="G120" s="4432"/>
      <c r="H120" s="4438">
        <f>H103</f>
        <v>0</v>
      </c>
      <c r="I120" s="4439"/>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433" t="s">
        <v>1423</v>
      </c>
      <c r="B121" s="4434"/>
      <c r="C121" s="4434"/>
      <c r="D121" s="4434"/>
      <c r="E121" s="4434"/>
      <c r="F121" s="4434"/>
      <c r="G121" s="4435"/>
      <c r="H121" s="4440" t="str">
        <f>IF(H120=0,"零元整",NUMBERSTRING(INT(H120*10000),2)&amp;"元整")</f>
        <v>零元整</v>
      </c>
      <c r="I121" s="4441"/>
      <c r="AA121" s="493"/>
    </row>
    <row r="122" spans="1:27" ht="18.75" customHeight="1">
      <c r="A122" s="4430" t="str">
        <f>IF(项目基本情况!B9="房地产市场价值","",MID(E107,3,LEN(E107)-2))</f>
        <v>房地产抵押价值</v>
      </c>
      <c r="B122" s="4431"/>
      <c r="C122" s="4431"/>
      <c r="D122" s="4431"/>
      <c r="E122" s="4431"/>
      <c r="F122" s="4431"/>
      <c r="G122" s="4432"/>
      <c r="H122" s="4442">
        <f ca="1">H107</f>
        <v>168398</v>
      </c>
      <c r="I122" s="4443"/>
      <c r="AA122" s="493"/>
    </row>
    <row r="123" spans="1:27" ht="18.75" customHeight="1">
      <c r="A123" s="4433" t="s">
        <v>1423</v>
      </c>
      <c r="B123" s="4434"/>
      <c r="C123" s="4434"/>
      <c r="D123" s="4434"/>
      <c r="E123" s="4434"/>
      <c r="F123" s="4434"/>
      <c r="G123" s="4435"/>
      <c r="H123" s="4433" t="str">
        <f ca="1">NUMBERSTRING(INT(H122*10000),2)&amp;"元整"</f>
        <v>壹拾陆亿捌仟叁佰玖拾捌万元整</v>
      </c>
      <c r="I123" s="4435"/>
      <c r="AA123" s="493"/>
    </row>
    <row r="124" spans="1:27" ht="18.75" customHeight="1">
      <c r="A124" s="4430" t="str">
        <f>IF(项目基本情况!B9="房地产市场价值","",MID(E109,3,LEN(E109)-2))</f>
        <v/>
      </c>
      <c r="B124" s="4431"/>
      <c r="C124" s="4431"/>
      <c r="D124" s="4431"/>
      <c r="E124" s="4431"/>
      <c r="F124" s="4431"/>
      <c r="G124" s="4432"/>
      <c r="H124" s="4442" t="str">
        <f>H109</f>
        <v>——</v>
      </c>
      <c r="I124" s="4443"/>
      <c r="AA124" s="493"/>
    </row>
    <row r="125" spans="1:27" ht="18.75" customHeight="1">
      <c r="A125" s="4433" t="s">
        <v>1423</v>
      </c>
      <c r="B125" s="4434"/>
      <c r="C125" s="4434"/>
      <c r="D125" s="4434"/>
      <c r="E125" s="4434"/>
      <c r="F125" s="4434"/>
      <c r="G125" s="4435"/>
      <c r="H125" s="4433" t="e">
        <f>NUMBERSTRING(INT(H124*10000),2)&amp;"元整"</f>
        <v>#VALUE!</v>
      </c>
      <c r="I125" s="4435"/>
      <c r="AA125" s="493"/>
    </row>
    <row r="126" spans="1:27" ht="18.75" customHeight="1">
      <c r="A126" s="4430" t="str">
        <f>IF(项目基本情况!B9="房地产市场价值","",MID(E111,3,LEN(E111)-2))</f>
        <v/>
      </c>
      <c r="B126" s="4431"/>
      <c r="C126" s="4431"/>
      <c r="D126" s="4431"/>
      <c r="E126" s="4431"/>
      <c r="F126" s="4431"/>
      <c r="G126" s="4432"/>
      <c r="H126" s="4442" t="str">
        <f>H111</f>
        <v>——</v>
      </c>
      <c r="I126" s="4443"/>
      <c r="AA126" s="493"/>
    </row>
    <row r="127" spans="1:27" ht="18.75" customHeight="1">
      <c r="A127" s="4433" t="s">
        <v>1423</v>
      </c>
      <c r="B127" s="4434"/>
      <c r="C127" s="4434"/>
      <c r="D127" s="4434"/>
      <c r="E127" s="4434"/>
      <c r="F127" s="4434"/>
      <c r="G127" s="4435"/>
      <c r="H127" s="4433" t="e">
        <f>NUMBERSTRING(INT(H126*10000),2)&amp;"元整"</f>
        <v>#VALUE!</v>
      </c>
      <c r="I127" s="4435"/>
      <c r="AA127" s="493"/>
    </row>
    <row r="128" spans="1:27" ht="21.75" customHeight="1">
      <c r="A128" s="4534" t="s">
        <v>1424</v>
      </c>
      <c r="B128" s="4534"/>
      <c r="C128" s="4534"/>
      <c r="D128" s="4534"/>
      <c r="E128" s="4534"/>
      <c r="F128" s="4534"/>
      <c r="G128" s="4534"/>
      <c r="H128" s="4534"/>
      <c r="I128" s="4534"/>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4" customWidth="1"/>
    <col min="2" max="9" width="10" style="554" customWidth="1"/>
    <col min="10" max="16384" width="9" style="554"/>
  </cols>
  <sheetData>
    <row r="36" spans="1:9">
      <c r="A36" s="553" t="s">
        <v>365</v>
      </c>
      <c r="B36" s="553" t="s">
        <v>366</v>
      </c>
    </row>
    <row r="37" spans="1:9" ht="27.75" customHeight="1">
      <c r="A37" s="553"/>
      <c r="B37" s="4335" t="str">
        <f>项目基本情况!B1</f>
        <v>北京市房地产抵押价值预评估</v>
      </c>
      <c r="C37" s="4335"/>
      <c r="D37" s="4335"/>
      <c r="E37" s="4335"/>
      <c r="F37" s="4335"/>
      <c r="G37" s="4335"/>
      <c r="H37" s="4335"/>
      <c r="I37" s="4335"/>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B10" sqref="B1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1432</v>
      </c>
      <c r="B1" s="2905"/>
      <c r="C1" s="3430"/>
      <c r="D1" s="93"/>
      <c r="E1" s="93"/>
      <c r="F1" s="93"/>
      <c r="G1" s="778">
        <f>MATCH(B1,'数据-取费表'!A6:A16,0)+5</f>
        <v>10</v>
      </c>
    </row>
    <row r="2" spans="1:9" s="95" customFormat="1" ht="15.6">
      <c r="A2" s="96" t="s">
        <v>1433</v>
      </c>
      <c r="B2" s="2588">
        <f ca="1">IF(C1="含税",E2+C33,E2+C32)</f>
        <v>37419</v>
      </c>
      <c r="C2" s="94" t="s">
        <v>1434</v>
      </c>
      <c r="D2" s="1361" t="s">
        <v>41</v>
      </c>
      <c r="E2" s="3518">
        <f ca="1">IF(D2="——",0,SUMIF(INDIRECT("'"&amp;G2&amp;"'"&amp;"!A:A"),"承租人权益价值",INDIRECT("'"&amp;G2&amp;"'"&amp;"!c:c")))</f>
        <v>0</v>
      </c>
      <c r="F2" s="1362" t="s">
        <v>1434</v>
      </c>
      <c r="G2" s="1363"/>
    </row>
    <row r="3" spans="1:9" s="95" customFormat="1" ht="16.2" thickBot="1">
      <c r="A3" s="98" t="s">
        <v>1435</v>
      </c>
      <c r="B3" s="2589">
        <f ca="1">ROUND(B2*10000/(IF(B1="",'数据-汇总表'!E3,INDIRECT("'数据-取费表'!k"&amp;$G$1))),0)</f>
        <v>6518</v>
      </c>
      <c r="C3" s="94" t="s">
        <v>1436</v>
      </c>
      <c r="D3" s="94"/>
      <c r="E3" s="2575"/>
      <c r="F3" s="94"/>
      <c r="G3" s="94"/>
    </row>
    <row r="4" spans="1:9" s="95" customFormat="1" ht="16.2" thickBot="1">
      <c r="A4" s="2633" t="s">
        <v>3326</v>
      </c>
      <c r="B4" s="2634" t="s">
        <v>3327</v>
      </c>
      <c r="C4" s="2572" t="s">
        <v>3962</v>
      </c>
      <c r="D4" s="2609" t="s">
        <v>3332</v>
      </c>
      <c r="E4" s="2610" t="s">
        <v>3333</v>
      </c>
      <c r="F4" s="2610" t="s">
        <v>3334</v>
      </c>
      <c r="G4" s="2573" t="s">
        <v>3328</v>
      </c>
    </row>
    <row r="5" spans="1:9" s="103" customFormat="1" ht="15.6">
      <c r="A5" s="2611" t="s">
        <v>3325</v>
      </c>
      <c r="B5" s="2612" t="s">
        <v>3329</v>
      </c>
      <c r="C5" s="2585">
        <f ca="1">ROUND((C6+C9+C21+C24+C25+C28)/(1-F22-C26-C29),0)</f>
        <v>40593</v>
      </c>
      <c r="D5" s="2613"/>
      <c r="E5" s="2613"/>
      <c r="F5" s="2613"/>
      <c r="G5" s="2770" t="s">
        <v>3473</v>
      </c>
    </row>
    <row r="6" spans="1:9" s="2599" customFormat="1" ht="14.4">
      <c r="A6" s="2577" t="s">
        <v>3335</v>
      </c>
      <c r="B6" s="2637" t="s">
        <v>3336</v>
      </c>
      <c r="C6" s="2614">
        <f>C7+C8</f>
        <v>0</v>
      </c>
      <c r="D6" s="2576"/>
      <c r="E6" s="2576"/>
      <c r="F6" s="2576"/>
      <c r="G6" s="2615"/>
    </row>
    <row r="7" spans="1:9" s="109" customFormat="1">
      <c r="A7" s="2616" t="s">
        <v>1443</v>
      </c>
      <c r="B7" s="2638" t="s">
        <v>1444</v>
      </c>
      <c r="C7" s="3125"/>
      <c r="D7" s="2617"/>
      <c r="E7" s="2618"/>
      <c r="F7" s="2618"/>
      <c r="G7" s="156"/>
    </row>
    <row r="8" spans="1:9" s="109" customFormat="1">
      <c r="A8" s="2616" t="s">
        <v>1445</v>
      </c>
      <c r="B8" s="2638" t="s">
        <v>1446</v>
      </c>
      <c r="C8" s="2587">
        <f>ROUND(C7*F8,0)</f>
        <v>0</v>
      </c>
      <c r="D8" s="144"/>
      <c r="E8" s="2618"/>
      <c r="F8" s="2619">
        <f>IF(项目基本情况!B8="出让",0,'数据-取费表'!B49+'数据-取费表'!B50)</f>
        <v>3.0499999999999999E-2</v>
      </c>
      <c r="G8" s="156"/>
    </row>
    <row r="9" spans="1:9" s="2599" customFormat="1" ht="14.4">
      <c r="A9" s="2620" t="s">
        <v>336</v>
      </c>
      <c r="B9" s="2639" t="s">
        <v>3283</v>
      </c>
      <c r="C9" s="2600">
        <f ca="1">C10+C11+C12+C13+C19+C20</f>
        <v>32894</v>
      </c>
      <c r="D9" s="2621"/>
      <c r="E9" s="2622"/>
      <c r="F9" s="2623"/>
      <c r="G9" s="2624"/>
      <c r="I9" s="109"/>
    </row>
    <row r="10" spans="1:9" s="109" customFormat="1">
      <c r="A10" s="2640" t="s">
        <v>344</v>
      </c>
      <c r="B10" s="2641" t="s">
        <v>3319</v>
      </c>
      <c r="C10" s="2587">
        <f ca="1">IF(B1="",IF(F10=100%,'数据-取费表'!M16,'数据-取费表'!O16),IF(F10=100%,INDIRECT("'数据-取费表'!m"&amp;$G$1)+INDIRECT("'数据-取费表'!t"&amp;$G$1),INDIRECT("'数据-取费表'!o"&amp;$G$1)+INDIRECT("'数据-取费表'!aq"&amp;$G$1)))</f>
        <v>28704</v>
      </c>
      <c r="D10" s="2617"/>
      <c r="E10" s="144"/>
      <c r="F10" s="2625">
        <f ca="1">IF('数据-取费表'!B24=0,1,IF(B1="",'数据-取费表'!N16,INDIRECT("'数据-取费表'!n"&amp;$G$1)))</f>
        <v>1</v>
      </c>
      <c r="G10" s="156" t="s">
        <v>1471</v>
      </c>
    </row>
    <row r="11" spans="1:9" s="109" customFormat="1">
      <c r="A11" s="2640" t="s">
        <v>349</v>
      </c>
      <c r="B11" s="2641" t="s">
        <v>3320</v>
      </c>
      <c r="C11" s="2587">
        <f ca="1">ROUND(C10*F11,0)</f>
        <v>1435</v>
      </c>
      <c r="D11" s="144"/>
      <c r="E11" s="144"/>
      <c r="F11" s="2598">
        <f>'数据-取费表'!B33</f>
        <v>0.05</v>
      </c>
      <c r="G11" s="3515" t="s">
        <v>3679</v>
      </c>
    </row>
    <row r="12" spans="1:9" s="109" customFormat="1">
      <c r="A12" s="2640" t="s">
        <v>350</v>
      </c>
      <c r="B12" s="2641" t="s">
        <v>3321</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3284</v>
      </c>
      <c r="B13" s="2641" t="s">
        <v>3322</v>
      </c>
      <c r="C13" s="2587">
        <f ca="1">C14+C17+C18</f>
        <v>2468</v>
      </c>
      <c r="D13" s="144"/>
      <c r="E13" s="2618"/>
      <c r="F13" s="2619"/>
      <c r="G13" s="156"/>
    </row>
    <row r="14" spans="1:9" s="118" customFormat="1">
      <c r="A14" s="2570" t="s">
        <v>3285</v>
      </c>
      <c r="B14" s="2642" t="s">
        <v>3318</v>
      </c>
      <c r="C14" s="2587">
        <f>IF(G14="已包含在土地购买价格中","0",IF(B1="",'数据-取费表'!B29,IF(G15="全部缴纳",C15+C16,H15)))</f>
        <v>0</v>
      </c>
      <c r="D14" s="2626"/>
      <c r="E14" s="144"/>
      <c r="F14" s="2619"/>
      <c r="G14" s="1364"/>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c r="H15" s="784"/>
      <c r="I15" s="1366" t="s">
        <v>1450</v>
      </c>
    </row>
    <row r="16" spans="1:9" s="109" customFormat="1">
      <c r="A16" s="2643" t="s">
        <v>354</v>
      </c>
      <c r="B16" s="2644" t="s">
        <v>1451</v>
      </c>
      <c r="C16" s="2627">
        <f ca="1">ROUND(D16*E16/10000,0)</f>
        <v>1148</v>
      </c>
      <c r="D16" s="2627">
        <f ca="1">IF(B1="",'数据-汇总表'!E6,IF(INDIRECT("'数据-取费表'!c"&amp;$G$1)="住宅",INDIRECT("'数据-取费表'!s"&amp;$G$1),INDIRECT("'数据-取费表'!k"&amp;$G$1)+INDIRECT("'数据-取费表'!s"&amp;$G$1)))</f>
        <v>57408.26</v>
      </c>
      <c r="E16" s="2627">
        <f>'数据-取费表'!B28</f>
        <v>200</v>
      </c>
      <c r="F16" s="2619"/>
      <c r="G16" s="121"/>
    </row>
    <row r="17" spans="1:7" s="109" customFormat="1">
      <c r="A17" s="2570" t="s">
        <v>3286</v>
      </c>
      <c r="B17" s="2645" t="s">
        <v>3291</v>
      </c>
      <c r="C17" s="2587">
        <f ca="1">IF(G17="已包含在土地取得成本中","0",ROUND(D17*E17/10000,0))</f>
        <v>746</v>
      </c>
      <c r="D17" s="2628">
        <f ca="1">D15+D16</f>
        <v>57408.26</v>
      </c>
      <c r="E17" s="2628">
        <f>'数据-取费表'!B31</f>
        <v>130</v>
      </c>
      <c r="F17" s="2595"/>
      <c r="G17" s="1364"/>
    </row>
    <row r="18" spans="1:7" s="109" customFormat="1">
      <c r="A18" s="2646" t="s">
        <v>3287</v>
      </c>
      <c r="B18" s="2645" t="s">
        <v>1476</v>
      </c>
      <c r="C18" s="2587">
        <f ca="1">ROUND(E18*D18*F10/10000,0)</f>
        <v>1722</v>
      </c>
      <c r="D18" s="2587">
        <f ca="1">D17</f>
        <v>57408.26</v>
      </c>
      <c r="E18" s="2587">
        <f>'数据-取费表'!B35</f>
        <v>300</v>
      </c>
      <c r="F18" s="2598"/>
      <c r="G18" s="156" t="s">
        <v>1477</v>
      </c>
    </row>
    <row r="19" spans="1:7" s="109" customFormat="1">
      <c r="A19" s="2640" t="s">
        <v>352</v>
      </c>
      <c r="B19" s="2641" t="s">
        <v>3323</v>
      </c>
      <c r="C19" s="2587">
        <f ca="1">ROUND(C10*F19,0)</f>
        <v>287</v>
      </c>
      <c r="D19" s="144"/>
      <c r="E19" s="144"/>
      <c r="F19" s="2598">
        <f>'数据-取费表'!B36</f>
        <v>0.01</v>
      </c>
      <c r="G19" s="156" t="s">
        <v>1473</v>
      </c>
    </row>
    <row r="20" spans="1:7" s="109" customFormat="1">
      <c r="A20" s="2640" t="s">
        <v>3288</v>
      </c>
      <c r="B20" s="2641" t="s">
        <v>3324</v>
      </c>
      <c r="C20" s="2587">
        <f ca="1">ROUND(C10*F20,0)</f>
        <v>0</v>
      </c>
      <c r="D20" s="2629"/>
      <c r="E20" s="140"/>
      <c r="F20" s="2598">
        <f>'数据-取费表'!B37</f>
        <v>0</v>
      </c>
      <c r="G20" s="156" t="s">
        <v>1473</v>
      </c>
    </row>
    <row r="21" spans="1:7" s="2599" customFormat="1" ht="14.4">
      <c r="A21" s="2577" t="s">
        <v>3337</v>
      </c>
      <c r="B21" s="2637" t="s">
        <v>3338</v>
      </c>
      <c r="C21" s="2600">
        <f ca="1">ROUND((C6+C9)*F21,0)</f>
        <v>658</v>
      </c>
      <c r="D21" s="2601"/>
      <c r="E21" s="2601"/>
      <c r="F21" s="2605">
        <f>'数据-取费表'!B38</f>
        <v>0.02</v>
      </c>
      <c r="G21" s="2602" t="s">
        <v>3339</v>
      </c>
    </row>
    <row r="22" spans="1:7" s="2599" customFormat="1" ht="14.4">
      <c r="A22" s="2577" t="s">
        <v>3340</v>
      </c>
      <c r="B22" s="2637" t="s">
        <v>3341</v>
      </c>
      <c r="C22" s="2603" t="str">
        <f>F22&amp;"V"</f>
        <v>0.02V</v>
      </c>
      <c r="D22" s="296"/>
      <c r="E22" s="2601"/>
      <c r="F22" s="2605">
        <f>'数据-取费表'!B39</f>
        <v>0.02</v>
      </c>
      <c r="G22" s="3643" t="s">
        <v>3681</v>
      </c>
    </row>
    <row r="23" spans="1:7" s="2599" customFormat="1" ht="14.4">
      <c r="A23" s="2577" t="s">
        <v>3342</v>
      </c>
      <c r="B23" s="2639" t="s">
        <v>3292</v>
      </c>
      <c r="C23" s="2578" t="str">
        <f ca="1">SUM(C24:C25)&amp;"+"&amp;C26&amp;"V"</f>
        <v>1050+0.0006V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0</v>
      </c>
      <c r="D24" s="133"/>
      <c r="E24" s="133"/>
      <c r="F24" s="2594"/>
      <c r="G24" s="135" t="s">
        <v>1455</v>
      </c>
    </row>
    <row r="25" spans="1:7" s="109" customFormat="1">
      <c r="A25" s="2647" t="s">
        <v>1456</v>
      </c>
      <c r="B25" s="2645" t="s">
        <v>3293</v>
      </c>
      <c r="C25" s="2593">
        <f ca="1">ROUND(IF('数据-取费表'!B22&lt;=1,(C9+C21)*F23*'数据-取费表'!B23/2,(C9+C21)*(POWER((1+F23),'数据-取费表'!B23/2)-1)),0)</f>
        <v>1050</v>
      </c>
      <c r="D25" s="133"/>
      <c r="E25" s="133"/>
      <c r="F25" s="2594"/>
      <c r="G25" s="135" t="s">
        <v>1457</v>
      </c>
    </row>
    <row r="26" spans="1:7" s="109" customFormat="1">
      <c r="A26" s="2647" t="s">
        <v>348</v>
      </c>
      <c r="B26" s="2645" t="s">
        <v>1458</v>
      </c>
      <c r="C26" s="2590">
        <f ca="1">ROUND(IF('数据-取费表'!B22&lt;=1,F22*F23*'数据-取费表'!B23/2,F22*(POWER((1+F23),'数据-取费表'!B23/2)-1)),4)</f>
        <v>5.9999999999999995E-4</v>
      </c>
      <c r="D26" s="133"/>
      <c r="E26" s="136"/>
      <c r="F26" s="2594"/>
      <c r="G26" s="138"/>
    </row>
    <row r="27" spans="1:7" s="2599" customFormat="1" ht="14.4">
      <c r="A27" s="2577" t="s">
        <v>3343</v>
      </c>
      <c r="B27" s="2639" t="s">
        <v>3294</v>
      </c>
      <c r="C27" s="2606" t="str">
        <f ca="1">C28&amp;"+"&amp;C29&amp;"V"</f>
        <v>5033+0.003V</v>
      </c>
      <c r="D27" s="2604"/>
      <c r="E27" s="296"/>
      <c r="F27" s="2607">
        <f ca="1">IF(B1="",'数据-取费表'!Q16,INDIRECT("'数据-取费表'!q"&amp;$G$1))</f>
        <v>0.15</v>
      </c>
      <c r="G27" s="2602" t="s">
        <v>3344</v>
      </c>
    </row>
    <row r="28" spans="1:7" s="109" customFormat="1">
      <c r="A28" s="2640" t="s">
        <v>344</v>
      </c>
      <c r="B28" s="2645" t="s">
        <v>1463</v>
      </c>
      <c r="C28" s="2571">
        <f ca="1">ROUND(C6*F27*'数据-取费表'!B23/'数据-取费表'!B22+(C9+C21)*F27,0)</f>
        <v>5033</v>
      </c>
      <c r="D28" s="130"/>
      <c r="E28" s="131"/>
      <c r="F28" s="2595"/>
      <c r="G28" s="3136" t="s">
        <v>3480</v>
      </c>
    </row>
    <row r="29" spans="1:7" s="109" customFormat="1">
      <c r="A29" s="2640" t="s">
        <v>345</v>
      </c>
      <c r="B29" s="2645" t="s">
        <v>1464</v>
      </c>
      <c r="C29" s="2590">
        <f ca="1">ROUND(F22*F27,4)</f>
        <v>3.0000000000000001E-3</v>
      </c>
      <c r="D29" s="130"/>
      <c r="E29" s="131"/>
      <c r="F29" s="2595"/>
      <c r="G29" s="142"/>
    </row>
    <row r="30" spans="1:7" s="2599" customFormat="1" ht="14.4">
      <c r="A30" s="2577" t="s">
        <v>3345</v>
      </c>
      <c r="B30" s="2637" t="s">
        <v>3346</v>
      </c>
      <c r="C30" s="2600">
        <v>0</v>
      </c>
      <c r="D30" s="296"/>
      <c r="E30" s="2579"/>
      <c r="F30" s="2605"/>
      <c r="G30" s="2608" t="s">
        <v>3295</v>
      </c>
    </row>
    <row r="31" spans="1:7" s="109" customFormat="1" ht="15.6">
      <c r="A31" s="2648">
        <v>2</v>
      </c>
      <c r="B31" s="2649" t="s">
        <v>3296</v>
      </c>
      <c r="C31" s="2591">
        <f ca="1">C57</f>
        <v>3174</v>
      </c>
      <c r="D31" s="2581"/>
      <c r="E31" s="2581"/>
      <c r="F31" s="2596">
        <f>IF('数据-取费表'!B24=0,'数据-取费表'!N16,1)</f>
        <v>0.92</v>
      </c>
      <c r="G31" s="2582" t="s">
        <v>3817</v>
      </c>
    </row>
    <row r="32" spans="1:7" s="109" customFormat="1" ht="15.6">
      <c r="A32" s="2569" t="s">
        <v>3297</v>
      </c>
      <c r="B32" s="2568" t="s">
        <v>3298</v>
      </c>
      <c r="C32" s="2591">
        <f ca="1">C5-C31</f>
        <v>37419</v>
      </c>
      <c r="D32" s="2581"/>
      <c r="E32" s="2581"/>
      <c r="F32" s="2580"/>
      <c r="G32" s="2583" t="s">
        <v>3330</v>
      </c>
    </row>
    <row r="33" spans="1:7" s="109" customFormat="1" ht="16.2" thickBot="1">
      <c r="A33" s="2650">
        <v>4</v>
      </c>
      <c r="B33" s="2651" t="s">
        <v>3331</v>
      </c>
      <c r="C33" s="2592">
        <f ca="1">ROUND(C32*(1+F33),0)</f>
        <v>40787</v>
      </c>
      <c r="D33" s="2584"/>
      <c r="E33" s="2584"/>
      <c r="F33" s="2597">
        <f>IF(G33="其他类型公式—成本价值×（1+9%）",9%,3%)</f>
        <v>0.09</v>
      </c>
      <c r="G33" s="3644" t="s">
        <v>3689</v>
      </c>
    </row>
    <row r="34" spans="1:7" s="118" customFormat="1"/>
    <row r="35" spans="1:7" s="109" customFormat="1"/>
    <row r="36" spans="1:7" s="109" customFormat="1"/>
    <row r="37" spans="1:7" s="109" customFormat="1"/>
    <row r="38" spans="1:7" ht="15" thickBot="1">
      <c r="A38" s="2846" t="s">
        <v>3299</v>
      </c>
      <c r="B38" s="2847"/>
      <c r="C38" s="2847"/>
      <c r="D38" s="2847"/>
      <c r="E38" s="2847"/>
      <c r="F38" s="2847"/>
      <c r="G38" s="2848"/>
    </row>
    <row r="39" spans="1:7" ht="15" thickBot="1">
      <c r="A39" s="2849" t="s">
        <v>3326</v>
      </c>
      <c r="B39" s="2850" t="s">
        <v>3327</v>
      </c>
      <c r="C39" s="2851" t="s">
        <v>3962</v>
      </c>
      <c r="D39" s="2852" t="s">
        <v>3453</v>
      </c>
      <c r="E39" s="2853" t="s">
        <v>3454</v>
      </c>
      <c r="F39" s="2853" t="s">
        <v>3455</v>
      </c>
      <c r="G39" s="2854" t="s">
        <v>3328</v>
      </c>
    </row>
    <row r="40" spans="1:7" ht="14.4">
      <c r="A40" s="2697" t="s">
        <v>3456</v>
      </c>
      <c r="B40" s="2856" t="s">
        <v>3300</v>
      </c>
      <c r="C40" s="2857">
        <f ca="1">SUM(C41:C46)</f>
        <v>32148</v>
      </c>
      <c r="D40" s="2855"/>
      <c r="E40" s="2855"/>
      <c r="F40" s="2855"/>
      <c r="G40" s="4106"/>
    </row>
    <row r="41" spans="1:7" ht="15.6">
      <c r="A41" s="2632" t="s">
        <v>3301</v>
      </c>
      <c r="B41" s="2696" t="str">
        <f t="shared" ref="B41:C43" si="0">B10</f>
        <v xml:space="preserve">  建安费用</v>
      </c>
      <c r="C41" s="2566">
        <f t="shared" ca="1" si="0"/>
        <v>28704</v>
      </c>
      <c r="D41" s="2561"/>
      <c r="E41" s="2561"/>
      <c r="F41" s="2562"/>
      <c r="G41" s="4107"/>
    </row>
    <row r="42" spans="1:7" ht="15.6">
      <c r="A42" s="2632" t="s">
        <v>3302</v>
      </c>
      <c r="B42" s="2696" t="str">
        <f t="shared" si="0"/>
        <v xml:space="preserve">  前期费用</v>
      </c>
      <c r="C42" s="2566">
        <f t="shared" ca="1" si="0"/>
        <v>1435</v>
      </c>
      <c r="D42" s="2561"/>
      <c r="E42" s="2561"/>
      <c r="F42" s="2562"/>
      <c r="G42" s="4107"/>
    </row>
    <row r="43" spans="1:7" ht="15.6">
      <c r="A43" s="2632" t="s">
        <v>3369</v>
      </c>
      <c r="B43" s="2636" t="str">
        <f t="shared" si="0"/>
        <v xml:space="preserve">  公共配套设施费用</v>
      </c>
      <c r="C43" s="2566">
        <f t="shared" ca="1" si="0"/>
        <v>0</v>
      </c>
      <c r="D43" s="2561"/>
      <c r="E43" s="2561"/>
      <c r="F43" s="2562"/>
      <c r="G43" s="4107"/>
    </row>
    <row r="44" spans="1:7" ht="15.6">
      <c r="A44" s="2632" t="s">
        <v>3284</v>
      </c>
      <c r="B44" s="2636" t="str">
        <f>B18</f>
        <v>红线内市政费用</v>
      </c>
      <c r="C44" s="2566">
        <f ca="1">C18</f>
        <v>1722</v>
      </c>
      <c r="D44" s="2561"/>
      <c r="E44" s="2561"/>
      <c r="F44" s="2562"/>
      <c r="G44" s="4107"/>
    </row>
    <row r="45" spans="1:7" ht="15.6">
      <c r="A45" s="2647" t="s">
        <v>3303</v>
      </c>
      <c r="B45" s="2642" t="str">
        <f>B19</f>
        <v xml:space="preserve">  其他工程费</v>
      </c>
      <c r="C45" s="2571">
        <f ca="1">C19</f>
        <v>287</v>
      </c>
      <c r="D45" s="2695"/>
      <c r="E45" s="2695"/>
      <c r="F45" s="2574"/>
      <c r="G45" s="4108"/>
    </row>
    <row r="46" spans="1:7" ht="15.6">
      <c r="A46" s="2647" t="s">
        <v>3368</v>
      </c>
      <c r="B46" s="2642" t="s">
        <v>3304</v>
      </c>
      <c r="C46" s="2571">
        <f ca="1">C20</f>
        <v>0</v>
      </c>
      <c r="D46" s="2695"/>
      <c r="E46" s="2695"/>
      <c r="F46" s="2574"/>
      <c r="G46" s="4108"/>
    </row>
    <row r="47" spans="1:7" ht="14.4">
      <c r="A47" s="2697" t="s">
        <v>3457</v>
      </c>
      <c r="B47" s="2698" t="s">
        <v>3458</v>
      </c>
      <c r="C47" s="2699">
        <f ca="1">ROUND(C40*F47,0)</f>
        <v>643</v>
      </c>
      <c r="D47" s="2700"/>
      <c r="E47" s="2700"/>
      <c r="F47" s="2701">
        <f>F21</f>
        <v>0.02</v>
      </c>
      <c r="G47" s="2702" t="s">
        <v>3459</v>
      </c>
    </row>
    <row r="48" spans="1:7" ht="14.4">
      <c r="A48" s="2697" t="s">
        <v>3460</v>
      </c>
      <c r="B48" s="2698" t="s">
        <v>3461</v>
      </c>
      <c r="C48" s="2703" t="str">
        <f>F48&amp;"V建1"</f>
        <v>0.02V建1</v>
      </c>
      <c r="D48" s="2700"/>
      <c r="E48" s="2700"/>
      <c r="F48" s="2701">
        <f>F22</f>
        <v>0.02</v>
      </c>
      <c r="G48" s="2702" t="s">
        <v>3462</v>
      </c>
    </row>
    <row r="49" spans="1:7" ht="14.4">
      <c r="A49" s="2697" t="s">
        <v>3463</v>
      </c>
      <c r="B49" s="2704" t="s">
        <v>3367</v>
      </c>
      <c r="C49" s="2600" t="str">
        <f ca="1">C50&amp;"+"&amp;C51&amp;"V建1"</f>
        <v>1026+0.0006V建1</v>
      </c>
      <c r="D49" s="296"/>
      <c r="E49" s="296"/>
      <c r="F49" s="2714">
        <f ca="1">F23</f>
        <v>3.1300000000000001E-2</v>
      </c>
      <c r="G49" s="4109" t="str">
        <f>IF('数据-取费表'!B22&lt;=1,"单利计息","复利计息")</f>
        <v>复利计息</v>
      </c>
    </row>
    <row r="50" spans="1:7">
      <c r="A50" s="2632" t="s">
        <v>3301</v>
      </c>
      <c r="B50" s="2635" t="s">
        <v>3371</v>
      </c>
      <c r="C50" s="2721">
        <f ca="1">ROUND(IF('数据-取费表'!B22&lt;=1,(C40+C47)*F49*'数据-取费表'!B22/2,(C40+C47)*(POWER((1+F49),'数据-取费表'!B22/2)-1)),0)</f>
        <v>1026</v>
      </c>
      <c r="D50" s="1037"/>
      <c r="E50" s="1037"/>
      <c r="F50" s="1020"/>
      <c r="G50" s="4547" t="s">
        <v>3317</v>
      </c>
    </row>
    <row r="51" spans="1:7">
      <c r="A51" s="2632" t="s">
        <v>3302</v>
      </c>
      <c r="B51" s="2636" t="s">
        <v>3307</v>
      </c>
      <c r="C51" s="2722">
        <f ca="1">ROUND(IF('数据-取费表'!B22&lt;=1,F48*F23*'数据-取费表'!B22/2,F48*(POWER((1+F23),'数据-取费表'!B22/2)-1)),4)</f>
        <v>5.9999999999999995E-4</v>
      </c>
      <c r="D51" s="1037"/>
      <c r="E51" s="1037"/>
      <c r="F51" s="1020"/>
      <c r="G51" s="4548"/>
    </row>
    <row r="52" spans="1:7" ht="14.4">
      <c r="A52" s="2697" t="s">
        <v>3464</v>
      </c>
      <c r="B52" s="2706" t="s">
        <v>3308</v>
      </c>
      <c r="C52" s="2707" t="str">
        <f ca="1">C53&amp;"+"&amp;C54&amp;"V建1"</f>
        <v>4919+0.003V建1</v>
      </c>
      <c r="D52" s="2708"/>
      <c r="E52" s="2700"/>
      <c r="F52" s="2709">
        <f ca="1">F27</f>
        <v>0.15</v>
      </c>
      <c r="G52" s="2710" t="s">
        <v>3465</v>
      </c>
    </row>
    <row r="53" spans="1:7">
      <c r="A53" s="2632" t="s">
        <v>3305</v>
      </c>
      <c r="B53" s="2635" t="s">
        <v>3309</v>
      </c>
      <c r="C53" s="2566">
        <f ca="1">ROUND((C40+C47)*F27,0)</f>
        <v>4919</v>
      </c>
      <c r="D53" s="2567"/>
      <c r="E53" s="2563"/>
      <c r="F53" s="2564"/>
      <c r="G53" s="2565"/>
    </row>
    <row r="54" spans="1:7">
      <c r="A54" s="2632" t="s">
        <v>3306</v>
      </c>
      <c r="B54" s="2635" t="s">
        <v>3310</v>
      </c>
      <c r="C54" s="2631">
        <f ca="1">ROUND(F48*F27,4)</f>
        <v>3.0000000000000001E-3</v>
      </c>
      <c r="D54" s="2567"/>
      <c r="E54" s="2563"/>
      <c r="F54" s="2564"/>
      <c r="G54" s="2565"/>
    </row>
    <row r="55" spans="1:7" ht="14.4">
      <c r="A55" s="2577" t="s">
        <v>3466</v>
      </c>
      <c r="B55" s="2711" t="s">
        <v>3467</v>
      </c>
      <c r="C55" s="2712">
        <v>0</v>
      </c>
      <c r="D55" s="2604"/>
      <c r="E55" s="296"/>
      <c r="F55" s="2705"/>
      <c r="G55" s="2713" t="s">
        <v>3313</v>
      </c>
    </row>
    <row r="56" spans="1:7" ht="16.8">
      <c r="A56" s="2577" t="s">
        <v>3472</v>
      </c>
      <c r="B56" s="2711" t="s">
        <v>3468</v>
      </c>
      <c r="C56" s="2600">
        <f ca="1">ROUND((C40+C47+C50+C53)/(1-F48-C51-C54),0)</f>
        <v>39672</v>
      </c>
      <c r="D56" s="296"/>
      <c r="E56" s="296"/>
      <c r="F56" s="2714"/>
      <c r="G56" s="2713" t="s">
        <v>3314</v>
      </c>
    </row>
    <row r="57" spans="1:7" ht="14.4">
      <c r="A57" s="2577" t="s">
        <v>3433</v>
      </c>
      <c r="B57" s="2715" t="s">
        <v>3311</v>
      </c>
      <c r="C57" s="2600">
        <f ca="1">ROUND(C56*(1-F57),0)</f>
        <v>3174</v>
      </c>
      <c r="D57" s="296"/>
      <c r="E57" s="296"/>
      <c r="F57" s="2714">
        <f>F31</f>
        <v>0.92</v>
      </c>
      <c r="G57" s="2713" t="s">
        <v>3315</v>
      </c>
    </row>
    <row r="58" spans="1:7" ht="16.8">
      <c r="A58" s="2577" t="s">
        <v>3469</v>
      </c>
      <c r="B58" s="2711" t="s">
        <v>3470</v>
      </c>
      <c r="C58" s="2600">
        <f ca="1">C56-C57</f>
        <v>36498</v>
      </c>
      <c r="D58" s="296"/>
      <c r="E58" s="296"/>
      <c r="F58" s="2714"/>
      <c r="G58" s="2713" t="s">
        <v>3316</v>
      </c>
    </row>
    <row r="59" spans="1:7" ht="15" thickBot="1">
      <c r="A59" s="4110" t="s">
        <v>3370</v>
      </c>
      <c r="B59" s="4111" t="s">
        <v>3312</v>
      </c>
      <c r="C59" s="4112">
        <f ca="1">ROUND(C58*(1+F59),0)</f>
        <v>39783</v>
      </c>
      <c r="D59" s="4113"/>
      <c r="E59" s="4113"/>
      <c r="F59" s="4114">
        <f>F33</f>
        <v>0.09</v>
      </c>
      <c r="G59" s="4115" t="s">
        <v>3471</v>
      </c>
    </row>
    <row r="60" spans="1:7" ht="15.6">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B10" sqref="B1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1432</v>
      </c>
      <c r="B1" s="2905"/>
      <c r="C1" s="3430"/>
      <c r="D1" s="1367" t="s">
        <v>1504</v>
      </c>
      <c r="E1" s="93"/>
      <c r="F1" s="93"/>
      <c r="G1" s="778">
        <f>MATCH(B1,'数据-取费表'!A6:A16,0)+5</f>
        <v>10</v>
      </c>
      <c r="H1" s="3124" t="str">
        <f>IF(ISERROR(FIND("住宅",B1)),"非住宅","住宅")</f>
        <v>非住宅</v>
      </c>
    </row>
    <row r="2" spans="1:10" s="95" customFormat="1" ht="15.6">
      <c r="A2" s="96" t="s">
        <v>1433</v>
      </c>
      <c r="B2" s="3790">
        <f ca="1">ROUND(D3/10000,4)</f>
        <v>37420.138200000001</v>
      </c>
      <c r="C2" s="94" t="s">
        <v>1434</v>
      </c>
      <c r="D2" s="1361" t="s">
        <v>41</v>
      </c>
      <c r="E2" s="2574">
        <f ca="1">IF(D2="——",0,SUMIF(INDIRECT("'"&amp;G2&amp;"'"&amp;"!A:A"),"承租人权益价值",INDIRECT("'"&amp;G2&amp;"'"&amp;"!c:c")))</f>
        <v>0</v>
      </c>
      <c r="F2" s="1362" t="s">
        <v>1434</v>
      </c>
      <c r="G2" s="1363"/>
    </row>
    <row r="3" spans="1:10" s="95" customFormat="1" ht="16.2" thickBot="1">
      <c r="A3" s="98" t="s">
        <v>673</v>
      </c>
      <c r="B3" s="2589">
        <f ca="1">ROUND(D3/(IF(B1="",'数据-汇总表'!E3,INDIRECT("'数据-取费表'!k"&amp;$G$1))),0)</f>
        <v>6518</v>
      </c>
      <c r="C3" s="94" t="s">
        <v>1436</v>
      </c>
      <c r="D3" s="94">
        <f ca="1">IF(C1="含税",E2+C33,E2+C32)</f>
        <v>374201382</v>
      </c>
      <c r="E3" s="2575"/>
      <c r="F3" s="94"/>
      <c r="G3" s="94"/>
    </row>
    <row r="4" spans="1:10" s="95" customFormat="1" ht="16.2" thickBot="1">
      <c r="A4" s="2633" t="s">
        <v>3326</v>
      </c>
      <c r="B4" s="2634" t="s">
        <v>3327</v>
      </c>
      <c r="C4" s="2572" t="s">
        <v>3962</v>
      </c>
      <c r="D4" s="2609" t="s">
        <v>3332</v>
      </c>
      <c r="E4" s="2610" t="s">
        <v>3333</v>
      </c>
      <c r="F4" s="2610" t="s">
        <v>3334</v>
      </c>
      <c r="G4" s="2573" t="s">
        <v>3328</v>
      </c>
    </row>
    <row r="5" spans="1:10" s="103" customFormat="1" ht="15.6">
      <c r="A5" s="2611" t="s">
        <v>3325</v>
      </c>
      <c r="B5" s="2612" t="s">
        <v>3329</v>
      </c>
      <c r="C5" s="2585">
        <f ca="1">ROUND((C6+C9+C21+C24+C25+C28)/(1-F22-C26-C29),0)</f>
        <v>405939780</v>
      </c>
      <c r="D5" s="2613"/>
      <c r="E5" s="2613"/>
      <c r="F5" s="2613"/>
      <c r="G5" s="2770" t="s">
        <v>3473</v>
      </c>
      <c r="J5" s="95"/>
    </row>
    <row r="6" spans="1:10" s="2599" customFormat="1" ht="15">
      <c r="A6" s="2577" t="s">
        <v>3335</v>
      </c>
      <c r="B6" s="2637" t="s">
        <v>3336</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3283</v>
      </c>
      <c r="C9" s="2600">
        <f ca="1">C10+C11+C12+C13+C19+C20</f>
        <v>328949330</v>
      </c>
      <c r="D9" s="2621"/>
      <c r="E9" s="2622"/>
      <c r="F9" s="2623"/>
      <c r="G9" s="2624"/>
      <c r="J9" s="95"/>
    </row>
    <row r="10" spans="1:10" s="109" customFormat="1" ht="15">
      <c r="A10" s="2640" t="s">
        <v>344</v>
      </c>
      <c r="B10" s="2641" t="s">
        <v>3319</v>
      </c>
      <c r="C10" s="2587">
        <f ca="1">ROUND(IF(B1="",SUMPRODUCT('数据-取费表'!K6:K14,'数据-取费表'!L6:L14),INDIRECT("'数据-取费表'!l"&amp;$G$1)*INDIRECT("'数据-取费表'!k"&amp;$G$1)+'数据-取费表'!L14*INDIRECT("'数据-取费表'!S"&amp;$G$1)),0)</f>
        <v>287041300</v>
      </c>
      <c r="D10" s="2617"/>
      <c r="E10" s="144"/>
      <c r="F10" s="2625">
        <f ca="1">IF('数据-取费表'!B24=0,1,IF(B1="",'数据-取费表'!N16,INDIRECT("'数据-取费表'!n"&amp;$G$1)))</f>
        <v>1</v>
      </c>
      <c r="G10" s="156" t="s">
        <v>1471</v>
      </c>
      <c r="J10" s="95"/>
    </row>
    <row r="11" spans="1:10" s="109" customFormat="1" ht="15">
      <c r="A11" s="2640" t="s">
        <v>349</v>
      </c>
      <c r="B11" s="2641" t="s">
        <v>3320</v>
      </c>
      <c r="C11" s="2587">
        <f ca="1">ROUND(C10*F11,0)</f>
        <v>14352065</v>
      </c>
      <c r="D11" s="144"/>
      <c r="E11" s="144"/>
      <c r="F11" s="2598">
        <f>'数据-取费表'!B33</f>
        <v>0.05</v>
      </c>
      <c r="G11" s="156" t="s">
        <v>1473</v>
      </c>
      <c r="J11" s="95"/>
    </row>
    <row r="12" spans="1:10" s="109" customFormat="1" ht="15">
      <c r="A12" s="2640" t="s">
        <v>350</v>
      </c>
      <c r="B12" s="2641" t="s">
        <v>3321</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3284</v>
      </c>
      <c r="B13" s="2641" t="s">
        <v>3322</v>
      </c>
      <c r="C13" s="2587">
        <f ca="1">C14+C17+C18</f>
        <v>24685552</v>
      </c>
      <c r="D13" s="144"/>
      <c r="E13" s="2618"/>
      <c r="F13" s="2619"/>
      <c r="G13" s="156"/>
      <c r="J13" s="95"/>
    </row>
    <row r="14" spans="1:10" s="118" customFormat="1" ht="15">
      <c r="A14" s="2570" t="s">
        <v>3285</v>
      </c>
      <c r="B14" s="2642" t="s">
        <v>3318</v>
      </c>
      <c r="C14" s="2587">
        <f>IF(G14="已包含在土地购买价格中","0",IF(B1="",'数据-取费表'!B29,IF(G15="全部缴纳",C15+C16,H15)))</f>
        <v>0</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11481652</v>
      </c>
      <c r="D16" s="2627">
        <f ca="1">IF(B1="",'数据-汇总表'!E6,IF(INDIRECT("'数据-取费表'!c"&amp;$G$1)="住宅",INDIRECT("'数据-取费表'!s"&amp;$G$1),INDIRECT("'数据-取费表'!k"&amp;$G$1)+INDIRECT("'数据-取费表'!s"&amp;$G$1)))</f>
        <v>57408.26</v>
      </c>
      <c r="E16" s="2627">
        <f>'数据-取费表'!B28</f>
        <v>200</v>
      </c>
      <c r="F16" s="2619"/>
      <c r="G16" s="121"/>
      <c r="J16" s="95"/>
    </row>
    <row r="17" spans="1:10" s="109" customFormat="1" ht="15">
      <c r="A17" s="2570" t="s">
        <v>3286</v>
      </c>
      <c r="B17" s="2645" t="s">
        <v>3291</v>
      </c>
      <c r="C17" s="2587">
        <f ca="1">IF(G17="已包含在土地取得成本中","0",ROUND(D17*E17,0))</f>
        <v>7463074</v>
      </c>
      <c r="D17" s="2628">
        <f ca="1">D15+D16</f>
        <v>57408.26</v>
      </c>
      <c r="E17" s="2628">
        <f>'数据-取费表'!B31</f>
        <v>130</v>
      </c>
      <c r="F17" s="2595"/>
      <c r="G17" s="1364"/>
      <c r="J17" s="95"/>
    </row>
    <row r="18" spans="1:10" s="109" customFormat="1" ht="15">
      <c r="A18" s="2646" t="s">
        <v>3287</v>
      </c>
      <c r="B18" s="2645" t="s">
        <v>1476</v>
      </c>
      <c r="C18" s="2587">
        <f ca="1">ROUND(E18*D18*F10,0)</f>
        <v>17222478</v>
      </c>
      <c r="D18" s="2587">
        <f ca="1">D17</f>
        <v>57408.26</v>
      </c>
      <c r="E18" s="2587">
        <f>'数据-取费表'!B35</f>
        <v>300</v>
      </c>
      <c r="F18" s="2598"/>
      <c r="G18" s="156" t="s">
        <v>1477</v>
      </c>
      <c r="J18" s="95"/>
    </row>
    <row r="19" spans="1:10" s="109" customFormat="1" ht="15">
      <c r="A19" s="2640" t="s">
        <v>352</v>
      </c>
      <c r="B19" s="2641" t="s">
        <v>3323</v>
      </c>
      <c r="C19" s="2587">
        <f ca="1">ROUND(C10*F19,0)</f>
        <v>2870413</v>
      </c>
      <c r="D19" s="144"/>
      <c r="E19" s="144"/>
      <c r="F19" s="2598">
        <f>'数据-取费表'!B36</f>
        <v>0.01</v>
      </c>
      <c r="G19" s="156" t="s">
        <v>1473</v>
      </c>
      <c r="J19" s="95"/>
    </row>
    <row r="20" spans="1:10" s="109" customFormat="1" ht="15">
      <c r="A20" s="2640" t="s">
        <v>3288</v>
      </c>
      <c r="B20" s="2641" t="s">
        <v>3324</v>
      </c>
      <c r="C20" s="2587">
        <f ca="1">ROUND(C10*F20,0)</f>
        <v>0</v>
      </c>
      <c r="D20" s="2629"/>
      <c r="E20" s="140"/>
      <c r="F20" s="2598">
        <f>'数据-取费表'!B37</f>
        <v>0</v>
      </c>
      <c r="G20" s="156" t="s">
        <v>1473</v>
      </c>
      <c r="J20" s="95"/>
    </row>
    <row r="21" spans="1:10" s="2599" customFormat="1" ht="15">
      <c r="A21" s="2577" t="s">
        <v>3337</v>
      </c>
      <c r="B21" s="2637" t="s">
        <v>3338</v>
      </c>
      <c r="C21" s="2600">
        <f ca="1">ROUND((C6+C9)*F21,0)</f>
        <v>6578987</v>
      </c>
      <c r="D21" s="2601"/>
      <c r="E21" s="2601"/>
      <c r="F21" s="2605">
        <f>'数据-取费表'!B38</f>
        <v>0.02</v>
      </c>
      <c r="G21" s="2602" t="s">
        <v>3339</v>
      </c>
      <c r="J21" s="95"/>
    </row>
    <row r="22" spans="1:10" s="2599" customFormat="1" ht="15">
      <c r="A22" s="2577" t="s">
        <v>3340</v>
      </c>
      <c r="B22" s="2637" t="s">
        <v>3341</v>
      </c>
      <c r="C22" s="2603" t="str">
        <f>F22&amp;"V"</f>
        <v>0.02V</v>
      </c>
      <c r="D22" s="296"/>
      <c r="E22" s="2601"/>
      <c r="F22" s="2605">
        <f>'数据-取费表'!B39</f>
        <v>0.02</v>
      </c>
      <c r="G22" s="3643" t="s">
        <v>3681</v>
      </c>
      <c r="J22" s="95"/>
    </row>
    <row r="23" spans="1:10" s="2599" customFormat="1" ht="15">
      <c r="A23" s="2577" t="s">
        <v>3342</v>
      </c>
      <c r="B23" s="2639" t="s">
        <v>3292</v>
      </c>
      <c r="C23" s="2578" t="str">
        <f ca="1">SUM(C24:C25)&amp;"+"&amp;C26&amp;"V"</f>
        <v>10502036+0.0006V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3293</v>
      </c>
      <c r="C25" s="2593">
        <f ca="1">ROUND(IF('数据-取费表'!B22&lt;=1,(C9+C21)*F23*'数据-取费表'!B23/2,(C9+C21)*(POWER((1+F23),'数据-取费表'!B23/2)-1)),0)</f>
        <v>10502036</v>
      </c>
      <c r="D25" s="133"/>
      <c r="E25" s="133"/>
      <c r="F25" s="2594"/>
      <c r="G25" s="4032" t="s">
        <v>3816</v>
      </c>
      <c r="J25" s="95"/>
    </row>
    <row r="26" spans="1:10" s="109" customFormat="1" ht="15">
      <c r="A26" s="2647" t="s">
        <v>348</v>
      </c>
      <c r="B26" s="2645" t="s">
        <v>1458</v>
      </c>
      <c r="C26" s="2590">
        <f ca="1">ROUND(IF('数据-取费表'!B22&lt;=1,F22*F23*'数据-取费表'!B23/2,F22*(POWER((1+F23),'数据-取费表'!B23/2)-1)),4)</f>
        <v>5.9999999999999995E-4</v>
      </c>
      <c r="D26" s="133"/>
      <c r="E26" s="136"/>
      <c r="F26" s="2594"/>
      <c r="G26" s="138"/>
      <c r="J26" s="95"/>
    </row>
    <row r="27" spans="1:10" s="2599" customFormat="1" ht="15">
      <c r="A27" s="2577" t="s">
        <v>3343</v>
      </c>
      <c r="B27" s="2639" t="s">
        <v>3294</v>
      </c>
      <c r="C27" s="2606" t="str">
        <f ca="1">C28&amp;"+"&amp;C29&amp;"V"</f>
        <v>50329248+0.003V</v>
      </c>
      <c r="D27" s="2604"/>
      <c r="E27" s="296"/>
      <c r="F27" s="2607">
        <f ca="1">IF(B1="",'数据-取费表'!Q16,INDIRECT("'数据-取费表'!q"&amp;$G$1))</f>
        <v>0.15</v>
      </c>
      <c r="G27" s="2602" t="s">
        <v>3344</v>
      </c>
      <c r="J27" s="95"/>
    </row>
    <row r="28" spans="1:10" s="109" customFormat="1" ht="15">
      <c r="A28" s="2640" t="s">
        <v>344</v>
      </c>
      <c r="B28" s="2645" t="s">
        <v>1463</v>
      </c>
      <c r="C28" s="2571">
        <f ca="1">ROUND(C6*F27*'数据-取费表'!B23/'数据-取费表'!B22+(C9+C21)*F27,0)</f>
        <v>50329248</v>
      </c>
      <c r="D28" s="130"/>
      <c r="E28" s="131"/>
      <c r="F28" s="2595"/>
      <c r="G28" s="142"/>
      <c r="J28" s="95"/>
    </row>
    <row r="29" spans="1:10" s="109" customFormat="1" ht="15">
      <c r="A29" s="2640" t="s">
        <v>345</v>
      </c>
      <c r="B29" s="2645" t="s">
        <v>1464</v>
      </c>
      <c r="C29" s="2590">
        <f ca="1">ROUND(F22*F27,4)</f>
        <v>3.0000000000000001E-3</v>
      </c>
      <c r="D29" s="130"/>
      <c r="E29" s="131"/>
      <c r="F29" s="2595"/>
      <c r="G29" s="142"/>
      <c r="J29" s="95"/>
    </row>
    <row r="30" spans="1:10" s="2599" customFormat="1" ht="15">
      <c r="A30" s="2577" t="s">
        <v>3345</v>
      </c>
      <c r="B30" s="2637" t="s">
        <v>3346</v>
      </c>
      <c r="C30" s="2600">
        <v>0</v>
      </c>
      <c r="D30" s="296"/>
      <c r="E30" s="2579"/>
      <c r="F30" s="2605"/>
      <c r="G30" s="2608" t="s">
        <v>3295</v>
      </c>
      <c r="J30" s="95"/>
    </row>
    <row r="31" spans="1:10" s="109" customFormat="1" ht="15.6">
      <c r="A31" s="2648">
        <v>2</v>
      </c>
      <c r="B31" s="2649" t="s">
        <v>3296</v>
      </c>
      <c r="C31" s="2591">
        <f ca="1">C57</f>
        <v>31738398</v>
      </c>
      <c r="D31" s="2581"/>
      <c r="E31" s="2581"/>
      <c r="F31" s="2596">
        <f>IF('数据-取费表'!B24=0,'数据-取费表'!N16,1)</f>
        <v>0.92</v>
      </c>
      <c r="G31" s="2582" t="s">
        <v>3815</v>
      </c>
      <c r="J31" s="95"/>
    </row>
    <row r="32" spans="1:10" s="109" customFormat="1" ht="15.6">
      <c r="A32" s="2569" t="s">
        <v>3297</v>
      </c>
      <c r="B32" s="2568" t="s">
        <v>3298</v>
      </c>
      <c r="C32" s="2591">
        <f ca="1">C5-C31</f>
        <v>374201382</v>
      </c>
      <c r="D32" s="2581"/>
      <c r="E32" s="2581"/>
      <c r="F32" s="2580"/>
      <c r="G32" s="2583" t="s">
        <v>3330</v>
      </c>
      <c r="J32" s="95"/>
    </row>
    <row r="33" spans="1:10" s="109" customFormat="1" ht="16.2" thickBot="1">
      <c r="A33" s="2650">
        <v>4</v>
      </c>
      <c r="B33" s="2651" t="s">
        <v>3331</v>
      </c>
      <c r="C33" s="2592">
        <f ca="1">ROUND(C32*(1+F33),0)</f>
        <v>407879506</v>
      </c>
      <c r="D33" s="2584"/>
      <c r="E33" s="2584"/>
      <c r="F33" s="2597">
        <f>IF(G33="其他类型公式—成本价值×（1+9%）",9%,3%)</f>
        <v>0.09</v>
      </c>
      <c r="G33" s="3644" t="s">
        <v>3689</v>
      </c>
      <c r="J33" s="95"/>
    </row>
    <row r="34" spans="1:10" s="118" customFormat="1" ht="15">
      <c r="J34" s="95"/>
    </row>
    <row r="35" spans="1:10" s="109" customFormat="1"/>
    <row r="36" spans="1:10" s="109" customFormat="1"/>
    <row r="37" spans="1:10" s="109" customFormat="1"/>
    <row r="38" spans="1:10" ht="15" thickBot="1">
      <c r="A38" s="2846" t="s">
        <v>3299</v>
      </c>
      <c r="B38" s="2847"/>
      <c r="C38" s="2847"/>
      <c r="D38" s="2847"/>
      <c r="E38" s="2847"/>
      <c r="F38" s="2847"/>
      <c r="G38" s="2848"/>
    </row>
    <row r="39" spans="1:10" ht="15" thickBot="1">
      <c r="A39" s="2849" t="s">
        <v>3326</v>
      </c>
      <c r="B39" s="2850" t="s">
        <v>3327</v>
      </c>
      <c r="C39" s="2851" t="s">
        <v>3962</v>
      </c>
      <c r="D39" s="2852" t="s">
        <v>3453</v>
      </c>
      <c r="E39" s="2853" t="s">
        <v>3454</v>
      </c>
      <c r="F39" s="2853" t="s">
        <v>3455</v>
      </c>
      <c r="G39" s="2854" t="s">
        <v>3328</v>
      </c>
    </row>
    <row r="40" spans="1:10" ht="14.4">
      <c r="A40" s="2855" t="s">
        <v>3456</v>
      </c>
      <c r="B40" s="2856" t="s">
        <v>3300</v>
      </c>
      <c r="C40" s="2857">
        <f ca="1">SUM(C41:C46)</f>
        <v>321486256</v>
      </c>
      <c r="D40" s="2855"/>
      <c r="E40" s="2855"/>
      <c r="F40" s="2855"/>
      <c r="G40" s="2855"/>
    </row>
    <row r="41" spans="1:10" ht="15.6">
      <c r="A41" s="2632" t="s">
        <v>3301</v>
      </c>
      <c r="B41" s="2696" t="str">
        <f t="shared" ref="B41:C43" si="0">B10</f>
        <v xml:space="preserve">  建安费用</v>
      </c>
      <c r="C41" s="2566">
        <f t="shared" ca="1" si="0"/>
        <v>287041300</v>
      </c>
      <c r="D41" s="2561"/>
      <c r="E41" s="2561"/>
      <c r="F41" s="2562"/>
      <c r="G41" s="2562"/>
    </row>
    <row r="42" spans="1:10" ht="15.6">
      <c r="A42" s="2632" t="s">
        <v>3302</v>
      </c>
      <c r="B42" s="2696" t="str">
        <f t="shared" si="0"/>
        <v xml:space="preserve">  前期费用</v>
      </c>
      <c r="C42" s="2566">
        <f t="shared" ca="1" si="0"/>
        <v>14352065</v>
      </c>
      <c r="D42" s="2561"/>
      <c r="E42" s="2561"/>
      <c r="F42" s="2562"/>
      <c r="G42" s="2562"/>
    </row>
    <row r="43" spans="1:10" ht="15.6">
      <c r="A43" s="2632" t="s">
        <v>3369</v>
      </c>
      <c r="B43" s="2636" t="str">
        <f t="shared" si="0"/>
        <v xml:space="preserve">  公共配套设施费用</v>
      </c>
      <c r="C43" s="2566">
        <f t="shared" ca="1" si="0"/>
        <v>0</v>
      </c>
      <c r="D43" s="2561"/>
      <c r="E43" s="2561"/>
      <c r="F43" s="2562"/>
      <c r="G43" s="2562"/>
    </row>
    <row r="44" spans="1:10" ht="15.6">
      <c r="A44" s="2632" t="s">
        <v>3284</v>
      </c>
      <c r="B44" s="2636" t="str">
        <f>B18</f>
        <v>红线内市政费用</v>
      </c>
      <c r="C44" s="2566">
        <f ca="1">C18</f>
        <v>17222478</v>
      </c>
      <c r="D44" s="2561"/>
      <c r="E44" s="2561"/>
      <c r="F44" s="2562"/>
      <c r="G44" s="2562"/>
    </row>
    <row r="45" spans="1:10" ht="15.6">
      <c r="A45" s="2647" t="s">
        <v>3303</v>
      </c>
      <c r="B45" s="2642" t="str">
        <f>B19</f>
        <v xml:space="preserve">  其他工程费</v>
      </c>
      <c r="C45" s="2571">
        <f ca="1">C19</f>
        <v>2870413</v>
      </c>
      <c r="D45" s="2695"/>
      <c r="E45" s="2695"/>
      <c r="F45" s="2574"/>
      <c r="G45" s="2574"/>
    </row>
    <row r="46" spans="1:10" ht="15.6">
      <c r="A46" s="2647" t="s">
        <v>3368</v>
      </c>
      <c r="B46" s="2642" t="s">
        <v>3304</v>
      </c>
      <c r="C46" s="2571">
        <f ca="1">C20</f>
        <v>0</v>
      </c>
      <c r="D46" s="2695"/>
      <c r="E46" s="2695"/>
      <c r="F46" s="2574"/>
      <c r="G46" s="2574"/>
    </row>
    <row r="47" spans="1:10" ht="14.4">
      <c r="A47" s="2697" t="s">
        <v>3457</v>
      </c>
      <c r="B47" s="2698" t="s">
        <v>3458</v>
      </c>
      <c r="C47" s="2699">
        <f ca="1">ROUND(C40*F47,0)</f>
        <v>6429725</v>
      </c>
      <c r="D47" s="2700"/>
      <c r="E47" s="2700"/>
      <c r="F47" s="2701">
        <f>F21</f>
        <v>0.02</v>
      </c>
      <c r="G47" s="2702" t="s">
        <v>3459</v>
      </c>
    </row>
    <row r="48" spans="1:10" ht="14.4">
      <c r="A48" s="2697" t="s">
        <v>3460</v>
      </c>
      <c r="B48" s="2698" t="s">
        <v>3461</v>
      </c>
      <c r="C48" s="2703" t="str">
        <f>F48&amp;"V建1"</f>
        <v>0.02V建1</v>
      </c>
      <c r="D48" s="2700"/>
      <c r="E48" s="2700"/>
      <c r="F48" s="2701">
        <f>F22</f>
        <v>0.02</v>
      </c>
      <c r="G48" s="2702" t="s">
        <v>3462</v>
      </c>
    </row>
    <row r="49" spans="1:7" ht="14.4">
      <c r="A49" s="2697" t="s">
        <v>3463</v>
      </c>
      <c r="B49" s="2704" t="s">
        <v>3367</v>
      </c>
      <c r="C49" s="2600" t="str">
        <f ca="1">C50&amp;"+"&amp;C51&amp;"V建1"</f>
        <v>10263770+0.0006V建1</v>
      </c>
      <c r="D49" s="296"/>
      <c r="E49" s="296"/>
      <c r="F49" s="2705">
        <f ca="1">F23</f>
        <v>3.1300000000000001E-2</v>
      </c>
      <c r="G49" s="2858" t="str">
        <f>IF('数据-取费表'!B22&lt;=1,"单利计息","复利计息")</f>
        <v>复利计息</v>
      </c>
    </row>
    <row r="50" spans="1:7">
      <c r="A50" s="2632" t="s">
        <v>3301</v>
      </c>
      <c r="B50" s="2635" t="s">
        <v>3371</v>
      </c>
      <c r="C50" s="2721">
        <f ca="1">ROUND(IF('数据-取费表'!B22&lt;=1,(C40+C47)*F49*'数据-取费表'!B22/2,(C40+C47)*(POWER((1+F49),'数据-取费表'!B22/2)-1)),0)</f>
        <v>10263770</v>
      </c>
      <c r="D50" s="1037"/>
      <c r="E50" s="1037"/>
      <c r="F50" s="1020"/>
      <c r="G50" s="4547" t="s">
        <v>3317</v>
      </c>
    </row>
    <row r="51" spans="1:7">
      <c r="A51" s="2632" t="s">
        <v>3302</v>
      </c>
      <c r="B51" s="2636" t="s">
        <v>3307</v>
      </c>
      <c r="C51" s="2722">
        <f ca="1">ROUND(IF('数据-取费表'!B22&lt;=1,F48*F23*'数据-取费表'!B22/2,F48*(POWER((1+F23),'数据-取费表'!B22/2)-1)),4)</f>
        <v>5.9999999999999995E-4</v>
      </c>
      <c r="D51" s="1037"/>
      <c r="E51" s="1037"/>
      <c r="F51" s="1020"/>
      <c r="G51" s="4548"/>
    </row>
    <row r="52" spans="1:7" ht="14.4">
      <c r="A52" s="2697" t="s">
        <v>3464</v>
      </c>
      <c r="B52" s="2706" t="s">
        <v>3308</v>
      </c>
      <c r="C52" s="2707" t="str">
        <f ca="1">C53&amp;"+"&amp;C54&amp;"V建1"</f>
        <v>49187397+0.003V建1</v>
      </c>
      <c r="D52" s="2708"/>
      <c r="E52" s="2700"/>
      <c r="F52" s="2709">
        <f ca="1">F27</f>
        <v>0.15</v>
      </c>
      <c r="G52" s="2710" t="s">
        <v>3465</v>
      </c>
    </row>
    <row r="53" spans="1:7">
      <c r="A53" s="2632" t="s">
        <v>3301</v>
      </c>
      <c r="B53" s="2635" t="s">
        <v>3309</v>
      </c>
      <c r="C53" s="2566">
        <f ca="1">ROUND((C40+C47)*F27,0)</f>
        <v>49187397</v>
      </c>
      <c r="D53" s="2567"/>
      <c r="E53" s="2563"/>
      <c r="F53" s="2564"/>
      <c r="G53" s="2565"/>
    </row>
    <row r="54" spans="1:7">
      <c r="A54" s="2632" t="s">
        <v>3302</v>
      </c>
      <c r="B54" s="2635" t="s">
        <v>3310</v>
      </c>
      <c r="C54" s="2631">
        <f ca="1">ROUND(F48*F27,4)</f>
        <v>3.0000000000000001E-3</v>
      </c>
      <c r="D54" s="2567"/>
      <c r="E54" s="2563"/>
      <c r="F54" s="2564"/>
      <c r="G54" s="2565"/>
    </row>
    <row r="55" spans="1:7" ht="14.4">
      <c r="A55" s="2577" t="s">
        <v>3466</v>
      </c>
      <c r="B55" s="2711" t="s">
        <v>3467</v>
      </c>
      <c r="C55" s="2712">
        <v>0</v>
      </c>
      <c r="D55" s="2604"/>
      <c r="E55" s="296"/>
      <c r="F55" s="2705"/>
      <c r="G55" s="2713" t="s">
        <v>3313</v>
      </c>
    </row>
    <row r="56" spans="1:7" ht="16.8">
      <c r="A56" s="2577" t="s">
        <v>3472</v>
      </c>
      <c r="B56" s="2711" t="s">
        <v>3468</v>
      </c>
      <c r="C56" s="2600">
        <f ca="1">ROUND((C40+C47+C50+C53)/(1-F48-C51-C54),0)</f>
        <v>396729975</v>
      </c>
      <c r="D56" s="296"/>
      <c r="E56" s="296"/>
      <c r="F56" s="2714"/>
      <c r="G56" s="2713" t="s">
        <v>3314</v>
      </c>
    </row>
    <row r="57" spans="1:7" ht="14.4">
      <c r="A57" s="2577" t="s">
        <v>3433</v>
      </c>
      <c r="B57" s="2715" t="s">
        <v>3296</v>
      </c>
      <c r="C57" s="2600">
        <f ca="1">ROUND(C56*(1-F57),0)</f>
        <v>31738398</v>
      </c>
      <c r="D57" s="296"/>
      <c r="E57" s="296"/>
      <c r="F57" s="2714">
        <f>F31</f>
        <v>0.92</v>
      </c>
      <c r="G57" s="2713" t="s">
        <v>3315</v>
      </c>
    </row>
    <row r="58" spans="1:7" ht="16.8">
      <c r="A58" s="2577" t="s">
        <v>3469</v>
      </c>
      <c r="B58" s="2711" t="s">
        <v>3470</v>
      </c>
      <c r="C58" s="2600">
        <f ca="1">C56-C57</f>
        <v>364991577</v>
      </c>
      <c r="D58" s="296"/>
      <c r="E58" s="296"/>
      <c r="F58" s="2714"/>
      <c r="G58" s="2713" t="s">
        <v>3316</v>
      </c>
    </row>
    <row r="59" spans="1:7" ht="14.4">
      <c r="A59" s="2716" t="s">
        <v>3370</v>
      </c>
      <c r="B59" s="2717" t="s">
        <v>3312</v>
      </c>
      <c r="C59" s="2718">
        <f ca="1">ROUND(C58*(1+F59),0)</f>
        <v>397840819</v>
      </c>
      <c r="D59" s="2719"/>
      <c r="E59" s="2719"/>
      <c r="F59" s="2720">
        <f>F33</f>
        <v>0.09</v>
      </c>
      <c r="G59" s="2719" t="s">
        <v>3471</v>
      </c>
    </row>
    <row r="60" spans="1:7" ht="15.6">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1432</v>
      </c>
      <c r="B1" s="1043"/>
      <c r="C1" s="1367" t="s">
        <v>1504</v>
      </c>
      <c r="D1" s="93"/>
      <c r="E1" s="93"/>
      <c r="F1" s="93"/>
      <c r="G1" s="778">
        <f>MATCH(B1,'数据-取费表'!A6:A16,0)+5</f>
        <v>10</v>
      </c>
      <c r="H1" s="721" t="str">
        <f>IF(ISERROR(FIND("住宅",B1)),"非住宅","住宅")</f>
        <v>非住宅</v>
      </c>
    </row>
    <row r="2" spans="1:8" s="95" customFormat="1" ht="18" customHeight="1">
      <c r="A2" s="96" t="s">
        <v>1433</v>
      </c>
      <c r="B2" s="2535">
        <f ca="1">ROUND(IF(D2="——",C52/10000,C52/10000-E2),4)</f>
        <v>41539.312100000003</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7236</v>
      </c>
      <c r="C3" s="94" t="s">
        <v>1436</v>
      </c>
      <c r="D3" s="94"/>
      <c r="E3" s="94"/>
      <c r="F3" s="94"/>
      <c r="G3" s="94"/>
    </row>
    <row r="4" spans="1:8" s="103" customFormat="1" ht="16.2">
      <c r="A4" s="100" t="s">
        <v>1437</v>
      </c>
      <c r="B4" s="101"/>
      <c r="C4" s="101"/>
      <c r="D4" s="101"/>
      <c r="E4" s="101"/>
      <c r="F4" s="101"/>
      <c r="G4" s="102"/>
    </row>
    <row r="5" spans="1:8" s="109" customFormat="1" ht="13.5" customHeight="1">
      <c r="A5" s="150" t="s">
        <v>1438</v>
      </c>
      <c r="B5" s="105" t="s">
        <v>1439</v>
      </c>
      <c r="C5" s="106">
        <f ca="1">C6+C7+C8</f>
        <v>32112262</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11481652</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11481652</v>
      </c>
      <c r="D10" s="556">
        <f ca="1">IF(B1="",'数据-汇总表'!E6,IF(INDIRECT("'数据-取费表'!c"&amp;$G$1)="住宅",INDIRECT("'数据-取费表'!s"&amp;$G$1),INDIRECT("'数据-取费表'!k"&amp;$G$1)+INDIRECT("'数据-取费表'!s"&amp;$G$1)))</f>
        <v>57408.26</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7463074</v>
      </c>
      <c r="D19" s="107">
        <f ca="1">D9+D10</f>
        <v>57408.26</v>
      </c>
      <c r="E19" s="106">
        <f>'数据-取费表'!B31</f>
        <v>130</v>
      </c>
      <c r="F19" s="126"/>
      <c r="G19" s="1364"/>
    </row>
    <row r="20" spans="1:7" s="109" customFormat="1" ht="13.5" customHeight="1">
      <c r="A20" s="150" t="s">
        <v>1515</v>
      </c>
      <c r="B20" s="105" t="s">
        <v>1516</v>
      </c>
      <c r="C20" s="127">
        <f ca="1">ROUND((C5+C19)*F20,0)</f>
        <v>791507</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2540962</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2041688</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474500</v>
      </c>
      <c r="D24" s="133"/>
      <c r="E24" s="133"/>
      <c r="F24" s="134"/>
      <c r="G24" s="135" t="s">
        <v>1527</v>
      </c>
    </row>
    <row r="25" spans="1:7" s="109" customFormat="1" ht="24">
      <c r="A25" s="531" t="s">
        <v>1447</v>
      </c>
      <c r="B25" s="110" t="s">
        <v>1528</v>
      </c>
      <c r="C25" s="133">
        <f ca="1">ROUND(IF('数据-取费表'!B22&lt;=1,C20*F22*'数据-取费表'!B22/2,C20*(POWER((1+F22),'数据-取费表'!B22/2)-1)),0)</f>
        <v>24774</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6.4">
      <c r="A27" s="150" t="s">
        <v>1459</v>
      </c>
      <c r="B27" s="139" t="s">
        <v>1460</v>
      </c>
      <c r="C27" s="140">
        <f ca="1">C28</f>
        <v>6055026</v>
      </c>
      <c r="D27" s="130">
        <f ca="1">C29</f>
        <v>3.0000000000000001E-3</v>
      </c>
      <c r="E27" s="131" t="s">
        <v>1461</v>
      </c>
      <c r="F27" s="141">
        <f ca="1">IF(B1="",'数据-取费表'!Q16,INDIRECT("'数据-取费表'!q"&amp;$G$1))</f>
        <v>0.15</v>
      </c>
      <c r="G27" s="142" t="s">
        <v>1462</v>
      </c>
    </row>
    <row r="28" spans="1:7" s="109" customFormat="1" ht="13.5" customHeight="1">
      <c r="A28" s="531" t="s">
        <v>344</v>
      </c>
      <c r="B28" s="143" t="s">
        <v>1463</v>
      </c>
      <c r="C28" s="144">
        <f ca="1">ROUND((C5+C19+C20)*F27,0)</f>
        <v>6055026</v>
      </c>
      <c r="D28" s="130"/>
      <c r="E28" s="131"/>
      <c r="F28" s="141"/>
      <c r="G28" s="142"/>
    </row>
    <row r="29" spans="1:7" s="109" customFormat="1" ht="13.5" customHeight="1">
      <c r="A29" s="531" t="s">
        <v>345</v>
      </c>
      <c r="B29" s="143" t="s">
        <v>1464</v>
      </c>
      <c r="C29" s="133">
        <f ca="1">ROUND(C21*F27,4)</f>
        <v>3.0000000000000001E-3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50177117</v>
      </c>
      <c r="D31" s="125"/>
      <c r="E31" s="106"/>
      <c r="F31" s="145"/>
      <c r="G31" s="129" t="s">
        <v>1469</v>
      </c>
    </row>
    <row r="32" spans="1:7" s="103" customFormat="1" ht="16.2">
      <c r="A32" s="147" t="s">
        <v>1530</v>
      </c>
      <c r="B32" s="148"/>
      <c r="C32" s="148"/>
      <c r="D32" s="148"/>
      <c r="E32" s="148"/>
      <c r="F32" s="148"/>
      <c r="G32" s="149"/>
    </row>
    <row r="33" spans="1:7" s="109" customFormat="1" ht="13.5" customHeight="1">
      <c r="A33" s="150" t="s">
        <v>335</v>
      </c>
      <c r="B33" s="105" t="s">
        <v>1531</v>
      </c>
      <c r="C33" s="151">
        <f ca="1">SUM(C34:C38)</f>
        <v>321486256</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287041300</v>
      </c>
      <c r="D34" s="112"/>
      <c r="E34" s="115"/>
      <c r="F34" s="152"/>
      <c r="G34" s="114"/>
    </row>
    <row r="35" spans="1:7" ht="13.5" customHeight="1">
      <c r="A35" s="531" t="s">
        <v>349</v>
      </c>
      <c r="B35" s="110" t="s">
        <v>1472</v>
      </c>
      <c r="C35" s="115">
        <f ca="1">ROUND(C34*F35,0)</f>
        <v>14352065</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17222478</v>
      </c>
      <c r="D37" s="112">
        <f ca="1">D19</f>
        <v>57408.26</v>
      </c>
      <c r="E37" s="144">
        <f>'数据-取费表'!B35</f>
        <v>300</v>
      </c>
      <c r="F37" s="154"/>
      <c r="G37" s="156"/>
    </row>
    <row r="38" spans="1:7" ht="13.5" customHeight="1">
      <c r="A38" s="531" t="s">
        <v>352</v>
      </c>
      <c r="B38" s="110" t="s">
        <v>1478</v>
      </c>
      <c r="C38" s="115">
        <f ca="1">ROUND(C34*F38,0)</f>
        <v>2870413</v>
      </c>
      <c r="D38" s="115"/>
      <c r="E38" s="115"/>
      <c r="F38" s="154">
        <f>'数据-取费表'!B36</f>
        <v>0.01</v>
      </c>
      <c r="G38" s="114" t="s">
        <v>1473</v>
      </c>
    </row>
    <row r="39" spans="1:7" s="109" customFormat="1" ht="13.5" customHeight="1">
      <c r="A39" s="150" t="s">
        <v>1479</v>
      </c>
      <c r="B39" s="105" t="s">
        <v>1480</v>
      </c>
      <c r="C39" s="127">
        <f ca="1">ROUND(C33*F20,0)</f>
        <v>6429725</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10263770</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10062520</v>
      </c>
      <c r="D42" s="133"/>
      <c r="E42" s="133"/>
      <c r="F42" s="134"/>
      <c r="G42" s="4547" t="s">
        <v>1532</v>
      </c>
    </row>
    <row r="43" spans="1:7" ht="13.5" customHeight="1">
      <c r="A43" s="531" t="s">
        <v>345</v>
      </c>
      <c r="B43" s="110" t="s">
        <v>1489</v>
      </c>
      <c r="C43" s="133">
        <f ca="1">ROUND(IF('数据-取费表'!B22&lt;=1,C39*F22*'数据-取费表'!B20/2,C39*(POWER((1+F22),'数据-取费表'!B20/2)-1)),0)</f>
        <v>201250</v>
      </c>
      <c r="D43" s="133"/>
      <c r="E43" s="133"/>
      <c r="F43" s="134"/>
      <c r="G43" s="4549"/>
    </row>
    <row r="44" spans="1:7" ht="13.5" customHeight="1">
      <c r="A44" s="531" t="s">
        <v>346</v>
      </c>
      <c r="B44" s="110" t="s">
        <v>1490</v>
      </c>
      <c r="C44" s="133">
        <f ca="1">ROUND(IF('数据-取费表'!B22&lt;=1,C40*F22*'数据-取费表'!B20/2,C40*(POWER((1+F22),'数据-取费表'!B20/2)-1)),4)</f>
        <v>5.9999999999999995E-4</v>
      </c>
      <c r="D44" s="133"/>
      <c r="E44" s="133"/>
      <c r="F44" s="134"/>
      <c r="G44" s="4548"/>
    </row>
    <row r="45" spans="1:7" s="109" customFormat="1" ht="13.5" customHeight="1">
      <c r="A45" s="150" t="s">
        <v>1491</v>
      </c>
      <c r="B45" s="139" t="s">
        <v>1460</v>
      </c>
      <c r="C45" s="140">
        <f ca="1">C46</f>
        <v>49187397</v>
      </c>
      <c r="D45" s="130">
        <f ca="1">C47</f>
        <v>3.0000000000000001E-3</v>
      </c>
      <c r="E45" s="131" t="s">
        <v>1484</v>
      </c>
      <c r="F45" s="141">
        <f ca="1">F27</f>
        <v>0.15</v>
      </c>
      <c r="G45" s="142" t="s">
        <v>1492</v>
      </c>
    </row>
    <row r="46" spans="1:7" s="109" customFormat="1" ht="13.5" customHeight="1">
      <c r="A46" s="531" t="s">
        <v>344</v>
      </c>
      <c r="B46" s="143" t="s">
        <v>1493</v>
      </c>
      <c r="C46" s="144">
        <f ca="1">ROUND((C33+C39)*F27,0)</f>
        <v>49187397</v>
      </c>
      <c r="D46" s="158"/>
      <c r="E46" s="131"/>
      <c r="F46" s="141"/>
      <c r="G46" s="142"/>
    </row>
    <row r="47" spans="1:7" s="109" customFormat="1" ht="13.5" customHeight="1">
      <c r="A47" s="531" t="s">
        <v>345</v>
      </c>
      <c r="B47" s="143" t="s">
        <v>1494</v>
      </c>
      <c r="C47" s="133">
        <f ca="1">ROUND(C40*F27,4)</f>
        <v>3.0000000000000001E-3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396973917</v>
      </c>
      <c r="D49" s="127"/>
      <c r="E49" s="127"/>
      <c r="F49" s="159"/>
      <c r="G49" s="129" t="s">
        <v>1497</v>
      </c>
    </row>
    <row r="50" spans="1:7" s="153" customFormat="1">
      <c r="A50" s="150" t="s">
        <v>1498</v>
      </c>
      <c r="B50" s="105" t="s">
        <v>1499</v>
      </c>
      <c r="C50" s="127"/>
      <c r="D50" s="127"/>
      <c r="E50" s="127"/>
      <c r="F50" s="159">
        <f>IF('数据-取费表'!B24=0,'数据-取费表'!N16,1)</f>
        <v>0.92</v>
      </c>
      <c r="G50" s="142"/>
    </row>
    <row r="51" spans="1:7" ht="16.5" customHeight="1">
      <c r="A51" s="150" t="s">
        <v>1500</v>
      </c>
      <c r="B51" s="105" t="s">
        <v>1534</v>
      </c>
      <c r="C51" s="127">
        <f ca="1">ROUND(C49*F50,0)</f>
        <v>365216004</v>
      </c>
      <c r="D51" s="127"/>
      <c r="E51" s="127"/>
      <c r="F51" s="159"/>
      <c r="G51" s="129" t="s">
        <v>1501</v>
      </c>
    </row>
    <row r="52" spans="1:7" s="103" customFormat="1" ht="16.8" thickBot="1">
      <c r="A52" s="160" t="s">
        <v>1502</v>
      </c>
      <c r="B52" s="161"/>
      <c r="C52" s="162">
        <f ca="1">C31+C51</f>
        <v>415393121</v>
      </c>
      <c r="D52" s="161"/>
      <c r="E52" s="161"/>
      <c r="F52" s="161"/>
      <c r="G52" s="163"/>
    </row>
    <row r="55" spans="1:7" ht="15">
      <c r="B55" s="165" t="s">
        <v>1503</v>
      </c>
      <c r="C55" s="166"/>
    </row>
    <row r="56" spans="1:7">
      <c r="B56" s="168" t="s">
        <v>788</v>
      </c>
      <c r="C56" s="170">
        <f ca="1">1-C57</f>
        <v>0.121</v>
      </c>
    </row>
    <row r="57" spans="1:7">
      <c r="B57" s="168" t="s">
        <v>789</v>
      </c>
      <c r="C57" s="169">
        <f ca="1">ROUND(C51/C52,3)</f>
        <v>0.879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J132"/>
  <sheetViews>
    <sheetView view="pageBreakPreview" topLeftCell="A112" zoomScaleNormal="70" zoomScaleSheetLayoutView="100" workbookViewId="0">
      <selection activeCell="H129" sqref="H129"/>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1722</v>
      </c>
      <c r="C1" s="837" t="s">
        <v>1574</v>
      </c>
      <c r="D1" s="838"/>
      <c r="E1" s="2540" t="s">
        <v>3996</v>
      </c>
      <c r="F1" s="1379" t="s">
        <v>3997</v>
      </c>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219432</v>
      </c>
      <c r="C2" s="2861" t="s">
        <v>3994</v>
      </c>
      <c r="D2" s="229">
        <f>IF(E1="项目模式",IF(E2="——",ROUND(C50*D3/10000,0),ROUND(C50*D3/10000,0)-F2),IF(E1="单套模式",IF(E2="——",ROUND(C50*D3/10000,4),ROUND(C50*D3/10000,4)-F2)))</f>
        <v>219432</v>
      </c>
      <c r="E2" s="1381" t="s">
        <v>41</v>
      </c>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38223</v>
      </c>
      <c r="C3" s="234" t="s">
        <v>1680</v>
      </c>
      <c r="D3" s="2957">
        <f>IF(D1="",'数据-汇总表'!E3,SUMIF('数据-汇总表'!$C19:$C33,D1,'数据-汇总表'!$E19:$E33))</f>
        <v>57408.26</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4.4">
      <c r="A4" s="235" t="s">
        <v>1681</v>
      </c>
      <c r="B4" s="236"/>
      <c r="C4" s="4569" t="s">
        <v>1682</v>
      </c>
      <c r="D4" s="4570"/>
      <c r="E4" s="4571" t="s">
        <v>1683</v>
      </c>
      <c r="F4" s="4572"/>
      <c r="G4" s="4569" t="s">
        <v>1684</v>
      </c>
      <c r="H4" s="4570"/>
      <c r="I4" s="4569" t="s">
        <v>1685</v>
      </c>
      <c r="J4" s="4570"/>
      <c r="K4" s="393" t="s">
        <v>1686</v>
      </c>
      <c r="L4" s="2007"/>
      <c r="M4" s="2008"/>
      <c r="N4" s="2008"/>
      <c r="O4" s="2008"/>
      <c r="P4" s="4573" t="s">
        <v>1687</v>
      </c>
      <c r="Q4" s="4574"/>
      <c r="R4" s="4579" t="s">
        <v>1683</v>
      </c>
      <c r="S4" s="4580"/>
      <c r="T4" s="4579" t="s">
        <v>1684</v>
      </c>
      <c r="U4" s="4580"/>
      <c r="V4" s="4585" t="s">
        <v>1685</v>
      </c>
      <c r="W4" s="4585"/>
      <c r="X4" s="1439"/>
      <c r="Y4" s="4595" t="s">
        <v>1687</v>
      </c>
      <c r="Z4" s="4596"/>
      <c r="AA4" s="4605" t="s">
        <v>1683</v>
      </c>
      <c r="AB4" s="4605" t="s">
        <v>1684</v>
      </c>
      <c r="AC4" s="4566" t="s">
        <v>1685</v>
      </c>
    </row>
    <row r="5" spans="1:29">
      <c r="A5" s="238"/>
      <c r="B5" s="239"/>
      <c r="C5" s="4602" t="s">
        <v>1585</v>
      </c>
      <c r="D5" s="4590"/>
      <c r="E5" s="4608" t="s">
        <v>4186</v>
      </c>
      <c r="F5" s="4609"/>
      <c r="G5" s="4589" t="s">
        <v>4266</v>
      </c>
      <c r="H5" s="4590"/>
      <c r="I5" s="4589" t="s">
        <v>4266</v>
      </c>
      <c r="J5" s="4590"/>
      <c r="K5" s="393"/>
      <c r="L5" s="2007"/>
      <c r="M5" s="2008"/>
      <c r="N5" s="2008"/>
      <c r="O5" s="2008"/>
      <c r="P5" s="4575"/>
      <c r="Q5" s="4576"/>
      <c r="R5" s="4581"/>
      <c r="S5" s="4582"/>
      <c r="T5" s="4581"/>
      <c r="U5" s="4582"/>
      <c r="V5" s="4586"/>
      <c r="W5" s="4586"/>
      <c r="X5" s="935"/>
      <c r="Y5" s="4597"/>
      <c r="Z5" s="4598"/>
      <c r="AA5" s="4606"/>
      <c r="AB5" s="4606"/>
      <c r="AC5" s="4567"/>
    </row>
    <row r="6" spans="1:29" ht="15" thickBot="1">
      <c r="A6" s="240"/>
      <c r="B6" s="241"/>
      <c r="C6" s="4587" t="s">
        <v>1589</v>
      </c>
      <c r="D6" s="4588"/>
      <c r="E6" s="4603" t="s">
        <v>1589</v>
      </c>
      <c r="F6" s="4604"/>
      <c r="G6" s="4587" t="s">
        <v>1589</v>
      </c>
      <c r="H6" s="4588"/>
      <c r="I6" s="4587" t="s">
        <v>1589</v>
      </c>
      <c r="J6" s="4588"/>
      <c r="K6" s="393" t="s">
        <v>1590</v>
      </c>
      <c r="L6" s="2007"/>
      <c r="M6" s="2008"/>
      <c r="N6" s="2008"/>
      <c r="O6" s="2008"/>
      <c r="P6" s="4577"/>
      <c r="Q6" s="4578"/>
      <c r="R6" s="4581"/>
      <c r="S6" s="4582"/>
      <c r="T6" s="4583"/>
      <c r="U6" s="4584"/>
      <c r="V6" s="4586"/>
      <c r="W6" s="4586"/>
      <c r="X6" s="935"/>
      <c r="Y6" s="4599"/>
      <c r="Z6" s="4600"/>
      <c r="AA6" s="4607"/>
      <c r="AB6" s="4607"/>
      <c r="AC6" s="4568"/>
    </row>
    <row r="7" spans="1:29" s="46" customFormat="1" ht="15" thickBot="1">
      <c r="A7" s="242" t="s">
        <v>1591</v>
      </c>
      <c r="B7" s="243"/>
      <c r="C7" s="244">
        <f>'数据-取费表'!B2</f>
        <v>46049</v>
      </c>
      <c r="D7" s="2976">
        <v>100</v>
      </c>
      <c r="E7" s="245">
        <v>45308</v>
      </c>
      <c r="F7" s="3861">
        <f>SUMIF(59:59,YEAR(E7)&amp;"-"&amp;MONTH(E7),60:60)</f>
        <v>104.80000000000007</v>
      </c>
      <c r="G7" s="245">
        <v>45602</v>
      </c>
      <c r="H7" s="3867">
        <f>SUMIF(59:59,YEAR(G7)&amp;"-"&amp;MONTH(G7),60:60)</f>
        <v>102.80000000000004</v>
      </c>
      <c r="I7" s="245">
        <v>45195</v>
      </c>
      <c r="J7" s="3867">
        <f>SUMIF(59:59,YEAR(I7)&amp;"-"&amp;MONTH(I7),60:60)</f>
        <v>105.60000000000008</v>
      </c>
      <c r="K7" s="22"/>
      <c r="L7" s="2009"/>
      <c r="M7" s="1962"/>
      <c r="N7" s="1962"/>
      <c r="O7" s="1962"/>
      <c r="P7" s="4591" t="s">
        <v>1592</v>
      </c>
      <c r="Q7" s="4601"/>
      <c r="R7" s="3748" t="s">
        <v>13</v>
      </c>
      <c r="S7" s="3262">
        <f t="shared" ref="S7:S15" si="0">F7</f>
        <v>104.80000000000007</v>
      </c>
      <c r="T7" s="3748" t="s">
        <v>13</v>
      </c>
      <c r="U7" s="3262">
        <f t="shared" ref="U7:U15" si="1">H7</f>
        <v>102.80000000000004</v>
      </c>
      <c r="V7" s="3748" t="s">
        <v>13</v>
      </c>
      <c r="W7" s="3262">
        <f t="shared" ref="W7:W15" si="2">J7</f>
        <v>105.60000000000008</v>
      </c>
      <c r="X7" s="482"/>
      <c r="Y7" s="4593" t="s">
        <v>1592</v>
      </c>
      <c r="Z7" s="4594"/>
      <c r="AA7" s="28">
        <f>D7/F7</f>
        <v>0.95419847328244212</v>
      </c>
      <c r="AB7" s="28">
        <f>D7/H7</f>
        <v>0.97276264591439654</v>
      </c>
      <c r="AC7" s="563">
        <f>D7/J7</f>
        <v>0.94696969696969624</v>
      </c>
    </row>
    <row r="8" spans="1:29" s="46" customFormat="1" ht="15" thickBot="1">
      <c r="A8" s="242" t="s">
        <v>1593</v>
      </c>
      <c r="B8" s="243"/>
      <c r="C8" s="246" t="s">
        <v>4182</v>
      </c>
      <c r="D8" s="2976">
        <v>100</v>
      </c>
      <c r="E8" s="246" t="s">
        <v>4182</v>
      </c>
      <c r="F8" s="3861">
        <f>SUMIF(62:62,E8,63:63)-SUMIF(62:62,C8,63:63)+100</f>
        <v>100</v>
      </c>
      <c r="G8" s="246" t="s">
        <v>4182</v>
      </c>
      <c r="H8" s="3867">
        <f>SUMIF(62:62,G8,63:63)-SUMIF(62:62,C8,63:63)+100</f>
        <v>100</v>
      </c>
      <c r="I8" s="246" t="s">
        <v>4182</v>
      </c>
      <c r="J8" s="3867">
        <f>SUMIF(62:62,I8,63:63)-SUMIF(62:62,C8,63:63)+100</f>
        <v>100</v>
      </c>
      <c r="K8" s="22"/>
      <c r="L8" s="2009"/>
      <c r="M8" s="1962"/>
      <c r="N8" s="1962"/>
      <c r="O8" s="1962"/>
      <c r="P8" s="4591" t="s">
        <v>1595</v>
      </c>
      <c r="Q8" s="4592"/>
      <c r="R8" s="3748" t="s">
        <v>13</v>
      </c>
      <c r="S8" s="3262">
        <f t="shared" si="0"/>
        <v>100</v>
      </c>
      <c r="T8" s="3748" t="s">
        <v>13</v>
      </c>
      <c r="U8" s="3262">
        <f t="shared" si="1"/>
        <v>100</v>
      </c>
      <c r="V8" s="3748" t="s">
        <v>13</v>
      </c>
      <c r="W8" s="3262">
        <f t="shared" si="2"/>
        <v>100</v>
      </c>
      <c r="X8" s="482"/>
      <c r="Y8" s="4593" t="s">
        <v>1595</v>
      </c>
      <c r="Z8" s="4594"/>
      <c r="AA8" s="28">
        <f t="shared" ref="AA8:AA47" si="3">D8/F8</f>
        <v>1</v>
      </c>
      <c r="AB8" s="28">
        <f t="shared" ref="AB8:AB47" si="4">D8/H8</f>
        <v>1</v>
      </c>
      <c r="AC8" s="563">
        <f t="shared" ref="AC8:AC47" si="5">D8/J8</f>
        <v>1</v>
      </c>
    </row>
    <row r="9" spans="1:29" s="46" customFormat="1" ht="14.4">
      <c r="A9" s="247" t="s">
        <v>1596</v>
      </c>
      <c r="B9" s="34" t="s">
        <v>1597</v>
      </c>
      <c r="C9" s="4326" t="s">
        <v>4184</v>
      </c>
      <c r="D9" s="2977">
        <v>100</v>
      </c>
      <c r="E9" s="250" t="s">
        <v>4183</v>
      </c>
      <c r="F9" s="33">
        <f>SUMIF(64:64,E9,65:65)-SUMIF(64:64,C9,65:65)+100</f>
        <v>100</v>
      </c>
      <c r="G9" s="249" t="s">
        <v>4183</v>
      </c>
      <c r="H9" s="33">
        <f>SUMIF(64:64,G9,65:65)-SUMIF(64:64,C9,65:65)+100</f>
        <v>100</v>
      </c>
      <c r="I9" s="249" t="s">
        <v>4183</v>
      </c>
      <c r="J9" s="33">
        <f>SUMIF(64:64,I9,65:65)-SUMIF(64:64,C9,65:65)+100</f>
        <v>100</v>
      </c>
      <c r="K9" s="22"/>
      <c r="L9" s="2009"/>
      <c r="M9" s="1962"/>
      <c r="N9" s="1962"/>
      <c r="O9" s="1962"/>
      <c r="P9" s="4550" t="s">
        <v>1598</v>
      </c>
      <c r="Q9" s="1731" t="str">
        <f t="shared" ref="Q9:Q15" si="6">B9</f>
        <v>用途</v>
      </c>
      <c r="R9" s="3748" t="s">
        <v>13</v>
      </c>
      <c r="S9" s="3262">
        <f t="shared" si="0"/>
        <v>100</v>
      </c>
      <c r="T9" s="3748" t="s">
        <v>13</v>
      </c>
      <c r="U9" s="3262">
        <f t="shared" si="1"/>
        <v>100</v>
      </c>
      <c r="V9" s="3748" t="s">
        <v>13</v>
      </c>
      <c r="W9" s="3262">
        <f t="shared" si="2"/>
        <v>100</v>
      </c>
      <c r="X9" s="482"/>
      <c r="Y9" s="4565" t="s">
        <v>1599</v>
      </c>
      <c r="Z9" s="28" t="str">
        <f t="shared" ref="Z9:Z15" si="7">Q9</f>
        <v>用途</v>
      </c>
      <c r="AA9" s="28">
        <f t="shared" si="3"/>
        <v>1</v>
      </c>
      <c r="AB9" s="28">
        <f t="shared" si="4"/>
        <v>1</v>
      </c>
      <c r="AC9" s="563">
        <f t="shared" si="5"/>
        <v>1</v>
      </c>
    </row>
    <row r="10" spans="1:29" s="253" customFormat="1" ht="28.8">
      <c r="A10" s="251"/>
      <c r="B10" s="252" t="s">
        <v>1600</v>
      </c>
      <c r="C10" s="2541" t="s">
        <v>4272</v>
      </c>
      <c r="D10" s="2978">
        <v>100</v>
      </c>
      <c r="E10" s="2541" t="s">
        <v>4271</v>
      </c>
      <c r="F10" s="422">
        <f>SUMIF(66:66,E10,67:67)-SUMIF(66:66,C10,67:67)+100</f>
        <v>108</v>
      </c>
      <c r="G10" s="2542" t="s">
        <v>4271</v>
      </c>
      <c r="H10" s="422">
        <f>SUMIF(66:66,G10,67:67)-SUMIF(66:66,C10,67:67)+100</f>
        <v>108</v>
      </c>
      <c r="I10" s="2541" t="s">
        <v>4271</v>
      </c>
      <c r="J10" s="422">
        <f>SUMIF(66:66,I10,67:67)-SUMIF(66:66,C10,67:67)+100</f>
        <v>108</v>
      </c>
      <c r="K10" s="22"/>
      <c r="L10" s="2010"/>
      <c r="M10" s="2011"/>
      <c r="N10" s="2011"/>
      <c r="O10" s="2011"/>
      <c r="P10" s="4550"/>
      <c r="Q10" s="1731" t="str">
        <f t="shared" si="6"/>
        <v>土地使用年限（年）</v>
      </c>
      <c r="R10" s="3748" t="s">
        <v>13</v>
      </c>
      <c r="S10" s="3262">
        <f t="shared" si="0"/>
        <v>108</v>
      </c>
      <c r="T10" s="3748" t="s">
        <v>13</v>
      </c>
      <c r="U10" s="3262">
        <f t="shared" si="1"/>
        <v>108</v>
      </c>
      <c r="V10" s="3748" t="s">
        <v>13</v>
      </c>
      <c r="W10" s="3262">
        <f t="shared" si="2"/>
        <v>108</v>
      </c>
      <c r="X10" s="482"/>
      <c r="Y10" s="4565"/>
      <c r="Z10" s="28" t="str">
        <f t="shared" si="7"/>
        <v>土地使用年限（年）</v>
      </c>
      <c r="AA10" s="28">
        <f t="shared" si="3"/>
        <v>0.92592592592592593</v>
      </c>
      <c r="AB10" s="28">
        <f t="shared" si="4"/>
        <v>0.92592592592592593</v>
      </c>
      <c r="AC10" s="563">
        <f t="shared" si="5"/>
        <v>0.92592592592592593</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50"/>
      <c r="Q11" s="1731" t="str">
        <f t="shared" si="6"/>
        <v>容积率</v>
      </c>
      <c r="R11" s="3748" t="s">
        <v>13</v>
      </c>
      <c r="S11" s="3262">
        <f t="shared" si="0"/>
        <v>100</v>
      </c>
      <c r="T11" s="3748" t="s">
        <v>13</v>
      </c>
      <c r="U11" s="3262">
        <f t="shared" si="1"/>
        <v>100</v>
      </c>
      <c r="V11" s="3748" t="s">
        <v>13</v>
      </c>
      <c r="W11" s="3262">
        <f t="shared" si="2"/>
        <v>100</v>
      </c>
      <c r="X11" s="482"/>
      <c r="Y11" s="4565"/>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50"/>
      <c r="Q12" s="1731">
        <f t="shared" si="6"/>
        <v>111</v>
      </c>
      <c r="R12" s="3748" t="s">
        <v>13</v>
      </c>
      <c r="S12" s="3262">
        <f t="shared" si="0"/>
        <v>100</v>
      </c>
      <c r="T12" s="3748" t="s">
        <v>13</v>
      </c>
      <c r="U12" s="3262">
        <f t="shared" si="1"/>
        <v>100</v>
      </c>
      <c r="V12" s="3748" t="s">
        <v>13</v>
      </c>
      <c r="W12" s="3262">
        <f t="shared" si="2"/>
        <v>100</v>
      </c>
      <c r="X12" s="482"/>
      <c r="Y12" s="4565"/>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50"/>
      <c r="Q13" s="1731">
        <f t="shared" si="6"/>
        <v>111</v>
      </c>
      <c r="R13" s="3748" t="s">
        <v>13</v>
      </c>
      <c r="S13" s="3262">
        <f t="shared" si="0"/>
        <v>100</v>
      </c>
      <c r="T13" s="3748" t="s">
        <v>13</v>
      </c>
      <c r="U13" s="3262">
        <f t="shared" si="1"/>
        <v>100</v>
      </c>
      <c r="V13" s="3748" t="s">
        <v>13</v>
      </c>
      <c r="W13" s="3262">
        <f t="shared" si="2"/>
        <v>100</v>
      </c>
      <c r="X13" s="482"/>
      <c r="Y13" s="4565"/>
      <c r="Z13" s="28">
        <f t="shared" si="7"/>
        <v>111</v>
      </c>
      <c r="AA13" s="28">
        <f t="shared" si="3"/>
        <v>1</v>
      </c>
      <c r="AB13" s="28">
        <f t="shared" si="4"/>
        <v>1</v>
      </c>
      <c r="AC13" s="563">
        <f t="shared" si="5"/>
        <v>1</v>
      </c>
    </row>
    <row r="14" spans="1:29" ht="15.6"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50"/>
      <c r="Q14" s="1731">
        <f t="shared" si="6"/>
        <v>111</v>
      </c>
      <c r="R14" s="3748" t="s">
        <v>13</v>
      </c>
      <c r="S14" s="3262">
        <f t="shared" si="0"/>
        <v>100</v>
      </c>
      <c r="T14" s="3748" t="s">
        <v>13</v>
      </c>
      <c r="U14" s="3262">
        <f t="shared" si="1"/>
        <v>100</v>
      </c>
      <c r="V14" s="3748" t="s">
        <v>13</v>
      </c>
      <c r="W14" s="3262">
        <f t="shared" si="2"/>
        <v>100</v>
      </c>
      <c r="X14" s="482"/>
      <c r="Y14" s="4565"/>
      <c r="Z14" s="28">
        <f t="shared" si="7"/>
        <v>111</v>
      </c>
      <c r="AA14" s="28">
        <f t="shared" si="3"/>
        <v>1</v>
      </c>
      <c r="AB14" s="28">
        <f t="shared" si="4"/>
        <v>1</v>
      </c>
      <c r="AC14" s="563">
        <f t="shared" si="5"/>
        <v>1</v>
      </c>
    </row>
    <row r="15" spans="1:29" ht="15">
      <c r="A15" s="262" t="s">
        <v>1602</v>
      </c>
      <c r="B15" s="403" t="s">
        <v>1723</v>
      </c>
      <c r="C15" s="1441">
        <f>估价对象房地状况!C5</f>
        <v>0</v>
      </c>
      <c r="D15" s="2982">
        <v>100</v>
      </c>
      <c r="E15" s="264"/>
      <c r="F15" s="3863">
        <f>SUMIF(77:77,E16,78:78)-SUMIF(77:77,C16,78:78)+100</f>
        <v>97</v>
      </c>
      <c r="G15" s="263"/>
      <c r="H15" s="3863">
        <f>SUMIF(77:77,G16,78:78)-SUMIF(77:77,C16,78:78)+100</f>
        <v>97</v>
      </c>
      <c r="I15" s="263"/>
      <c r="J15" s="3863">
        <f>SUMIF(77:77,I16,78:78)-SUMIF(77:77,C16,78:78)+100</f>
        <v>97</v>
      </c>
      <c r="K15" s="396">
        <v>3</v>
      </c>
      <c r="L15" s="2013"/>
      <c r="M15" s="2008"/>
      <c r="N15" s="2008"/>
      <c r="O15" s="2008"/>
      <c r="P15" s="4556" t="s">
        <v>1603</v>
      </c>
      <c r="Q15" s="1533" t="str">
        <f t="shared" si="6"/>
        <v>办公集聚程度</v>
      </c>
      <c r="R15" s="3849" t="s">
        <v>13</v>
      </c>
      <c r="S15" s="3263">
        <f t="shared" si="0"/>
        <v>97</v>
      </c>
      <c r="T15" s="3849" t="s">
        <v>13</v>
      </c>
      <c r="U15" s="3263">
        <f t="shared" si="1"/>
        <v>97</v>
      </c>
      <c r="V15" s="3849" t="s">
        <v>13</v>
      </c>
      <c r="W15" s="3263">
        <f t="shared" si="2"/>
        <v>97</v>
      </c>
      <c r="X15" s="935"/>
      <c r="Y15" s="4558" t="s">
        <v>1603</v>
      </c>
      <c r="Z15" s="933" t="str">
        <f t="shared" si="7"/>
        <v>办公集聚程度</v>
      </c>
      <c r="AA15" s="933">
        <f t="shared" si="3"/>
        <v>1.0309278350515463</v>
      </c>
      <c r="AB15" s="933">
        <f t="shared" si="4"/>
        <v>1.0309278350515463</v>
      </c>
      <c r="AC15" s="1442">
        <f t="shared" si="5"/>
        <v>1.0309278350515463</v>
      </c>
    </row>
    <row r="16" spans="1:29" ht="15">
      <c r="A16" s="254"/>
      <c r="B16" s="404"/>
      <c r="C16" s="1394" t="s">
        <v>3616</v>
      </c>
      <c r="D16" s="2983"/>
      <c r="E16" s="266" t="s">
        <v>3615</v>
      </c>
      <c r="F16" s="267"/>
      <c r="G16" s="1394" t="s">
        <v>3615</v>
      </c>
      <c r="H16" s="268"/>
      <c r="I16" s="266" t="s">
        <v>3615</v>
      </c>
      <c r="J16" s="267"/>
      <c r="K16" s="397"/>
      <c r="L16" s="2013"/>
      <c r="M16" s="2008"/>
      <c r="N16" s="2008"/>
      <c r="O16" s="2008"/>
      <c r="P16" s="4557"/>
      <c r="Q16" s="1533"/>
      <c r="R16" s="3849"/>
      <c r="S16" s="3263"/>
      <c r="T16" s="3849"/>
      <c r="U16" s="3263"/>
      <c r="V16" s="3849"/>
      <c r="W16" s="3263"/>
      <c r="X16" s="935"/>
      <c r="Y16" s="4559"/>
      <c r="Z16" s="933"/>
      <c r="AA16" s="933">
        <v>1</v>
      </c>
      <c r="AB16" s="933">
        <v>1</v>
      </c>
      <c r="AC16" s="1442">
        <v>1</v>
      </c>
    </row>
    <row r="17" spans="1:29" ht="15">
      <c r="A17" s="254"/>
      <c r="B17" s="405" t="s">
        <v>1239</v>
      </c>
      <c r="C17" s="1443">
        <f>估价对象房地状况!C6</f>
        <v>0</v>
      </c>
      <c r="D17" s="2984">
        <v>100</v>
      </c>
      <c r="E17" s="271"/>
      <c r="F17" s="268">
        <f>SUMIF(79:79,E18,80:80)-SUMIF(79:79,C18,80:80)+100</f>
        <v>100</v>
      </c>
      <c r="G17" s="270"/>
      <c r="H17" s="3864">
        <f>SUMIF(79:79,G18,80:80)-SUMIF(79:79,C18,80:80)+100</f>
        <v>100</v>
      </c>
      <c r="I17" s="270"/>
      <c r="J17" s="3864">
        <f>SUMIF(79:79,I18,80:80)-SUMIF(79:79,C18,80:80)+100</f>
        <v>100</v>
      </c>
      <c r="K17" s="396">
        <v>3</v>
      </c>
      <c r="L17" s="2013"/>
      <c r="M17" s="2008"/>
      <c r="N17" s="2008"/>
      <c r="O17" s="2008"/>
      <c r="P17" s="4557"/>
      <c r="Q17" s="1533" t="str">
        <f>B17</f>
        <v>交通便捷度</v>
      </c>
      <c r="R17" s="3849" t="s">
        <v>13</v>
      </c>
      <c r="S17" s="3263">
        <f>F17</f>
        <v>100</v>
      </c>
      <c r="T17" s="3849" t="s">
        <v>13</v>
      </c>
      <c r="U17" s="3263">
        <f>H17</f>
        <v>100</v>
      </c>
      <c r="V17" s="3849" t="s">
        <v>13</v>
      </c>
      <c r="W17" s="3263">
        <f>J17</f>
        <v>100</v>
      </c>
      <c r="X17" s="935"/>
      <c r="Y17" s="4559"/>
      <c r="Z17" s="933" t="str">
        <f>Q17</f>
        <v>交通便捷度</v>
      </c>
      <c r="AA17" s="933">
        <f t="shared" si="3"/>
        <v>1</v>
      </c>
      <c r="AB17" s="933">
        <f t="shared" si="4"/>
        <v>1</v>
      </c>
      <c r="AC17" s="1442">
        <f t="shared" si="5"/>
        <v>1</v>
      </c>
    </row>
    <row r="18" spans="1:29" ht="15">
      <c r="A18" s="254"/>
      <c r="B18" s="406"/>
      <c r="C18" s="1444" t="s">
        <v>3616</v>
      </c>
      <c r="D18" s="2984"/>
      <c r="E18" s="1392" t="s">
        <v>3616</v>
      </c>
      <c r="F18" s="268"/>
      <c r="G18" s="1393" t="s">
        <v>3616</v>
      </c>
      <c r="H18" s="267"/>
      <c r="I18" s="1393" t="s">
        <v>3616</v>
      </c>
      <c r="J18" s="267"/>
      <c r="K18" s="397"/>
      <c r="L18" s="2013"/>
      <c r="M18" s="2008"/>
      <c r="N18" s="2008"/>
      <c r="O18" s="2008"/>
      <c r="P18" s="4557"/>
      <c r="Q18" s="1533"/>
      <c r="R18" s="3849"/>
      <c r="S18" s="3263"/>
      <c r="T18" s="3849"/>
      <c r="U18" s="3263"/>
      <c r="V18" s="3849"/>
      <c r="W18" s="3263"/>
      <c r="X18" s="935"/>
      <c r="Y18" s="4559"/>
      <c r="Z18" s="933"/>
      <c r="AA18" s="933">
        <v>1</v>
      </c>
      <c r="AB18" s="933">
        <v>1</v>
      </c>
      <c r="AC18" s="1442">
        <v>1</v>
      </c>
    </row>
    <row r="19" spans="1:29" ht="15">
      <c r="A19" s="254"/>
      <c r="B19" s="405" t="s">
        <v>1724</v>
      </c>
      <c r="C19" s="1443">
        <f>估价对象房地状况!C7</f>
        <v>0</v>
      </c>
      <c r="D19" s="2985">
        <v>100</v>
      </c>
      <c r="E19" s="274"/>
      <c r="F19" s="3864">
        <f>SUMIF(81:81,E20,82:82)-SUMIF(81:81,C20,82:82)+100</f>
        <v>103</v>
      </c>
      <c r="G19" s="273"/>
      <c r="H19" s="268">
        <f>SUMIF(81:81,G20,82:82)-SUMIF(81:81,C20,82:82)+100</f>
        <v>100</v>
      </c>
      <c r="I19" s="273"/>
      <c r="J19" s="268">
        <f>SUMIF(81:81,I20,82:82)-SUMIF(81:81,C20,82:82)+100</f>
        <v>100</v>
      </c>
      <c r="K19" s="396">
        <v>3</v>
      </c>
      <c r="L19" s="2013"/>
      <c r="M19" s="2008"/>
      <c r="N19" s="2008"/>
      <c r="O19" s="2008"/>
      <c r="P19" s="4557"/>
      <c r="Q19" s="1533" t="str">
        <f>B19</f>
        <v>公共配套设施</v>
      </c>
      <c r="R19" s="3849" t="s">
        <v>13</v>
      </c>
      <c r="S19" s="3263">
        <f>F19</f>
        <v>103</v>
      </c>
      <c r="T19" s="3849" t="s">
        <v>13</v>
      </c>
      <c r="U19" s="3263">
        <f>H19</f>
        <v>100</v>
      </c>
      <c r="V19" s="3849" t="s">
        <v>13</v>
      </c>
      <c r="W19" s="3263">
        <f>J19</f>
        <v>100</v>
      </c>
      <c r="X19" s="935"/>
      <c r="Y19" s="4559"/>
      <c r="Z19" s="933" t="str">
        <f>Q19</f>
        <v>公共配套设施</v>
      </c>
      <c r="AA19" s="933">
        <f t="shared" si="3"/>
        <v>0.970873786407767</v>
      </c>
      <c r="AB19" s="933">
        <f t="shared" si="4"/>
        <v>1</v>
      </c>
      <c r="AC19" s="1442">
        <f t="shared" si="5"/>
        <v>1</v>
      </c>
    </row>
    <row r="20" spans="1:29" ht="15">
      <c r="A20" s="254"/>
      <c r="B20" s="406"/>
      <c r="C20" s="1394" t="s">
        <v>3615</v>
      </c>
      <c r="D20" s="2983"/>
      <c r="E20" s="1388" t="s">
        <v>3616</v>
      </c>
      <c r="F20" s="267"/>
      <c r="G20" s="1389" t="s">
        <v>3615</v>
      </c>
      <c r="H20" s="267"/>
      <c r="I20" s="1389" t="s">
        <v>3615</v>
      </c>
      <c r="J20" s="267"/>
      <c r="K20" s="397"/>
      <c r="L20" s="2013"/>
      <c r="M20" s="2008"/>
      <c r="N20" s="2008"/>
      <c r="O20" s="2008"/>
      <c r="P20" s="4557"/>
      <c r="Q20" s="1533"/>
      <c r="R20" s="3849"/>
      <c r="S20" s="3263"/>
      <c r="T20" s="3849"/>
      <c r="U20" s="3263"/>
      <c r="V20" s="3849"/>
      <c r="W20" s="3263"/>
      <c r="X20" s="935"/>
      <c r="Y20" s="4559"/>
      <c r="Z20" s="933"/>
      <c r="AA20" s="933">
        <v>1</v>
      </c>
      <c r="AB20" s="933">
        <v>1</v>
      </c>
      <c r="AC20" s="1442">
        <v>1</v>
      </c>
    </row>
    <row r="21" spans="1:29" ht="15">
      <c r="A21" s="254"/>
      <c r="B21" s="407" t="s">
        <v>1725</v>
      </c>
      <c r="C21" s="1443">
        <f>估价对象房地状况!C8</f>
        <v>0</v>
      </c>
      <c r="D21" s="2984">
        <v>100</v>
      </c>
      <c r="E21" s="274"/>
      <c r="F21" s="3864">
        <f>SUMIF(83:83,E22,84:84)-SUMIF(83:83,C22,84:84)+100</f>
        <v>100</v>
      </c>
      <c r="G21" s="273"/>
      <c r="H21" s="268">
        <f>SUMIF(83:83,G22,84:84)-SUMIF(83:83,C22,84:84)+100</f>
        <v>100</v>
      </c>
      <c r="I21" s="273"/>
      <c r="J21" s="268">
        <f>SUMIF(83:83,I22,84:84)-SUMIF(83:83,C22,84:84)+100</f>
        <v>100</v>
      </c>
      <c r="K21" s="396">
        <v>3</v>
      </c>
      <c r="L21" s="2013"/>
      <c r="M21" s="2008"/>
      <c r="N21" s="2008"/>
      <c r="O21" s="2008"/>
      <c r="P21" s="4557"/>
      <c r="Q21" s="1533" t="str">
        <f>B21</f>
        <v>基础设施水平</v>
      </c>
      <c r="R21" s="3849" t="s">
        <v>13</v>
      </c>
      <c r="S21" s="3263">
        <f>F21</f>
        <v>100</v>
      </c>
      <c r="T21" s="3849" t="s">
        <v>13</v>
      </c>
      <c r="U21" s="3263">
        <f>H21</f>
        <v>100</v>
      </c>
      <c r="V21" s="3849" t="s">
        <v>13</v>
      </c>
      <c r="W21" s="3263">
        <f>J21</f>
        <v>100</v>
      </c>
      <c r="X21" s="935"/>
      <c r="Y21" s="4559"/>
      <c r="Z21" s="933" t="str">
        <f>Q21</f>
        <v>基础设施水平</v>
      </c>
      <c r="AA21" s="933">
        <f t="shared" ref="AA21" si="8">D21/F21</f>
        <v>1</v>
      </c>
      <c r="AB21" s="933">
        <f t="shared" ref="AB21" si="9">D21/H21</f>
        <v>1</v>
      </c>
      <c r="AC21" s="1442">
        <f t="shared" ref="AC21" si="10">D21/J21</f>
        <v>1</v>
      </c>
    </row>
    <row r="22" spans="1:29" ht="15">
      <c r="A22" s="254"/>
      <c r="B22" s="407"/>
      <c r="C22" s="1444" t="s">
        <v>3617</v>
      </c>
      <c r="D22" s="2983"/>
      <c r="E22" s="266" t="s">
        <v>3617</v>
      </c>
      <c r="F22" s="267"/>
      <c r="G22" s="1394" t="s">
        <v>3617</v>
      </c>
      <c r="H22" s="267"/>
      <c r="I22" s="1394" t="s">
        <v>3617</v>
      </c>
      <c r="J22" s="267"/>
      <c r="K22" s="780"/>
      <c r="L22" s="2013"/>
      <c r="M22" s="2008"/>
      <c r="N22" s="2008"/>
      <c r="O22" s="2008"/>
      <c r="P22" s="4557"/>
      <c r="Q22" s="1533"/>
      <c r="R22" s="3849"/>
      <c r="S22" s="3263"/>
      <c r="T22" s="3849"/>
      <c r="U22" s="3263"/>
      <c r="V22" s="3849"/>
      <c r="W22" s="3263"/>
      <c r="X22" s="935"/>
      <c r="Y22" s="4559"/>
      <c r="Z22" s="933"/>
      <c r="AA22" s="933">
        <v>1</v>
      </c>
      <c r="AB22" s="933">
        <v>1</v>
      </c>
      <c r="AC22" s="1442">
        <v>1</v>
      </c>
    </row>
    <row r="23" spans="1:29" ht="15">
      <c r="A23" s="254"/>
      <c r="B23" s="405" t="s">
        <v>1726</v>
      </c>
      <c r="C23" s="1443">
        <f>估价对象房地状况!C9</f>
        <v>0</v>
      </c>
      <c r="D23" s="2984">
        <v>100</v>
      </c>
      <c r="E23" s="271"/>
      <c r="F23" s="268">
        <f>SUMIF(85:85,E24,86:86)-SUMIF(85:85,C24,86:86)+100</f>
        <v>100</v>
      </c>
      <c r="G23" s="270"/>
      <c r="H23" s="268">
        <f>SUMIF(85:85,G24,86:86)-SUMIF(85:85,C24,86:86)+100</f>
        <v>100</v>
      </c>
      <c r="I23" s="270"/>
      <c r="J23" s="268">
        <f>SUMIF(85:85,I24,86:86)-SUMIF(85:85,C24,86:86)+100</f>
        <v>100</v>
      </c>
      <c r="K23" s="396">
        <v>3</v>
      </c>
      <c r="L23" s="2013"/>
      <c r="M23" s="2008"/>
      <c r="N23" s="2008"/>
      <c r="O23" s="2008"/>
      <c r="P23" s="4557"/>
      <c r="Q23" s="1533" t="str">
        <f>B23</f>
        <v>环境质量</v>
      </c>
      <c r="R23" s="3849" t="s">
        <v>13</v>
      </c>
      <c r="S23" s="3263">
        <f>F23</f>
        <v>100</v>
      </c>
      <c r="T23" s="3849" t="s">
        <v>13</v>
      </c>
      <c r="U23" s="3263">
        <f>H23</f>
        <v>100</v>
      </c>
      <c r="V23" s="3849" t="s">
        <v>13</v>
      </c>
      <c r="W23" s="3263">
        <f>J23</f>
        <v>100</v>
      </c>
      <c r="X23" s="935"/>
      <c r="Y23" s="4559"/>
      <c r="Z23" s="933" t="str">
        <f>Q23</f>
        <v>环境质量</v>
      </c>
      <c r="AA23" s="933">
        <f t="shared" si="3"/>
        <v>1</v>
      </c>
      <c r="AB23" s="933">
        <f t="shared" si="4"/>
        <v>1</v>
      </c>
      <c r="AC23" s="1442">
        <f t="shared" si="5"/>
        <v>1</v>
      </c>
    </row>
    <row r="24" spans="1:29" ht="15">
      <c r="A24" s="254"/>
      <c r="B24" s="407"/>
      <c r="C24" s="1394" t="s">
        <v>3615</v>
      </c>
      <c r="D24" s="2983"/>
      <c r="E24" s="1388" t="s">
        <v>3615</v>
      </c>
      <c r="F24" s="267"/>
      <c r="G24" s="1389" t="s">
        <v>3615</v>
      </c>
      <c r="H24" s="267"/>
      <c r="I24" s="1389" t="s">
        <v>3615</v>
      </c>
      <c r="J24" s="267"/>
      <c r="K24" s="397"/>
      <c r="L24" s="2013"/>
      <c r="M24" s="2008"/>
      <c r="N24" s="2008"/>
      <c r="O24" s="2008"/>
      <c r="P24" s="4557"/>
      <c r="Q24" s="1533"/>
      <c r="R24" s="3849"/>
      <c r="S24" s="3263"/>
      <c r="T24" s="3849"/>
      <c r="U24" s="3263"/>
      <c r="V24" s="3849"/>
      <c r="W24" s="3263"/>
      <c r="X24" s="935"/>
      <c r="Y24" s="4559"/>
      <c r="Z24" s="933"/>
      <c r="AA24" s="933">
        <v>1</v>
      </c>
      <c r="AB24" s="933">
        <v>1</v>
      </c>
      <c r="AC24" s="1442">
        <v>1</v>
      </c>
    </row>
    <row r="25" spans="1:29" ht="28.8">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57"/>
      <c r="Q25" s="1533" t="str">
        <f>B25</f>
        <v>毗邻道路的类型与等级</v>
      </c>
      <c r="R25" s="3849" t="s">
        <v>13</v>
      </c>
      <c r="S25" s="3263">
        <f>F25</f>
        <v>100</v>
      </c>
      <c r="T25" s="3849" t="s">
        <v>13</v>
      </c>
      <c r="U25" s="3263">
        <f>H25</f>
        <v>100</v>
      </c>
      <c r="V25" s="3849" t="s">
        <v>13</v>
      </c>
      <c r="W25" s="3263">
        <f>J25</f>
        <v>100</v>
      </c>
      <c r="X25" s="935"/>
      <c r="Y25" s="4559"/>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57"/>
      <c r="Q26" s="1533"/>
      <c r="R26" s="3849"/>
      <c r="S26" s="3263"/>
      <c r="T26" s="3849"/>
      <c r="U26" s="3263"/>
      <c r="V26" s="3849"/>
      <c r="W26" s="3263"/>
      <c r="X26" s="935"/>
      <c r="Y26" s="4559"/>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57"/>
      <c r="Q27" s="1533" t="str">
        <f t="shared" ref="Q27:Q47" si="11">B27</f>
        <v>楼层</v>
      </c>
      <c r="R27" s="3849" t="s">
        <v>13</v>
      </c>
      <c r="S27" s="3263">
        <f>F27</f>
        <v>100</v>
      </c>
      <c r="T27" s="3849" t="s">
        <v>13</v>
      </c>
      <c r="U27" s="3263">
        <f>H27</f>
        <v>100</v>
      </c>
      <c r="V27" s="3849" t="s">
        <v>13</v>
      </c>
      <c r="W27" s="3263">
        <f>J27</f>
        <v>100</v>
      </c>
      <c r="X27" s="935"/>
      <c r="Y27" s="4559"/>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57"/>
      <c r="Q28" s="1731" t="str">
        <f t="shared" si="11"/>
        <v>朝向</v>
      </c>
      <c r="R28" s="3748" t="s">
        <v>13</v>
      </c>
      <c r="S28" s="3262">
        <f>F28</f>
        <v>100</v>
      </c>
      <c r="T28" s="3748" t="s">
        <v>13</v>
      </c>
      <c r="U28" s="3262">
        <f>H28</f>
        <v>100</v>
      </c>
      <c r="V28" s="3748" t="s">
        <v>13</v>
      </c>
      <c r="W28" s="3262">
        <f>J28</f>
        <v>100</v>
      </c>
      <c r="X28" s="482"/>
      <c r="Y28" s="4559"/>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57"/>
      <c r="Q29" s="1533">
        <f t="shared" si="11"/>
        <v>111</v>
      </c>
      <c r="R29" s="3849" t="s">
        <v>13</v>
      </c>
      <c r="S29" s="3263">
        <f t="shared" ref="S29:S47" si="12">F29</f>
        <v>100</v>
      </c>
      <c r="T29" s="3849" t="s">
        <v>13</v>
      </c>
      <c r="U29" s="3263">
        <f t="shared" ref="U29:U47" si="13">H29</f>
        <v>100</v>
      </c>
      <c r="V29" s="3849" t="s">
        <v>13</v>
      </c>
      <c r="W29" s="3263">
        <f t="shared" ref="W29:W47" si="14">J29</f>
        <v>100</v>
      </c>
      <c r="X29" s="935"/>
      <c r="Y29" s="4559"/>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57"/>
      <c r="Q30" s="1533">
        <f t="shared" si="11"/>
        <v>111</v>
      </c>
      <c r="R30" s="3849" t="s">
        <v>13</v>
      </c>
      <c r="S30" s="3263">
        <f t="shared" si="12"/>
        <v>100</v>
      </c>
      <c r="T30" s="3849" t="s">
        <v>13</v>
      </c>
      <c r="U30" s="3263">
        <f t="shared" si="13"/>
        <v>100</v>
      </c>
      <c r="V30" s="3849" t="s">
        <v>13</v>
      </c>
      <c r="W30" s="3263">
        <f t="shared" si="14"/>
        <v>100</v>
      </c>
      <c r="X30" s="935"/>
      <c r="Y30" s="4559"/>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57"/>
      <c r="Q31" s="1533">
        <f t="shared" si="11"/>
        <v>111</v>
      </c>
      <c r="R31" s="3849" t="s">
        <v>13</v>
      </c>
      <c r="S31" s="3263">
        <f t="shared" si="12"/>
        <v>100</v>
      </c>
      <c r="T31" s="3849" t="s">
        <v>13</v>
      </c>
      <c r="U31" s="3263">
        <f t="shared" si="13"/>
        <v>100</v>
      </c>
      <c r="V31" s="3849" t="s">
        <v>13</v>
      </c>
      <c r="W31" s="3263">
        <f t="shared" si="14"/>
        <v>100</v>
      </c>
      <c r="X31" s="935"/>
      <c r="Y31" s="4559"/>
      <c r="Z31" s="933">
        <f t="shared" si="15"/>
        <v>111</v>
      </c>
      <c r="AA31" s="933">
        <f t="shared" si="3"/>
        <v>1</v>
      </c>
      <c r="AB31" s="933">
        <f t="shared" si="4"/>
        <v>1</v>
      </c>
      <c r="AC31" s="1442">
        <f t="shared" si="5"/>
        <v>1</v>
      </c>
    </row>
    <row r="32" spans="1:29" ht="15.6"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57"/>
      <c r="Q32" s="1533">
        <f t="shared" si="11"/>
        <v>111</v>
      </c>
      <c r="R32" s="3849" t="s">
        <v>13</v>
      </c>
      <c r="S32" s="3263">
        <f t="shared" si="12"/>
        <v>100</v>
      </c>
      <c r="T32" s="3849" t="s">
        <v>13</v>
      </c>
      <c r="U32" s="3263">
        <f t="shared" si="13"/>
        <v>100</v>
      </c>
      <c r="V32" s="3849" t="s">
        <v>13</v>
      </c>
      <c r="W32" s="3263">
        <f t="shared" si="14"/>
        <v>100</v>
      </c>
      <c r="X32" s="935"/>
      <c r="Y32" s="4559"/>
      <c r="Z32" s="933">
        <f t="shared" si="15"/>
        <v>111</v>
      </c>
      <c r="AA32" s="933">
        <f t="shared" si="3"/>
        <v>1</v>
      </c>
      <c r="AB32" s="933">
        <f t="shared" si="4"/>
        <v>1</v>
      </c>
      <c r="AC32" s="1442">
        <f t="shared" si="5"/>
        <v>1</v>
      </c>
    </row>
    <row r="33" spans="1:29" ht="15">
      <c r="A33" s="262" t="s">
        <v>1606</v>
      </c>
      <c r="B33" s="34" t="s">
        <v>1729</v>
      </c>
      <c r="C33" s="1446" t="s">
        <v>4185</v>
      </c>
      <c r="D33" s="2987">
        <v>100</v>
      </c>
      <c r="E33" s="1446" t="s">
        <v>4185</v>
      </c>
      <c r="F33" s="934">
        <f>SUMIF(101:101,E33,102:102)-SUMIF(101:101,C33,102:102)+100</f>
        <v>100</v>
      </c>
      <c r="G33" s="1446" t="s">
        <v>4185</v>
      </c>
      <c r="H33" s="3865">
        <f>SUMIF(101:101,G33,102:102)-SUMIF(101:101,C33,102:102)+100</f>
        <v>100</v>
      </c>
      <c r="I33" s="1446" t="s">
        <v>4185</v>
      </c>
      <c r="J33" s="3868">
        <f>SUMIF(101:101,I33,102:102)-SUMIF(101:101,C33,102:102)+100</f>
        <v>100</v>
      </c>
      <c r="K33" s="394">
        <v>5</v>
      </c>
      <c r="L33" s="2013"/>
      <c r="M33" s="2008"/>
      <c r="N33" s="2008"/>
      <c r="O33" s="2008"/>
      <c r="P33" s="4560" t="s">
        <v>1608</v>
      </c>
      <c r="Q33" s="1533" t="str">
        <f t="shared" si="11"/>
        <v>建筑类型</v>
      </c>
      <c r="R33" s="3849" t="s">
        <v>13</v>
      </c>
      <c r="S33" s="3263">
        <f t="shared" si="12"/>
        <v>100</v>
      </c>
      <c r="T33" s="3849" t="s">
        <v>13</v>
      </c>
      <c r="U33" s="3263">
        <f t="shared" si="13"/>
        <v>100</v>
      </c>
      <c r="V33" s="3849" t="s">
        <v>13</v>
      </c>
      <c r="W33" s="3263">
        <f t="shared" si="14"/>
        <v>100</v>
      </c>
      <c r="X33" s="935"/>
      <c r="Y33" s="4563" t="s">
        <v>1608</v>
      </c>
      <c r="Z33" s="933" t="str">
        <f t="shared" si="15"/>
        <v>建筑类型</v>
      </c>
      <c r="AA33" s="933">
        <f t="shared" si="3"/>
        <v>1</v>
      </c>
      <c r="AB33" s="933">
        <f t="shared" si="4"/>
        <v>1</v>
      </c>
      <c r="AC33" s="1442">
        <f t="shared" si="5"/>
        <v>1</v>
      </c>
    </row>
    <row r="34" spans="1:29" s="279" customFormat="1" ht="15">
      <c r="A34" s="277"/>
      <c r="B34" s="252" t="s">
        <v>1609</v>
      </c>
      <c r="C34" s="278">
        <f>'数据-汇总表'!E3</f>
        <v>57408.26</v>
      </c>
      <c r="D34" s="2978">
        <v>100</v>
      </c>
      <c r="E34" s="256">
        <f>悦荣中心!I20</f>
        <v>15106.529999999999</v>
      </c>
      <c r="F34" s="252">
        <f>LOOKUP(E34,104:104,105:105)-LOOKUP(C34,104:104,105:105)+100</f>
        <v>102</v>
      </c>
      <c r="G34" s="255">
        <f>华樾北京!M94</f>
        <v>21750.470000000008</v>
      </c>
      <c r="H34" s="422">
        <f>LOOKUP(G34,104:104,105:105)-LOOKUP(C34,104:104,105:105)+100</f>
        <v>101</v>
      </c>
      <c r="I34" s="255">
        <f>华樾北京2!I14</f>
        <v>10575.420000000002</v>
      </c>
      <c r="J34" s="422">
        <f>LOOKUP(I34,104:104,105:105)-LOOKUP(C34,104:104,105:105)+100</f>
        <v>102</v>
      </c>
      <c r="K34" s="395"/>
      <c r="L34" s="2012"/>
      <c r="M34" s="2014"/>
      <c r="N34" s="2014"/>
      <c r="O34" s="2014"/>
      <c r="P34" s="4561"/>
      <c r="Q34" s="2941" t="str">
        <f t="shared" si="11"/>
        <v>项目建筑规模</v>
      </c>
      <c r="R34" s="3850" t="s">
        <v>13</v>
      </c>
      <c r="S34" s="3264">
        <f t="shared" si="12"/>
        <v>102</v>
      </c>
      <c r="T34" s="3850" t="s">
        <v>13</v>
      </c>
      <c r="U34" s="3264">
        <f t="shared" si="13"/>
        <v>101</v>
      </c>
      <c r="V34" s="3850" t="s">
        <v>13</v>
      </c>
      <c r="W34" s="3264">
        <f t="shared" si="14"/>
        <v>102</v>
      </c>
      <c r="X34" s="484"/>
      <c r="Y34" s="4563"/>
      <c r="Z34" s="485" t="str">
        <f t="shared" si="15"/>
        <v>项目建筑规模</v>
      </c>
      <c r="AA34" s="933">
        <f t="shared" si="3"/>
        <v>0.98039215686274506</v>
      </c>
      <c r="AB34" s="933">
        <f t="shared" si="4"/>
        <v>0.99009900990099009</v>
      </c>
      <c r="AC34" s="1442">
        <f t="shared" si="5"/>
        <v>0.98039215686274506</v>
      </c>
    </row>
    <row r="35" spans="1:29" ht="15">
      <c r="A35" s="280"/>
      <c r="B35" s="252" t="s">
        <v>1610</v>
      </c>
      <c r="C35" s="275" t="s">
        <v>4155</v>
      </c>
      <c r="D35" s="2980">
        <v>100</v>
      </c>
      <c r="E35" s="275" t="s">
        <v>4155</v>
      </c>
      <c r="F35" s="934">
        <f>SUMIF(106:106,E35,107:107)-SUMIF(106:106,C35,107:107)+100</f>
        <v>100</v>
      </c>
      <c r="G35" s="275" t="s">
        <v>4155</v>
      </c>
      <c r="H35" s="3865">
        <f>SUMIF(106:106,G35,107:107)-SUMIF(106:106,C35,107:107)+100</f>
        <v>100</v>
      </c>
      <c r="I35" s="275" t="s">
        <v>4155</v>
      </c>
      <c r="J35" s="3865">
        <f>SUMIF(106:106,I35,107:107)-SUMIF(106:106,C35,107:107)+100</f>
        <v>100</v>
      </c>
      <c r="K35" s="394">
        <v>2</v>
      </c>
      <c r="L35" s="2013"/>
      <c r="M35" s="2008"/>
      <c r="N35" s="2008"/>
      <c r="O35" s="2008"/>
      <c r="P35" s="4561"/>
      <c r="Q35" s="1533" t="str">
        <f t="shared" si="11"/>
        <v>建筑结构</v>
      </c>
      <c r="R35" s="3849" t="s">
        <v>13</v>
      </c>
      <c r="S35" s="3263">
        <f t="shared" si="12"/>
        <v>100</v>
      </c>
      <c r="T35" s="3849" t="s">
        <v>13</v>
      </c>
      <c r="U35" s="3263">
        <f t="shared" si="13"/>
        <v>100</v>
      </c>
      <c r="V35" s="3849" t="s">
        <v>13</v>
      </c>
      <c r="W35" s="3263">
        <f t="shared" si="14"/>
        <v>100</v>
      </c>
      <c r="X35" s="935"/>
      <c r="Y35" s="4563"/>
      <c r="Z35" s="933" t="str">
        <f t="shared" si="15"/>
        <v>建筑结构</v>
      </c>
      <c r="AA35" s="933">
        <f t="shared" si="3"/>
        <v>1</v>
      </c>
      <c r="AB35" s="933">
        <f t="shared" si="4"/>
        <v>1</v>
      </c>
      <c r="AC35" s="1442">
        <f t="shared" si="5"/>
        <v>1</v>
      </c>
    </row>
    <row r="36" spans="1:29" ht="15">
      <c r="A36" s="280"/>
      <c r="B36" s="252" t="s">
        <v>1697</v>
      </c>
      <c r="C36" s="275" t="s">
        <v>4267</v>
      </c>
      <c r="D36" s="2980">
        <v>100</v>
      </c>
      <c r="E36" s="275" t="s">
        <v>4267</v>
      </c>
      <c r="F36" s="934">
        <f>SUMIF(108:108,E36,109:109)-SUMIF(108:108,C36,109:109)+100</f>
        <v>100</v>
      </c>
      <c r="G36" s="275" t="s">
        <v>4267</v>
      </c>
      <c r="H36" s="3865">
        <f>SUMIF(108:108,G36,109:109)-SUMIF(108:108,C36,109:109)+100</f>
        <v>100</v>
      </c>
      <c r="I36" s="275" t="s">
        <v>4267</v>
      </c>
      <c r="J36" s="3865">
        <f>SUMIF(108:108,I36,109:109)-SUMIF(108:108,C36,109:109)+100</f>
        <v>100</v>
      </c>
      <c r="K36" s="394">
        <v>2</v>
      </c>
      <c r="L36" s="2013"/>
      <c r="M36" s="2008"/>
      <c r="N36" s="2008"/>
      <c r="O36" s="2008"/>
      <c r="P36" s="4561"/>
      <c r="Q36" s="1533" t="str">
        <f t="shared" si="11"/>
        <v>公共部分装修</v>
      </c>
      <c r="R36" s="3849" t="s">
        <v>13</v>
      </c>
      <c r="S36" s="3263">
        <f t="shared" si="12"/>
        <v>100</v>
      </c>
      <c r="T36" s="3849" t="s">
        <v>13</v>
      </c>
      <c r="U36" s="3263">
        <f t="shared" si="13"/>
        <v>100</v>
      </c>
      <c r="V36" s="3849" t="s">
        <v>13</v>
      </c>
      <c r="W36" s="3263">
        <f t="shared" si="14"/>
        <v>100</v>
      </c>
      <c r="X36" s="935"/>
      <c r="Y36" s="4563"/>
      <c r="Z36" s="933" t="str">
        <f t="shared" si="15"/>
        <v>公共部分装修</v>
      </c>
      <c r="AA36" s="933">
        <f t="shared" si="3"/>
        <v>1</v>
      </c>
      <c r="AB36" s="933">
        <f t="shared" si="4"/>
        <v>1</v>
      </c>
      <c r="AC36" s="1442">
        <f t="shared" si="5"/>
        <v>1</v>
      </c>
    </row>
    <row r="37" spans="1:29" ht="15">
      <c r="A37" s="280"/>
      <c r="B37" s="252" t="s">
        <v>1698</v>
      </c>
      <c r="C37" s="282">
        <f>'数据-取费表'!N6</f>
        <v>0.92</v>
      </c>
      <c r="D37" s="2980">
        <v>100</v>
      </c>
      <c r="E37" s="282">
        <f>ROUND(1-(2026-E52)/60,2)</f>
        <v>0.92</v>
      </c>
      <c r="F37" s="934">
        <f>LOOKUP(E37,111:111,112:112)-LOOKUP(C37,111:111,112:112)+100</f>
        <v>100</v>
      </c>
      <c r="G37" s="282">
        <f>ROUND(1-(2026-G52)/60,2)</f>
        <v>0.87</v>
      </c>
      <c r="H37" s="934">
        <f>LOOKUP(G37,111:111,112:112)-LOOKUP(C37,111:111,112:112)+100</f>
        <v>98</v>
      </c>
      <c r="I37" s="282">
        <f>ROUND(1-(2026-I52)/60,2)</f>
        <v>0.87</v>
      </c>
      <c r="J37" s="3865">
        <f>LOOKUP(I37,111:111,112:112)-LOOKUP(C37,111:111,112:112)+100</f>
        <v>98</v>
      </c>
      <c r="K37" s="394">
        <v>2</v>
      </c>
      <c r="L37" s="2013"/>
      <c r="M37" s="2008"/>
      <c r="N37" s="2008"/>
      <c r="O37" s="2008"/>
      <c r="P37" s="4561"/>
      <c r="Q37" s="1533" t="str">
        <f t="shared" si="11"/>
        <v>成新度</v>
      </c>
      <c r="R37" s="3849" t="s">
        <v>13</v>
      </c>
      <c r="S37" s="3263">
        <f t="shared" si="12"/>
        <v>100</v>
      </c>
      <c r="T37" s="3849" t="s">
        <v>13</v>
      </c>
      <c r="U37" s="3263">
        <f t="shared" si="13"/>
        <v>98</v>
      </c>
      <c r="V37" s="3849" t="s">
        <v>13</v>
      </c>
      <c r="W37" s="3263">
        <f t="shared" si="14"/>
        <v>98</v>
      </c>
      <c r="X37" s="935"/>
      <c r="Y37" s="4563"/>
      <c r="Z37" s="933" t="str">
        <f t="shared" si="15"/>
        <v>成新度</v>
      </c>
      <c r="AA37" s="933">
        <f t="shared" si="3"/>
        <v>1</v>
      </c>
      <c r="AB37" s="933">
        <f t="shared" si="4"/>
        <v>1.0204081632653061</v>
      </c>
      <c r="AC37" s="1442">
        <f t="shared" si="5"/>
        <v>1.0204081632653061</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v>2</v>
      </c>
      <c r="L38" s="2009"/>
      <c r="M38" s="1962"/>
      <c r="N38" s="1962"/>
      <c r="O38" s="1962"/>
      <c r="P38" s="4561"/>
      <c r="Q38" s="1731" t="str">
        <f t="shared" si="11"/>
        <v>写字楼等级</v>
      </c>
      <c r="R38" s="3748" t="s">
        <v>13</v>
      </c>
      <c r="S38" s="3262">
        <f t="shared" si="12"/>
        <v>100</v>
      </c>
      <c r="T38" s="3748" t="s">
        <v>13</v>
      </c>
      <c r="U38" s="3262">
        <f t="shared" si="13"/>
        <v>100</v>
      </c>
      <c r="V38" s="3748" t="s">
        <v>13</v>
      </c>
      <c r="W38" s="3262">
        <f t="shared" si="14"/>
        <v>100</v>
      </c>
      <c r="X38" s="482"/>
      <c r="Y38" s="4563"/>
      <c r="Z38" s="28" t="str">
        <f t="shared" si="15"/>
        <v>写字楼等级</v>
      </c>
      <c r="AA38" s="28">
        <f t="shared" si="3"/>
        <v>1</v>
      </c>
      <c r="AB38" s="28">
        <f t="shared" si="4"/>
        <v>1</v>
      </c>
      <c r="AC38" s="563">
        <f t="shared" si="5"/>
        <v>1</v>
      </c>
    </row>
    <row r="39" spans="1:29" ht="15">
      <c r="A39" s="280"/>
      <c r="B39" s="252" t="s">
        <v>1731</v>
      </c>
      <c r="C39" s="275" t="s">
        <v>4268</v>
      </c>
      <c r="D39" s="2980">
        <v>100</v>
      </c>
      <c r="E39" s="275" t="s">
        <v>4268</v>
      </c>
      <c r="F39" s="934">
        <f>SUMIF(115:115,E39,116:116)-SUMIF(115:115,C39,116:116)+100</f>
        <v>100</v>
      </c>
      <c r="G39" s="275" t="s">
        <v>4268</v>
      </c>
      <c r="H39" s="3865">
        <f>SUMIF(115:115,G39,116:116)-SUMIF(115:115,C39,116:116)+100</f>
        <v>100</v>
      </c>
      <c r="I39" s="275" t="s">
        <v>4268</v>
      </c>
      <c r="J39" s="3865">
        <f>SUMIF(115:115,I39,116:116)-SUMIF(115:115,C39,116:116)+100</f>
        <v>100</v>
      </c>
      <c r="K39" s="394">
        <v>2</v>
      </c>
      <c r="L39" s="2013"/>
      <c r="M39" s="2008"/>
      <c r="N39" s="2008"/>
      <c r="O39" s="2008"/>
      <c r="P39" s="4561" t="s">
        <v>1608</v>
      </c>
      <c r="Q39" s="1533" t="str">
        <f t="shared" si="11"/>
        <v>物业管理</v>
      </c>
      <c r="R39" s="3849" t="s">
        <v>13</v>
      </c>
      <c r="S39" s="3263">
        <f t="shared" si="12"/>
        <v>100</v>
      </c>
      <c r="T39" s="3849" t="s">
        <v>13</v>
      </c>
      <c r="U39" s="3263">
        <f t="shared" si="13"/>
        <v>100</v>
      </c>
      <c r="V39" s="3849" t="s">
        <v>13</v>
      </c>
      <c r="W39" s="3263">
        <f t="shared" si="14"/>
        <v>100</v>
      </c>
      <c r="X39" s="935"/>
      <c r="Y39" s="4563"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561"/>
      <c r="Q40" s="1533" t="str">
        <f t="shared" si="11"/>
        <v>市政基础设施</v>
      </c>
      <c r="R40" s="3849" t="s">
        <v>13</v>
      </c>
      <c r="S40" s="3263">
        <f t="shared" si="12"/>
        <v>100</v>
      </c>
      <c r="T40" s="3849" t="s">
        <v>13</v>
      </c>
      <c r="U40" s="3263">
        <f t="shared" si="13"/>
        <v>100</v>
      </c>
      <c r="V40" s="3849" t="s">
        <v>13</v>
      </c>
      <c r="W40" s="3263">
        <f t="shared" si="14"/>
        <v>100</v>
      </c>
      <c r="X40" s="935"/>
      <c r="Y40" s="4563"/>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561"/>
      <c r="Q41" s="1533" t="str">
        <f t="shared" si="11"/>
        <v>层高</v>
      </c>
      <c r="R41" s="3849" t="s">
        <v>13</v>
      </c>
      <c r="S41" s="3263">
        <f t="shared" si="12"/>
        <v>100</v>
      </c>
      <c r="T41" s="3849" t="s">
        <v>13</v>
      </c>
      <c r="U41" s="3263">
        <f t="shared" si="13"/>
        <v>100</v>
      </c>
      <c r="V41" s="3849" t="s">
        <v>13</v>
      </c>
      <c r="W41" s="3263">
        <f t="shared" si="14"/>
        <v>100</v>
      </c>
      <c r="X41" s="935"/>
      <c r="Y41" s="4563"/>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561"/>
      <c r="Q42" s="2941" t="str">
        <f t="shared" si="11"/>
        <v>单套建筑面积</v>
      </c>
      <c r="R42" s="3850" t="s">
        <v>13</v>
      </c>
      <c r="S42" s="3264">
        <f t="shared" si="12"/>
        <v>100</v>
      </c>
      <c r="T42" s="3850" t="s">
        <v>13</v>
      </c>
      <c r="U42" s="3264">
        <f t="shared" si="13"/>
        <v>100</v>
      </c>
      <c r="V42" s="3850" t="s">
        <v>13</v>
      </c>
      <c r="W42" s="3264">
        <f t="shared" si="14"/>
        <v>100</v>
      </c>
      <c r="X42" s="484"/>
      <c r="Y42" s="4563"/>
      <c r="Z42" s="485" t="str">
        <f t="shared" si="15"/>
        <v>单套建筑面积</v>
      </c>
      <c r="AA42" s="933">
        <f t="shared" si="3"/>
        <v>1</v>
      </c>
      <c r="AB42" s="933">
        <f t="shared" si="4"/>
        <v>1</v>
      </c>
      <c r="AC42" s="1442">
        <f t="shared" si="5"/>
        <v>1</v>
      </c>
    </row>
    <row r="43" spans="1:29" ht="15">
      <c r="A43" s="280"/>
      <c r="B43" s="252" t="s">
        <v>1704</v>
      </c>
      <c r="C43" s="275" t="s">
        <v>4269</v>
      </c>
      <c r="D43" s="2980">
        <v>100</v>
      </c>
      <c r="E43" s="275" t="s">
        <v>4278</v>
      </c>
      <c r="F43" s="934">
        <f>SUMIF(123:123,E43,124:124)-SUMIF(123:123,C43,124:124)+100</f>
        <v>96</v>
      </c>
      <c r="G43" s="275" t="s">
        <v>4278</v>
      </c>
      <c r="H43" s="3865">
        <f>SUMIF(123:123,G43,124:124)-SUMIF(123:123,C43,124:124)+100</f>
        <v>96</v>
      </c>
      <c r="I43" s="275" t="s">
        <v>4278</v>
      </c>
      <c r="J43" s="3865">
        <f>SUMIF(123:123,I43,124:124)-SUMIF(123:123,C43,124:124)+100</f>
        <v>96</v>
      </c>
      <c r="K43" s="394">
        <v>2</v>
      </c>
      <c r="L43" s="2013"/>
      <c r="M43" s="2008"/>
      <c r="N43" s="2008"/>
      <c r="O43" s="2008"/>
      <c r="P43" s="4561"/>
      <c r="Q43" s="1533" t="str">
        <f t="shared" si="11"/>
        <v>内部装修</v>
      </c>
      <c r="R43" s="3849" t="s">
        <v>13</v>
      </c>
      <c r="S43" s="3263">
        <f t="shared" si="12"/>
        <v>96</v>
      </c>
      <c r="T43" s="3849" t="s">
        <v>13</v>
      </c>
      <c r="U43" s="3263">
        <f t="shared" si="13"/>
        <v>96</v>
      </c>
      <c r="V43" s="3849" t="s">
        <v>13</v>
      </c>
      <c r="W43" s="3263">
        <f t="shared" si="14"/>
        <v>96</v>
      </c>
      <c r="X43" s="935"/>
      <c r="Y43" s="4563"/>
      <c r="Z43" s="933" t="str">
        <f t="shared" si="15"/>
        <v>内部装修</v>
      </c>
      <c r="AA43" s="933">
        <f t="shared" si="3"/>
        <v>1.0416666666666667</v>
      </c>
      <c r="AB43" s="933">
        <f t="shared" si="4"/>
        <v>1.0416666666666667</v>
      </c>
      <c r="AC43" s="1442">
        <f t="shared" si="5"/>
        <v>1.0416666666666667</v>
      </c>
    </row>
    <row r="44" spans="1:29" ht="28.8">
      <c r="A44" s="280"/>
      <c r="B44" s="252" t="s">
        <v>1619</v>
      </c>
      <c r="C44" s="275" t="s">
        <v>3616</v>
      </c>
      <c r="D44" s="2980">
        <v>100</v>
      </c>
      <c r="E44" s="1395" t="s">
        <v>3616</v>
      </c>
      <c r="F44" s="934">
        <f>SUMIF(125:125,E44,126:126)-SUMIF(125:125,C44,126:126)+100</f>
        <v>100</v>
      </c>
      <c r="G44" s="1395" t="s">
        <v>3616</v>
      </c>
      <c r="H44" s="3865">
        <f>SUMIF(125:125,G44,126:126)-SUMIF(125:125,C44,126:126)+100</f>
        <v>100</v>
      </c>
      <c r="I44" s="1395" t="s">
        <v>3616</v>
      </c>
      <c r="J44" s="3865">
        <f>SUMIF(125:125,I44,126:126)-SUMIF(125:125,C44,126:126)+100</f>
        <v>100</v>
      </c>
      <c r="K44" s="394">
        <v>1</v>
      </c>
      <c r="L44" s="2013"/>
      <c r="M44" s="2008"/>
      <c r="N44" s="2008"/>
      <c r="O44" s="2008"/>
      <c r="P44" s="4561"/>
      <c r="Q44" s="1533" t="str">
        <f t="shared" si="11"/>
        <v>内部装修维护情况</v>
      </c>
      <c r="R44" s="3849" t="s">
        <v>13</v>
      </c>
      <c r="S44" s="3263">
        <f t="shared" si="12"/>
        <v>100</v>
      </c>
      <c r="T44" s="3849" t="s">
        <v>13</v>
      </c>
      <c r="U44" s="3263">
        <f t="shared" si="13"/>
        <v>100</v>
      </c>
      <c r="V44" s="3849" t="s">
        <v>13</v>
      </c>
      <c r="W44" s="3263">
        <f t="shared" si="14"/>
        <v>100</v>
      </c>
      <c r="X44" s="935"/>
      <c r="Y44" s="4563"/>
      <c r="Z44" s="933" t="str">
        <f t="shared" si="15"/>
        <v>内部装修维护情况</v>
      </c>
      <c r="AA44" s="933">
        <f t="shared" si="3"/>
        <v>1</v>
      </c>
      <c r="AB44" s="933">
        <f t="shared" si="4"/>
        <v>1</v>
      </c>
      <c r="AC44" s="1442">
        <f t="shared" si="5"/>
        <v>1</v>
      </c>
    </row>
    <row r="45" spans="1:29" s="46" customFormat="1" ht="15">
      <c r="A45" s="281"/>
      <c r="B45" s="4329" t="s">
        <v>4273</v>
      </c>
      <c r="C45" s="278" t="s">
        <v>4281</v>
      </c>
      <c r="D45" s="2978">
        <v>100</v>
      </c>
      <c r="E45" s="258" t="s">
        <v>4270</v>
      </c>
      <c r="F45" s="252">
        <f>SUMIF(127:127,E45,128:128)-SUMIF(127:127,C45,128:128)+100</f>
        <v>106</v>
      </c>
      <c r="G45" s="4333" t="s">
        <v>4288</v>
      </c>
      <c r="H45" s="422">
        <f>SUMIF(127:127,G45,128:128)-SUMIF(127:127,C45,128:128)+100</f>
        <v>94</v>
      </c>
      <c r="I45" s="258" t="s">
        <v>4289</v>
      </c>
      <c r="J45" s="422">
        <f>SUMIF(127:127,I45,128:128)-SUMIF(127:127,C45,128:128)+100</f>
        <v>97</v>
      </c>
      <c r="K45" s="395"/>
      <c r="L45" s="2009"/>
      <c r="M45" s="1962"/>
      <c r="N45" s="1962"/>
      <c r="O45" s="1962"/>
      <c r="P45" s="4561"/>
      <c r="Q45" s="1731" t="str">
        <f t="shared" si="11"/>
        <v>地下占比</v>
      </c>
      <c r="R45" s="3748" t="s">
        <v>13</v>
      </c>
      <c r="S45" s="3262">
        <f t="shared" si="12"/>
        <v>106</v>
      </c>
      <c r="T45" s="3748" t="s">
        <v>13</v>
      </c>
      <c r="U45" s="3262">
        <f t="shared" si="13"/>
        <v>94</v>
      </c>
      <c r="V45" s="3748" t="s">
        <v>13</v>
      </c>
      <c r="W45" s="3262">
        <f t="shared" si="14"/>
        <v>97</v>
      </c>
      <c r="X45" s="482"/>
      <c r="Y45" s="4563"/>
      <c r="Z45" s="28" t="str">
        <f t="shared" si="15"/>
        <v>地下占比</v>
      </c>
      <c r="AA45" s="28">
        <f t="shared" si="3"/>
        <v>0.94339622641509435</v>
      </c>
      <c r="AB45" s="28">
        <f t="shared" si="4"/>
        <v>1.0638297872340425</v>
      </c>
      <c r="AC45" s="563">
        <f t="shared" si="5"/>
        <v>1.0309278350515463</v>
      </c>
    </row>
    <row r="46" spans="1:29" ht="28.8">
      <c r="A46" s="280"/>
      <c r="B46" s="4329" t="s">
        <v>4283</v>
      </c>
      <c r="C46" s="4331" t="s">
        <v>4284</v>
      </c>
      <c r="D46" s="2980">
        <v>100</v>
      </c>
      <c r="E46" s="4332" t="s">
        <v>4285</v>
      </c>
      <c r="F46" s="934">
        <f>SUMIF(129:129,E46,130:130)-SUMIF(129:129,C46,130:130)+100</f>
        <v>100</v>
      </c>
      <c r="G46" s="4332" t="s">
        <v>4286</v>
      </c>
      <c r="H46" s="3865">
        <f>SUMIF(129:129,G46,130:130)-SUMIF(129:129,C46,130:130)+100</f>
        <v>100</v>
      </c>
      <c r="I46" s="4332" t="s">
        <v>4287</v>
      </c>
      <c r="J46" s="3865">
        <f>SUMIF(129:129,I46,130:130)-SUMIF(129:129,C46,130:130)+100</f>
        <v>110</v>
      </c>
      <c r="K46" s="395"/>
      <c r="L46" s="2013"/>
      <c r="M46" s="2008"/>
      <c r="N46" s="2008"/>
      <c r="O46" s="2008"/>
      <c r="P46" s="4561"/>
      <c r="Q46" s="1533" t="str">
        <f t="shared" si="11"/>
        <v>地下用途</v>
      </c>
      <c r="R46" s="3849" t="s">
        <v>13</v>
      </c>
      <c r="S46" s="3263">
        <f t="shared" si="12"/>
        <v>100</v>
      </c>
      <c r="T46" s="3849" t="s">
        <v>13</v>
      </c>
      <c r="U46" s="3263">
        <f t="shared" si="13"/>
        <v>100</v>
      </c>
      <c r="V46" s="3849" t="s">
        <v>13</v>
      </c>
      <c r="W46" s="3263">
        <f t="shared" si="14"/>
        <v>110</v>
      </c>
      <c r="X46" s="935"/>
      <c r="Y46" s="4563"/>
      <c r="Z46" s="933" t="str">
        <f t="shared" si="15"/>
        <v>地下用途</v>
      </c>
      <c r="AA46" s="933">
        <f t="shared" si="3"/>
        <v>1</v>
      </c>
      <c r="AB46" s="933">
        <f t="shared" si="4"/>
        <v>1</v>
      </c>
      <c r="AC46" s="1442">
        <f t="shared" si="5"/>
        <v>0.90909090909090906</v>
      </c>
    </row>
    <row r="47" spans="1:29" ht="15.6"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562"/>
      <c r="Q47" s="1533">
        <f t="shared" si="11"/>
        <v>111</v>
      </c>
      <c r="R47" s="3849" t="s">
        <v>13</v>
      </c>
      <c r="S47" s="3263">
        <f t="shared" si="12"/>
        <v>100</v>
      </c>
      <c r="T47" s="3849" t="s">
        <v>13</v>
      </c>
      <c r="U47" s="3263">
        <f t="shared" si="13"/>
        <v>100</v>
      </c>
      <c r="V47" s="3849" t="s">
        <v>13</v>
      </c>
      <c r="W47" s="3263">
        <f t="shared" si="14"/>
        <v>100</v>
      </c>
      <c r="X47" s="935"/>
      <c r="Y47" s="4564"/>
      <c r="Z47" s="933">
        <f t="shared" si="15"/>
        <v>111</v>
      </c>
      <c r="AA47" s="933">
        <f t="shared" si="3"/>
        <v>1</v>
      </c>
      <c r="AB47" s="933">
        <f t="shared" si="4"/>
        <v>1</v>
      </c>
      <c r="AC47" s="1442">
        <f t="shared" si="5"/>
        <v>1</v>
      </c>
    </row>
    <row r="48" spans="1:29" ht="14.4">
      <c r="A48" s="286" t="s">
        <v>1620</v>
      </c>
      <c r="B48" s="287"/>
      <c r="C48" s="787" t="s">
        <v>0</v>
      </c>
      <c r="D48" s="288"/>
      <c r="E48" s="3311">
        <f>悦荣中心!K20</f>
        <v>42597</v>
      </c>
      <c r="F48" s="3259"/>
      <c r="G48" s="3312">
        <f>华樾北京!O94</f>
        <v>37700</v>
      </c>
      <c r="H48" s="3260"/>
      <c r="I48" s="3311">
        <f>华樾北京2!K14</f>
        <v>44386</v>
      </c>
      <c r="J48" s="3260"/>
      <c r="K48" s="2939"/>
      <c r="L48" s="2015"/>
      <c r="M48" s="2008"/>
      <c r="N48" s="2008"/>
      <c r="O48" s="2008"/>
      <c r="P48" s="4550" t="str">
        <f>A48</f>
        <v>成交单价（元/平方米）</v>
      </c>
      <c r="Q48" s="4551"/>
      <c r="R48" s="4552">
        <f>E48</f>
        <v>42597</v>
      </c>
      <c r="S48" s="4552"/>
      <c r="T48" s="4552">
        <f>G48</f>
        <v>37700</v>
      </c>
      <c r="U48" s="4552"/>
      <c r="V48" s="4552">
        <f>I48</f>
        <v>44386</v>
      </c>
      <c r="W48" s="4552"/>
      <c r="X48" s="265"/>
      <c r="Y48" s="486"/>
      <c r="Z48" s="265"/>
      <c r="AA48" s="265"/>
      <c r="AB48" s="265"/>
      <c r="AC48" s="404"/>
    </row>
    <row r="49" spans="1:36" ht="15" thickBot="1">
      <c r="A49" s="289" t="s">
        <v>1705</v>
      </c>
      <c r="B49" s="290"/>
      <c r="C49" s="3847">
        <f>R50</f>
        <v>38223</v>
      </c>
      <c r="D49" s="3960" t="s">
        <v>2047</v>
      </c>
      <c r="E49" s="3858">
        <f>R49</f>
        <v>36292</v>
      </c>
      <c r="F49" s="2878"/>
      <c r="G49" s="3847">
        <f>T49</f>
        <v>39193</v>
      </c>
      <c r="H49" s="2878"/>
      <c r="I49" s="3858">
        <f>V49</f>
        <v>39185</v>
      </c>
      <c r="J49" s="2878"/>
      <c r="K49" s="2932">
        <f>F49+H49+J49</f>
        <v>0</v>
      </c>
      <c r="L49" s="2015"/>
      <c r="M49" s="2008"/>
      <c r="N49" s="2008"/>
      <c r="O49" s="2008"/>
      <c r="P49" s="4550" t="str">
        <f>A49</f>
        <v>比较价值（元/平方米）</v>
      </c>
      <c r="Q49" s="4551"/>
      <c r="R49" s="4552">
        <f>IF(F1="售价",ROUND(PRODUCT(R48,AA7:AA47),0),ROUND(PRODUCT(R48,AA7:AA47),1))</f>
        <v>36292</v>
      </c>
      <c r="S49" s="4552"/>
      <c r="T49" s="4552">
        <f>IF(F1="售价",ROUND(PRODUCT(T48,AB7:AB47),0),ROUND(PRODUCT(T48,AB7:AB47),1))</f>
        <v>39193</v>
      </c>
      <c r="U49" s="4552"/>
      <c r="V49" s="4552">
        <f>IF(F1="售价",ROUND(PRODUCT(V48,AC7:AC47),0),ROUND(PRODUCT(V48,AC7:AC47),1))</f>
        <v>39185</v>
      </c>
      <c r="W49" s="4552"/>
      <c r="X49" s="265"/>
      <c r="Y49" s="265"/>
      <c r="Z49" s="265"/>
      <c r="AA49" s="265"/>
      <c r="AB49" s="265"/>
      <c r="AC49" s="404"/>
    </row>
    <row r="50" spans="1:36" ht="15" thickBot="1">
      <c r="A50" s="291" t="s">
        <v>1706</v>
      </c>
      <c r="B50" s="292"/>
      <c r="C50" s="3859">
        <f>R50</f>
        <v>38223</v>
      </c>
      <c r="D50" s="241"/>
      <c r="E50" s="241"/>
      <c r="F50" s="241"/>
      <c r="G50" s="241"/>
      <c r="H50" s="241"/>
      <c r="I50" s="241"/>
      <c r="J50" s="293"/>
      <c r="K50" s="487"/>
      <c r="L50" s="2015"/>
      <c r="M50" s="2008"/>
      <c r="N50" s="2008"/>
      <c r="O50" s="2008"/>
      <c r="P50" s="4553" t="str">
        <f>A50</f>
        <v>估价对象XX用房的比较价值（楼面单价，元/平方米）</v>
      </c>
      <c r="Q50" s="4554"/>
      <c r="R50" s="4555">
        <f>IF(F1="售价",ROUND(IF(D49="简单平均",AVERAGE(R49:V49),R49*F49+T49*H49+V49*J49),0),ROUND(IF(D49="简单平均",AVERAGE(R49:V49),R49*F49+T49*H49+V49*J49),1))</f>
        <v>38223</v>
      </c>
      <c r="S50" s="4555"/>
      <c r="T50" s="4555"/>
      <c r="U50" s="4555"/>
      <c r="V50" s="4555"/>
      <c r="W50" s="4555"/>
      <c r="X50" s="1428"/>
      <c r="Y50" s="1428"/>
      <c r="Z50" s="1428"/>
      <c r="AA50" s="1428"/>
      <c r="AB50" s="1428"/>
      <c r="AC50" s="1429"/>
    </row>
    <row r="51" spans="1:36">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36">
      <c r="A52" s="2008"/>
      <c r="B52" s="2008"/>
      <c r="C52" s="2008"/>
      <c r="D52" s="2008"/>
      <c r="E52" s="2008">
        <v>2021</v>
      </c>
      <c r="F52" s="2008"/>
      <c r="G52" s="2008">
        <v>2018</v>
      </c>
      <c r="H52" s="2008"/>
      <c r="I52" s="2008">
        <v>2018</v>
      </c>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36" ht="13.5" customHeight="1">
      <c r="A53" s="2008"/>
      <c r="B53" s="2008"/>
      <c r="C53" s="296" t="s">
        <v>1707</v>
      </c>
      <c r="D53" s="297"/>
      <c r="E53" s="298">
        <f>IF(E48&lt;E49,E49/E48-1,E48/E49-1)</f>
        <v>0.17372974760277748</v>
      </c>
      <c r="F53" s="299" t="str">
        <f>IF(OR(E53&gt;=0.3,E53&lt;=-0.3),"超过30%","")</f>
        <v/>
      </c>
      <c r="G53" s="298">
        <f>IF(G48&lt;G49,G49/G48-1,G48/G49-1)</f>
        <v>3.9602122015915064E-2</v>
      </c>
      <c r="H53" s="299" t="str">
        <f>IF(OR(G53&gt;=0.3,G53&lt;=-0.3),"超过30%","")</f>
        <v/>
      </c>
      <c r="I53" s="298">
        <f>IF(I48&lt;I49,I49/I48-1,I48/I49-1)</f>
        <v>0.13272936072476704</v>
      </c>
      <c r="J53" s="299"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36" ht="13.5" customHeight="1">
      <c r="A54" s="2008"/>
      <c r="B54" s="2008"/>
      <c r="C54" s="296" t="s">
        <v>1708</v>
      </c>
      <c r="D54" s="300"/>
      <c r="E54" s="298">
        <f>IF(E49&lt;G49,G49/E49-1,E49/G49-1)</f>
        <v>7.9934971894632501E-2</v>
      </c>
      <c r="F54" s="299" t="str">
        <f>IF(OR(E54&gt;=0.2,E54&lt;=-0.2),"超过20%","")</f>
        <v/>
      </c>
      <c r="G54" s="298">
        <f>IF(G49&lt;I49,I49/G49-1,G49/I49-1)</f>
        <v>2.0415975500820416E-4</v>
      </c>
      <c r="H54" s="299" t="str">
        <f>IF(OR(G54&gt;=0.2,G54&lt;=-0.2),"超过20%","")</f>
        <v/>
      </c>
      <c r="I54" s="298">
        <f>IF(I49&lt;E49,E49/I49-1,I49/E49-1)</f>
        <v>7.9714537639149041E-2</v>
      </c>
      <c r="J54" s="299"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36" s="301" customFormat="1" ht="13.5" customHeight="1">
      <c r="A55" s="2018"/>
      <c r="B55" s="2018"/>
      <c r="C55" s="296" t="s">
        <v>1709</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36"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36">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36" ht="22.2"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36" s="305" customFormat="1" ht="14.4">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f t="shared" ref="P59" si="17">EDATE(O59,-1)</f>
        <v>45627</v>
      </c>
      <c r="Q59" s="2031">
        <f t="shared" ref="Q59" si="18">EDATE(P59,-1)</f>
        <v>45597</v>
      </c>
      <c r="R59" s="2031">
        <f t="shared" ref="R59" si="19">EDATE(Q59,-1)</f>
        <v>45566</v>
      </c>
      <c r="S59" s="2031">
        <f t="shared" ref="S59" si="20">EDATE(R59,-1)</f>
        <v>45536</v>
      </c>
      <c r="T59" s="2031">
        <f t="shared" ref="T59" si="21">EDATE(S59,-1)</f>
        <v>45505</v>
      </c>
      <c r="U59" s="2031">
        <f t="shared" ref="U59" si="22">EDATE(T59,-1)</f>
        <v>45474</v>
      </c>
      <c r="V59" s="2031">
        <f t="shared" ref="V59" si="23">EDATE(U59,-1)</f>
        <v>45444</v>
      </c>
      <c r="W59" s="2031">
        <f t="shared" ref="W59" si="24">EDATE(V59,-1)</f>
        <v>45413</v>
      </c>
      <c r="X59" s="2031">
        <f t="shared" ref="X59" si="25">EDATE(W59,-1)</f>
        <v>45383</v>
      </c>
      <c r="Y59" s="2031">
        <f t="shared" ref="Y59" si="26">EDATE(X59,-1)</f>
        <v>45352</v>
      </c>
      <c r="Z59" s="2031">
        <f t="shared" ref="Z59" si="27">EDATE(Y59,-1)</f>
        <v>45323</v>
      </c>
      <c r="AA59" s="2031">
        <f t="shared" ref="AA59" si="28">EDATE(Z59,-1)</f>
        <v>45292</v>
      </c>
      <c r="AB59" s="2031">
        <f t="shared" ref="AB59" si="29">EDATE(AA59,-1)</f>
        <v>45261</v>
      </c>
      <c r="AC59" s="2031">
        <f t="shared" ref="AC59" si="30">EDATE(AB59,-1)</f>
        <v>45231</v>
      </c>
      <c r="AD59" s="305">
        <f t="shared" ref="AD59" si="31">EDATE(AC59,-1)</f>
        <v>45200</v>
      </c>
      <c r="AE59" s="305">
        <f t="shared" ref="AE59" si="32">EDATE(AD59,-1)</f>
        <v>45170</v>
      </c>
      <c r="AF59" s="305">
        <f t="shared" ref="AF59" si="33">EDATE(AE59,-1)</f>
        <v>45139</v>
      </c>
      <c r="AG59" s="305">
        <f t="shared" ref="AG59" si="34">EDATE(AF59,-1)</f>
        <v>45108</v>
      </c>
      <c r="AH59" s="305">
        <f t="shared" ref="AH59" si="35">EDATE(AG59,-1)</f>
        <v>45078</v>
      </c>
      <c r="AI59" s="305">
        <f t="shared" ref="AI59" si="36">EDATE(AH59,-1)</f>
        <v>45047</v>
      </c>
      <c r="AJ59" s="305">
        <f t="shared" ref="AJ59" si="37">EDATE(AI59,-1)</f>
        <v>45017</v>
      </c>
    </row>
    <row r="60" spans="1:36" s="46" customFormat="1">
      <c r="A60" s="306"/>
      <c r="B60" s="307"/>
      <c r="C60" s="802">
        <v>100</v>
      </c>
      <c r="D60" s="309">
        <f>C60+$C$61</f>
        <v>100.2</v>
      </c>
      <c r="E60" s="309">
        <f t="shared" ref="E60:AJ60" si="38">D60+$C$61</f>
        <v>100.4</v>
      </c>
      <c r="F60" s="309">
        <f t="shared" si="38"/>
        <v>100.60000000000001</v>
      </c>
      <c r="G60" s="309">
        <f t="shared" si="38"/>
        <v>100.80000000000001</v>
      </c>
      <c r="H60" s="309">
        <f t="shared" si="38"/>
        <v>101.00000000000001</v>
      </c>
      <c r="I60" s="309">
        <f t="shared" si="38"/>
        <v>101.20000000000002</v>
      </c>
      <c r="J60" s="309">
        <f t="shared" si="38"/>
        <v>101.40000000000002</v>
      </c>
      <c r="K60" s="309">
        <f t="shared" si="38"/>
        <v>101.60000000000002</v>
      </c>
      <c r="L60" s="309">
        <f t="shared" si="38"/>
        <v>101.80000000000003</v>
      </c>
      <c r="M60" s="310">
        <f t="shared" si="38"/>
        <v>102.00000000000003</v>
      </c>
      <c r="N60" s="309">
        <f t="shared" si="38"/>
        <v>102.20000000000003</v>
      </c>
      <c r="O60" s="310">
        <f t="shared" si="38"/>
        <v>102.40000000000003</v>
      </c>
      <c r="P60" s="2049">
        <f t="shared" si="38"/>
        <v>102.60000000000004</v>
      </c>
      <c r="Q60" s="1962">
        <f t="shared" si="38"/>
        <v>102.80000000000004</v>
      </c>
      <c r="R60" s="1962">
        <f t="shared" si="38"/>
        <v>103.00000000000004</v>
      </c>
      <c r="S60" s="1962">
        <f t="shared" si="38"/>
        <v>103.20000000000005</v>
      </c>
      <c r="T60" s="1962">
        <f t="shared" si="38"/>
        <v>103.40000000000005</v>
      </c>
      <c r="U60" s="1962">
        <f t="shared" si="38"/>
        <v>103.60000000000005</v>
      </c>
      <c r="V60" s="1962">
        <f t="shared" si="38"/>
        <v>103.80000000000005</v>
      </c>
      <c r="W60" s="1962">
        <f t="shared" si="38"/>
        <v>104.00000000000006</v>
      </c>
      <c r="X60" s="1962">
        <f t="shared" si="38"/>
        <v>104.20000000000006</v>
      </c>
      <c r="Y60" s="1962">
        <f t="shared" si="38"/>
        <v>104.40000000000006</v>
      </c>
      <c r="Z60" s="1962">
        <f t="shared" si="38"/>
        <v>104.60000000000007</v>
      </c>
      <c r="AA60" s="1962">
        <f t="shared" si="38"/>
        <v>104.80000000000007</v>
      </c>
      <c r="AB60" s="1962">
        <f t="shared" si="38"/>
        <v>105.00000000000007</v>
      </c>
      <c r="AC60" s="1962">
        <f t="shared" si="38"/>
        <v>105.20000000000007</v>
      </c>
      <c r="AD60" s="46">
        <f t="shared" si="38"/>
        <v>105.40000000000008</v>
      </c>
      <c r="AE60" s="46">
        <f t="shared" si="38"/>
        <v>105.60000000000008</v>
      </c>
      <c r="AF60" s="46">
        <f t="shared" si="38"/>
        <v>105.80000000000008</v>
      </c>
      <c r="AG60" s="46">
        <f t="shared" si="38"/>
        <v>106.00000000000009</v>
      </c>
      <c r="AH60" s="46">
        <f t="shared" si="38"/>
        <v>106.20000000000009</v>
      </c>
      <c r="AI60" s="46">
        <f t="shared" si="38"/>
        <v>106.40000000000009</v>
      </c>
      <c r="AJ60" s="46">
        <f t="shared" si="38"/>
        <v>106.60000000000009</v>
      </c>
    </row>
    <row r="61" spans="1:36" s="46" customFormat="1" ht="15" thickBot="1">
      <c r="A61" s="312" t="s">
        <v>1628</v>
      </c>
      <c r="B61" s="313"/>
      <c r="C61" s="314">
        <v>0.2</v>
      </c>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36" s="46" customFormat="1" ht="14.4">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36" s="46" customFormat="1" ht="14.4"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36" ht="14.4">
      <c r="A64" s="262" t="s">
        <v>1631</v>
      </c>
      <c r="B64" s="322" t="s">
        <v>1597</v>
      </c>
      <c r="C64" s="323" t="str">
        <f>C9</f>
        <v>商业、办公</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4.4"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9.4" thickTop="1">
      <c r="A66" s="254"/>
      <c r="B66" s="331" t="s">
        <v>1600</v>
      </c>
      <c r="C66" s="372" t="s">
        <v>4290</v>
      </c>
      <c r="D66" s="372" t="s">
        <v>4274</v>
      </c>
      <c r="E66" s="372" t="s">
        <v>4275</v>
      </c>
      <c r="F66" s="372" t="s">
        <v>4276</v>
      </c>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 thickBot="1">
      <c r="A67" s="254"/>
      <c r="B67" s="336" t="s">
        <v>3883</v>
      </c>
      <c r="C67" s="329">
        <v>100</v>
      </c>
      <c r="D67" s="329">
        <v>96</v>
      </c>
      <c r="E67" s="329">
        <v>92</v>
      </c>
      <c r="F67" s="329">
        <v>88</v>
      </c>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 thickTop="1">
      <c r="A68" s="254"/>
      <c r="B68" s="339" t="s">
        <v>1601</v>
      </c>
      <c r="C68" s="340" t="str">
        <f>C69&amp;"（含）"&amp;"-"&amp;D69</f>
        <v>0（含）-0.5</v>
      </c>
      <c r="D68" s="340" t="str">
        <f t="shared" ref="D68:L68" si="39">D69&amp;"（含）"&amp;"-"&amp;E69</f>
        <v>0.5（含）-1</v>
      </c>
      <c r="E68" s="340" t="str">
        <f t="shared" si="39"/>
        <v>1（含）-1.5</v>
      </c>
      <c r="F68" s="340" t="str">
        <f t="shared" si="39"/>
        <v>1.5（含）-2</v>
      </c>
      <c r="G68" s="340" t="str">
        <f t="shared" si="39"/>
        <v>2（含）-</v>
      </c>
      <c r="H68" s="340" t="str">
        <f t="shared" si="39"/>
        <v>（含）-</v>
      </c>
      <c r="I68" s="340" t="str">
        <f t="shared" si="39"/>
        <v>（含）-</v>
      </c>
      <c r="J68" s="340" t="str">
        <f t="shared" si="39"/>
        <v>（含）-</v>
      </c>
      <c r="K68" s="340" t="str">
        <f t="shared" si="39"/>
        <v>（含）-</v>
      </c>
      <c r="L68" s="340" t="str">
        <f t="shared" si="39"/>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4.4" thickBot="1">
      <c r="A70" s="254"/>
      <c r="B70" s="328"/>
      <c r="C70" s="337">
        <v>100</v>
      </c>
      <c r="D70" s="337">
        <f t="shared" ref="D70:M70" si="40">C70-$K11</f>
        <v>100</v>
      </c>
      <c r="E70" s="337">
        <f t="shared" si="40"/>
        <v>100</v>
      </c>
      <c r="F70" s="337">
        <f t="shared" si="40"/>
        <v>100</v>
      </c>
      <c r="G70" s="337">
        <f t="shared" si="40"/>
        <v>100</v>
      </c>
      <c r="H70" s="337">
        <f t="shared" si="40"/>
        <v>100</v>
      </c>
      <c r="I70" s="337">
        <f t="shared" si="40"/>
        <v>100</v>
      </c>
      <c r="J70" s="337">
        <f t="shared" si="40"/>
        <v>100</v>
      </c>
      <c r="K70" s="337">
        <f t="shared" si="40"/>
        <v>100</v>
      </c>
      <c r="L70" s="337">
        <f t="shared" si="40"/>
        <v>100</v>
      </c>
      <c r="M70" s="338">
        <f t="shared" si="40"/>
        <v>100</v>
      </c>
      <c r="N70" s="2043"/>
      <c r="O70" s="2043"/>
      <c r="P70" s="2051"/>
      <c r="Q70" s="2029"/>
      <c r="R70" s="2008"/>
      <c r="S70" s="2008"/>
      <c r="T70" s="2008"/>
      <c r="U70" s="2008"/>
      <c r="V70" s="2008"/>
      <c r="W70" s="2008"/>
      <c r="X70" s="2008"/>
      <c r="Y70" s="2008"/>
      <c r="Z70" s="2008"/>
      <c r="AA70" s="2008"/>
      <c r="AB70" s="2008"/>
      <c r="AC70" s="2008"/>
    </row>
    <row r="71" spans="1:29" s="279" customFormat="1" ht="14.4"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4.4"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4.4"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4.4"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4.4"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4.4"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ht="14.4">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4.4" thickBot="1">
      <c r="A78" s="254"/>
      <c r="B78" s="336"/>
      <c r="C78" s="337">
        <v>100</v>
      </c>
      <c r="D78" s="337">
        <f>C78-$K15</f>
        <v>97</v>
      </c>
      <c r="E78" s="337">
        <f>D78-$K15</f>
        <v>94</v>
      </c>
      <c r="F78" s="337">
        <f>E78-$K15</f>
        <v>91</v>
      </c>
      <c r="G78" s="337">
        <f>F78-$K15</f>
        <v>88</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C80-$K17</f>
        <v>97</v>
      </c>
      <c r="E80" s="337">
        <f>D80-$K17</f>
        <v>94</v>
      </c>
      <c r="F80" s="337">
        <f>E80-$K17</f>
        <v>91</v>
      </c>
      <c r="G80" s="337">
        <f>F80-$K17</f>
        <v>88</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4.4" thickBot="1">
      <c r="A82" s="254"/>
      <c r="B82" s="336"/>
      <c r="C82" s="337">
        <v>100</v>
      </c>
      <c r="D82" s="337">
        <f>C82-$K19</f>
        <v>97</v>
      </c>
      <c r="E82" s="337">
        <f>D82-$K19</f>
        <v>94</v>
      </c>
      <c r="F82" s="337">
        <f>E82-$K19</f>
        <v>91</v>
      </c>
      <c r="G82" s="337">
        <f>F82-$K19</f>
        <v>88</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4.4" thickBot="1">
      <c r="A84" s="254"/>
      <c r="B84" s="339"/>
      <c r="C84" s="337">
        <v>100</v>
      </c>
      <c r="D84" s="337">
        <f>C84-$K21</f>
        <v>97</v>
      </c>
      <c r="E84" s="337">
        <f>D84-$K21</f>
        <v>94</v>
      </c>
      <c r="F84" s="337">
        <f>E84-$K21</f>
        <v>91</v>
      </c>
      <c r="G84" s="337">
        <f>F84-$K21</f>
        <v>88</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4.4" thickBot="1">
      <c r="A86" s="254"/>
      <c r="B86" s="336"/>
      <c r="C86" s="337">
        <v>100</v>
      </c>
      <c r="D86" s="337">
        <f>C86-$K23</f>
        <v>97</v>
      </c>
      <c r="E86" s="337">
        <f>D86-$K23</f>
        <v>94</v>
      </c>
      <c r="F86" s="337">
        <f>E86-$K23</f>
        <v>91</v>
      </c>
      <c r="G86" s="337">
        <f>F86-$K23</f>
        <v>88</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9.4"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4.4" thickBot="1">
      <c r="A88" s="257"/>
      <c r="B88" s="336"/>
      <c r="C88" s="371">
        <v>100</v>
      </c>
      <c r="D88" s="337">
        <f t="shared" ref="D88:M88" si="41">C88-$K25</f>
        <v>100</v>
      </c>
      <c r="E88" s="337">
        <f t="shared" si="41"/>
        <v>100</v>
      </c>
      <c r="F88" s="337">
        <f t="shared" si="41"/>
        <v>100</v>
      </c>
      <c r="G88" s="337">
        <f t="shared" si="41"/>
        <v>100</v>
      </c>
      <c r="H88" s="337">
        <f t="shared" si="41"/>
        <v>100</v>
      </c>
      <c r="I88" s="337">
        <f t="shared" si="41"/>
        <v>100</v>
      </c>
      <c r="J88" s="337">
        <f t="shared" si="41"/>
        <v>100</v>
      </c>
      <c r="K88" s="337">
        <f t="shared" si="41"/>
        <v>100</v>
      </c>
      <c r="L88" s="337">
        <f t="shared" si="41"/>
        <v>100</v>
      </c>
      <c r="M88" s="337">
        <f t="shared" si="41"/>
        <v>100</v>
      </c>
      <c r="N88" s="2043"/>
      <c r="O88" s="2043"/>
      <c r="P88" s="2051"/>
      <c r="Q88" s="2029"/>
      <c r="R88" s="1962"/>
      <c r="S88" s="1962"/>
      <c r="T88" s="1962"/>
      <c r="U88" s="1962"/>
      <c r="V88" s="1962"/>
      <c r="W88" s="1962"/>
      <c r="X88" s="1962"/>
      <c r="Y88" s="1962"/>
      <c r="Z88" s="1962"/>
      <c r="AA88" s="1962"/>
      <c r="AB88" s="1962"/>
      <c r="AC88" s="1962"/>
    </row>
    <row r="89" spans="1:29" s="46" customFormat="1" ht="14.4"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4.4" thickBot="1">
      <c r="A90" s="257"/>
      <c r="B90" s="336"/>
      <c r="C90" s="371">
        <v>100</v>
      </c>
      <c r="D90" s="337">
        <f>C90-$K27</f>
        <v>100</v>
      </c>
      <c r="E90" s="337">
        <f t="shared" ref="E90:M90" si="42">D90-$K27</f>
        <v>100</v>
      </c>
      <c r="F90" s="337">
        <f t="shared" si="42"/>
        <v>100</v>
      </c>
      <c r="G90" s="337">
        <f t="shared" si="42"/>
        <v>100</v>
      </c>
      <c r="H90" s="337">
        <f t="shared" si="42"/>
        <v>100</v>
      </c>
      <c r="I90" s="337">
        <f t="shared" si="42"/>
        <v>100</v>
      </c>
      <c r="J90" s="337">
        <f t="shared" si="42"/>
        <v>100</v>
      </c>
      <c r="K90" s="337">
        <f t="shared" si="42"/>
        <v>100</v>
      </c>
      <c r="L90" s="337">
        <f t="shared" si="42"/>
        <v>100</v>
      </c>
      <c r="M90" s="337">
        <f t="shared" si="42"/>
        <v>100</v>
      </c>
      <c r="N90" s="2043"/>
      <c r="O90" s="2043"/>
      <c r="P90" s="2051"/>
      <c r="Q90" s="2029"/>
      <c r="R90" s="1962"/>
      <c r="S90" s="1962"/>
      <c r="T90" s="1962"/>
      <c r="U90" s="1962"/>
      <c r="V90" s="1962"/>
      <c r="W90" s="1962"/>
      <c r="X90" s="1962"/>
      <c r="Y90" s="1962"/>
      <c r="Z90" s="1962"/>
      <c r="AA90" s="1962"/>
      <c r="AB90" s="1962"/>
      <c r="AC90" s="1962"/>
    </row>
    <row r="91" spans="1:29" s="279" customFormat="1" ht="14.4"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71">
        <v>100</v>
      </c>
      <c r="D92" s="337">
        <f t="shared" ref="D92:M92" si="43">C92-$K28</f>
        <v>100</v>
      </c>
      <c r="E92" s="337">
        <f t="shared" si="43"/>
        <v>100</v>
      </c>
      <c r="F92" s="337">
        <f t="shared" si="43"/>
        <v>100</v>
      </c>
      <c r="G92" s="337">
        <f t="shared" si="43"/>
        <v>100</v>
      </c>
      <c r="H92" s="337">
        <f t="shared" si="43"/>
        <v>100</v>
      </c>
      <c r="I92" s="337">
        <f t="shared" si="43"/>
        <v>100</v>
      </c>
      <c r="J92" s="337">
        <f t="shared" si="43"/>
        <v>100</v>
      </c>
      <c r="K92" s="337">
        <f t="shared" si="43"/>
        <v>100</v>
      </c>
      <c r="L92" s="337">
        <f t="shared" si="43"/>
        <v>100</v>
      </c>
      <c r="M92" s="337">
        <f t="shared" si="43"/>
        <v>100</v>
      </c>
      <c r="N92" s="2044"/>
      <c r="O92" s="2044"/>
      <c r="P92" s="2052"/>
      <c r="Q92" s="2036"/>
      <c r="R92" s="2014"/>
      <c r="S92" s="2014"/>
      <c r="T92" s="2014"/>
      <c r="U92" s="2014"/>
      <c r="V92" s="2014"/>
      <c r="W92" s="2014"/>
      <c r="X92" s="2014"/>
      <c r="Y92" s="2014"/>
      <c r="Z92" s="2014"/>
      <c r="AA92" s="2014"/>
      <c r="AB92" s="2014"/>
      <c r="AC92" s="2014"/>
    </row>
    <row r="93" spans="1:29" ht="14.4"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4.4"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4.4"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4.4"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4.4"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4.4"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ht="14.4">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37">
        <v>100</v>
      </c>
      <c r="D102" s="337">
        <f t="shared" ref="D102:M102" si="44">C102-$K33</f>
        <v>95</v>
      </c>
      <c r="E102" s="337">
        <f t="shared" si="44"/>
        <v>90</v>
      </c>
      <c r="F102" s="337">
        <f t="shared" si="44"/>
        <v>85</v>
      </c>
      <c r="G102" s="337">
        <f t="shared" si="44"/>
        <v>80</v>
      </c>
      <c r="H102" s="337">
        <f t="shared" si="44"/>
        <v>75</v>
      </c>
      <c r="I102" s="337">
        <f t="shared" si="44"/>
        <v>70</v>
      </c>
      <c r="J102" s="337">
        <f t="shared" si="44"/>
        <v>65</v>
      </c>
      <c r="K102" s="337">
        <f t="shared" si="44"/>
        <v>60</v>
      </c>
      <c r="L102" s="337">
        <f t="shared" si="44"/>
        <v>55</v>
      </c>
      <c r="M102" s="338">
        <f t="shared" si="44"/>
        <v>50</v>
      </c>
      <c r="N102" s="2043"/>
      <c r="O102" s="2043"/>
      <c r="P102" s="2051"/>
      <c r="Q102" s="2029"/>
      <c r="R102" s="2008"/>
      <c r="S102" s="2008"/>
      <c r="T102" s="2008"/>
      <c r="U102" s="2008"/>
      <c r="V102" s="2008"/>
      <c r="W102" s="2008"/>
      <c r="X102" s="2008"/>
      <c r="Y102" s="2008"/>
      <c r="Z102" s="2008"/>
      <c r="AA102" s="2008"/>
      <c r="AB102" s="2008"/>
      <c r="AC102" s="2008"/>
    </row>
    <row r="103" spans="1:29" ht="28.2" thickTop="1">
      <c r="A103" s="254"/>
      <c r="B103" s="331" t="s">
        <v>1649</v>
      </c>
      <c r="C103" s="368" t="str">
        <f>C104&amp;"(含)"&amp;"-"&amp;D104</f>
        <v>0(含)-10000</v>
      </c>
      <c r="D103" s="368" t="str">
        <f t="shared" ref="D103:L103" si="45">D104&amp;"(含)"&amp;"-"&amp;E104</f>
        <v>10000(含)-20000</v>
      </c>
      <c r="E103" s="368" t="str">
        <f t="shared" si="45"/>
        <v>20000(含)-40000</v>
      </c>
      <c r="F103" s="368" t="str">
        <f t="shared" si="45"/>
        <v>40000(含)-60000</v>
      </c>
      <c r="G103" s="368" t="str">
        <f t="shared" si="45"/>
        <v>60000(含)-</v>
      </c>
      <c r="H103" s="368" t="str">
        <f t="shared" si="45"/>
        <v>(含)-</v>
      </c>
      <c r="I103" s="368" t="str">
        <f t="shared" si="45"/>
        <v>(含)-</v>
      </c>
      <c r="J103" s="368" t="str">
        <f t="shared" si="45"/>
        <v>(含)-</v>
      </c>
      <c r="K103" s="368" t="str">
        <f t="shared" si="45"/>
        <v>(含)-</v>
      </c>
      <c r="L103" s="368" t="str">
        <f t="shared" si="45"/>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v>0</v>
      </c>
      <c r="D104" s="5">
        <v>10000</v>
      </c>
      <c r="E104" s="5">
        <v>20000</v>
      </c>
      <c r="F104" s="5">
        <v>40000</v>
      </c>
      <c r="G104" s="5">
        <v>60000</v>
      </c>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4.4" thickBot="1">
      <c r="A105" s="346"/>
      <c r="B105" s="336"/>
      <c r="C105" s="352">
        <v>100</v>
      </c>
      <c r="D105" s="329">
        <v>99</v>
      </c>
      <c r="E105" s="329">
        <v>98</v>
      </c>
      <c r="F105" s="329">
        <v>97</v>
      </c>
      <c r="G105" s="329">
        <v>96</v>
      </c>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4.4" thickBot="1">
      <c r="A107" s="254"/>
      <c r="B107" s="336"/>
      <c r="C107" s="337">
        <v>100</v>
      </c>
      <c r="D107" s="337">
        <f t="shared" ref="D107:M107" si="46">C107-$K35</f>
        <v>98</v>
      </c>
      <c r="E107" s="337">
        <f t="shared" si="46"/>
        <v>96</v>
      </c>
      <c r="F107" s="337">
        <f t="shared" si="46"/>
        <v>94</v>
      </c>
      <c r="G107" s="337">
        <f t="shared" si="46"/>
        <v>92</v>
      </c>
      <c r="H107" s="337">
        <f t="shared" si="46"/>
        <v>90</v>
      </c>
      <c r="I107" s="337">
        <f t="shared" si="46"/>
        <v>88</v>
      </c>
      <c r="J107" s="337">
        <f t="shared" si="46"/>
        <v>86</v>
      </c>
      <c r="K107" s="337">
        <f t="shared" si="46"/>
        <v>84</v>
      </c>
      <c r="L107" s="337">
        <f t="shared" si="46"/>
        <v>82</v>
      </c>
      <c r="M107" s="338">
        <f t="shared" si="46"/>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4.4" thickBot="1">
      <c r="A109" s="254"/>
      <c r="B109" s="336"/>
      <c r="C109" s="337">
        <v>100</v>
      </c>
      <c r="D109" s="337">
        <f t="shared" ref="D109:M109" si="47">C109-$K36</f>
        <v>98</v>
      </c>
      <c r="E109" s="337">
        <f t="shared" si="47"/>
        <v>96</v>
      </c>
      <c r="F109" s="337">
        <f t="shared" si="47"/>
        <v>94</v>
      </c>
      <c r="G109" s="337">
        <f t="shared" si="47"/>
        <v>92</v>
      </c>
      <c r="H109" s="337">
        <f t="shared" si="47"/>
        <v>90</v>
      </c>
      <c r="I109" s="337">
        <f t="shared" si="47"/>
        <v>88</v>
      </c>
      <c r="J109" s="337">
        <f t="shared" si="47"/>
        <v>86</v>
      </c>
      <c r="K109" s="337">
        <f t="shared" si="47"/>
        <v>84</v>
      </c>
      <c r="L109" s="337">
        <f t="shared" si="47"/>
        <v>82</v>
      </c>
      <c r="M109" s="338">
        <f t="shared" si="47"/>
        <v>80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48">H111&amp;"(含)"&amp;"-"&amp;ROUND(I111,0)&amp;"(含)"</f>
        <v>0.75(含)-1(含)</v>
      </c>
      <c r="I110" s="368" t="str">
        <f t="shared" si="48"/>
        <v>0.85(含)-1(含)</v>
      </c>
      <c r="J110" s="368" t="str">
        <f t="shared" si="48"/>
        <v>0.85(含)-1(含)</v>
      </c>
      <c r="K110" s="368" t="str">
        <f t="shared" si="48"/>
        <v>0.9(含)-1(含)</v>
      </c>
      <c r="L110" s="368" t="str">
        <f t="shared" ref="L110" si="49">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4.4" thickBot="1">
      <c r="A112" s="254"/>
      <c r="B112" s="336"/>
      <c r="C112" s="371">
        <v>100</v>
      </c>
      <c r="D112" s="337">
        <f>C112+$K37</f>
        <v>102</v>
      </c>
      <c r="E112" s="337">
        <f t="shared" ref="E112:M112" si="50">D112+$K37</f>
        <v>104</v>
      </c>
      <c r="F112" s="337">
        <f t="shared" si="50"/>
        <v>106</v>
      </c>
      <c r="G112" s="337">
        <f t="shared" si="50"/>
        <v>108</v>
      </c>
      <c r="H112" s="337">
        <f t="shared" si="50"/>
        <v>110</v>
      </c>
      <c r="I112" s="337">
        <f t="shared" si="50"/>
        <v>112</v>
      </c>
      <c r="J112" s="337">
        <f t="shared" si="50"/>
        <v>114</v>
      </c>
      <c r="K112" s="337">
        <f t="shared" si="50"/>
        <v>116</v>
      </c>
      <c r="L112" s="337">
        <f t="shared" si="50"/>
        <v>118</v>
      </c>
      <c r="M112" s="337">
        <f t="shared" si="50"/>
        <v>120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4.4" thickBot="1">
      <c r="A114" s="346"/>
      <c r="B114" s="336"/>
      <c r="C114" s="337">
        <v>100</v>
      </c>
      <c r="D114" s="337">
        <f>C114-$K38</f>
        <v>98</v>
      </c>
      <c r="E114" s="337">
        <f t="shared" ref="E114:M114" si="51">D114-$K38</f>
        <v>96</v>
      </c>
      <c r="F114" s="337">
        <f t="shared" si="51"/>
        <v>94</v>
      </c>
      <c r="G114" s="337">
        <f t="shared" si="51"/>
        <v>92</v>
      </c>
      <c r="H114" s="337">
        <f t="shared" si="51"/>
        <v>90</v>
      </c>
      <c r="I114" s="337">
        <f t="shared" si="51"/>
        <v>88</v>
      </c>
      <c r="J114" s="337">
        <f t="shared" si="51"/>
        <v>86</v>
      </c>
      <c r="K114" s="337">
        <f t="shared" si="51"/>
        <v>84</v>
      </c>
      <c r="L114" s="337">
        <f t="shared" si="51"/>
        <v>82</v>
      </c>
      <c r="M114" s="337">
        <f t="shared" si="51"/>
        <v>80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4.4" thickBot="1">
      <c r="A116" s="254"/>
      <c r="B116" s="336"/>
      <c r="C116" s="337">
        <v>100</v>
      </c>
      <c r="D116" s="337">
        <f t="shared" ref="D116:M116" si="52">C116-$K39</f>
        <v>98</v>
      </c>
      <c r="E116" s="337">
        <f t="shared" si="52"/>
        <v>96</v>
      </c>
      <c r="F116" s="337">
        <f t="shared" si="52"/>
        <v>94</v>
      </c>
      <c r="G116" s="337">
        <f t="shared" si="52"/>
        <v>92</v>
      </c>
      <c r="H116" s="337">
        <f t="shared" si="52"/>
        <v>90</v>
      </c>
      <c r="I116" s="337">
        <f t="shared" si="52"/>
        <v>88</v>
      </c>
      <c r="J116" s="337">
        <f t="shared" si="52"/>
        <v>86</v>
      </c>
      <c r="K116" s="337">
        <f t="shared" si="52"/>
        <v>84</v>
      </c>
      <c r="L116" s="337">
        <f t="shared" si="52"/>
        <v>82</v>
      </c>
      <c r="M116" s="338">
        <f t="shared" si="52"/>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4.4" thickBot="1">
      <c r="A120" s="254"/>
      <c r="B120" s="336"/>
      <c r="C120" s="371">
        <v>100</v>
      </c>
      <c r="D120" s="337">
        <f>C120-$K41</f>
        <v>100</v>
      </c>
      <c r="E120" s="337">
        <f t="shared" ref="E120:M120" si="53">D120-$K41</f>
        <v>100</v>
      </c>
      <c r="F120" s="337">
        <f t="shared" si="53"/>
        <v>100</v>
      </c>
      <c r="G120" s="337">
        <f t="shared" si="53"/>
        <v>100</v>
      </c>
      <c r="H120" s="337">
        <f t="shared" si="53"/>
        <v>100</v>
      </c>
      <c r="I120" s="337">
        <f t="shared" si="53"/>
        <v>100</v>
      </c>
      <c r="J120" s="337">
        <f t="shared" si="53"/>
        <v>100</v>
      </c>
      <c r="K120" s="337">
        <f t="shared" si="53"/>
        <v>100</v>
      </c>
      <c r="L120" s="337">
        <f t="shared" si="53"/>
        <v>100</v>
      </c>
      <c r="M120" s="337">
        <f t="shared" si="53"/>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4.4"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t="s">
        <v>4267</v>
      </c>
      <c r="D123" s="347" t="s">
        <v>4269</v>
      </c>
      <c r="E123" s="347" t="s">
        <v>4277</v>
      </c>
      <c r="F123" s="372" t="s">
        <v>4278</v>
      </c>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4.4" thickBot="1">
      <c r="A124" s="254"/>
      <c r="B124" s="336"/>
      <c r="C124" s="337">
        <v>100</v>
      </c>
      <c r="D124" s="337">
        <f t="shared" ref="D124:M124" si="54">C124-$K43</f>
        <v>98</v>
      </c>
      <c r="E124" s="337">
        <f t="shared" si="54"/>
        <v>96</v>
      </c>
      <c r="F124" s="337">
        <f t="shared" si="54"/>
        <v>94</v>
      </c>
      <c r="G124" s="337">
        <f t="shared" si="54"/>
        <v>92</v>
      </c>
      <c r="H124" s="337">
        <f t="shared" si="54"/>
        <v>90</v>
      </c>
      <c r="I124" s="337">
        <f t="shared" si="54"/>
        <v>88</v>
      </c>
      <c r="J124" s="337">
        <f t="shared" si="54"/>
        <v>86</v>
      </c>
      <c r="K124" s="337">
        <f t="shared" si="54"/>
        <v>84</v>
      </c>
      <c r="L124" s="337">
        <f t="shared" si="54"/>
        <v>82</v>
      </c>
      <c r="M124" s="338">
        <f t="shared" si="54"/>
        <v>80</v>
      </c>
      <c r="N124" s="2043"/>
      <c r="O124" s="2043"/>
      <c r="P124" s="2051"/>
      <c r="Q124" s="2029"/>
      <c r="R124" s="2008"/>
      <c r="S124" s="2008"/>
      <c r="T124" s="2008"/>
      <c r="U124" s="2008"/>
      <c r="V124" s="2008"/>
      <c r="W124" s="2008"/>
      <c r="X124" s="2008"/>
      <c r="Y124" s="2008"/>
      <c r="Z124" s="2008"/>
      <c r="AA124" s="2008"/>
      <c r="AB124" s="2008"/>
      <c r="AC124" s="2008"/>
    </row>
    <row r="125" spans="1:29" ht="29.4"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4.4" thickBot="1">
      <c r="A126" s="254"/>
      <c r="B126" s="336"/>
      <c r="C126" s="337">
        <v>100</v>
      </c>
      <c r="D126" s="337">
        <f>C126-$K44</f>
        <v>99</v>
      </c>
      <c r="E126" s="337">
        <f>D126-$K44</f>
        <v>98</v>
      </c>
      <c r="F126" s="337">
        <f>E126-$K44</f>
        <v>97</v>
      </c>
      <c r="G126" s="337">
        <f>F126-$K44</f>
        <v>96</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4.4" thickTop="1">
      <c r="A127" s="277"/>
      <c r="B127" s="331" t="str">
        <f>B45</f>
        <v>地下占比</v>
      </c>
      <c r="C127" s="4330" t="s">
        <v>4270</v>
      </c>
      <c r="D127" s="4330" t="s">
        <v>4282</v>
      </c>
      <c r="E127" s="4330" t="s">
        <v>4281</v>
      </c>
      <c r="F127" s="347" t="s">
        <v>4280</v>
      </c>
      <c r="G127" s="348" t="s">
        <v>4279</v>
      </c>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4.4" thickBot="1">
      <c r="A128" s="346"/>
      <c r="B128" s="336"/>
      <c r="C128" s="352">
        <v>100</v>
      </c>
      <c r="D128" s="329">
        <f>C128-3</f>
        <v>97</v>
      </c>
      <c r="E128" s="329">
        <f t="shared" ref="E128:G128" si="55">D128-3</f>
        <v>94</v>
      </c>
      <c r="F128" s="329">
        <f t="shared" si="55"/>
        <v>91</v>
      </c>
      <c r="G128" s="329">
        <f t="shared" si="55"/>
        <v>88</v>
      </c>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28.2" thickTop="1">
      <c r="A129" s="280"/>
      <c r="B129" s="331" t="str">
        <f>B46</f>
        <v>地下用途</v>
      </c>
      <c r="C129" s="347" t="s">
        <v>4284</v>
      </c>
      <c r="D129" s="4334" t="s">
        <v>4285</v>
      </c>
      <c r="E129" s="347" t="s">
        <v>4286</v>
      </c>
      <c r="F129" s="4334" t="s">
        <v>4287</v>
      </c>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4.4" thickBot="1">
      <c r="A130" s="254"/>
      <c r="B130" s="336"/>
      <c r="C130" s="352">
        <v>100</v>
      </c>
      <c r="D130" s="352">
        <v>100</v>
      </c>
      <c r="E130" s="352">
        <v>100</v>
      </c>
      <c r="F130" s="352">
        <v>110</v>
      </c>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4.4"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4.4"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1964D-D45C-43D0-97E8-1B0098D88F48}">
  <sheetPr>
    <tabColor rgb="FF7030A0"/>
  </sheetPr>
  <dimension ref="A1:K22"/>
  <sheetViews>
    <sheetView workbookViewId="0">
      <selection activeCell="K21" sqref="K21"/>
    </sheetView>
  </sheetViews>
  <sheetFormatPr defaultColWidth="9" defaultRowHeight="14.4"/>
  <cols>
    <col min="1" max="1" width="10.44140625" style="4323" customWidth="1"/>
    <col min="2" max="4" width="7.44140625" style="4323" customWidth="1"/>
    <col min="5" max="5" width="37.109375" style="4323" customWidth="1"/>
    <col min="6" max="6" width="9.44140625" style="4323" customWidth="1"/>
    <col min="7" max="8" width="5.44140625" style="4323" customWidth="1"/>
    <col min="9" max="9" width="13.88671875" style="4323" customWidth="1"/>
    <col min="10" max="10" width="16.109375" style="4323" customWidth="1"/>
    <col min="11" max="11" width="17.21875" style="4323" customWidth="1"/>
    <col min="12" max="16384" width="9" style="4323"/>
  </cols>
  <sheetData>
    <row r="1" spans="1:11" ht="15.6">
      <c r="A1" s="4322" t="s">
        <v>4168</v>
      </c>
      <c r="B1" s="4322" t="s">
        <v>4169</v>
      </c>
      <c r="C1" s="4322" t="s">
        <v>4170</v>
      </c>
      <c r="D1" s="4322" t="s">
        <v>4171</v>
      </c>
      <c r="E1" s="4322" t="s">
        <v>4172</v>
      </c>
      <c r="F1" s="4322" t="s">
        <v>4173</v>
      </c>
      <c r="G1" s="4322" t="s">
        <v>4174</v>
      </c>
      <c r="H1" s="4322" t="s">
        <v>4175</v>
      </c>
      <c r="I1" s="4322" t="s">
        <v>4176</v>
      </c>
      <c r="J1" s="4322" t="s">
        <v>4177</v>
      </c>
      <c r="K1" s="4322" t="s">
        <v>4178</v>
      </c>
    </row>
    <row r="2" spans="1:11" ht="15.6">
      <c r="A2" s="4324">
        <v>45308.333831018499</v>
      </c>
      <c r="B2" s="4322" t="s">
        <v>4179</v>
      </c>
      <c r="C2" s="4322">
        <v>1</v>
      </c>
      <c r="D2" s="4322">
        <v>101</v>
      </c>
      <c r="E2" s="4322" t="s">
        <v>4180</v>
      </c>
      <c r="F2" s="4322" t="s">
        <v>660</v>
      </c>
      <c r="G2" s="4322" t="s">
        <v>4181</v>
      </c>
      <c r="H2" s="4322">
        <v>1</v>
      </c>
      <c r="I2" s="4322">
        <v>298.06</v>
      </c>
      <c r="J2" s="4322">
        <v>1561.83</v>
      </c>
      <c r="K2" s="4322">
        <v>52400</v>
      </c>
    </row>
    <row r="3" spans="1:11" ht="15.6">
      <c r="A3" s="4324">
        <v>45308.333831018499</v>
      </c>
      <c r="B3" s="4322" t="s">
        <v>4179</v>
      </c>
      <c r="C3" s="4322">
        <v>2</v>
      </c>
      <c r="D3" s="4322">
        <v>201</v>
      </c>
      <c r="E3" s="4322" t="s">
        <v>4180</v>
      </c>
      <c r="F3" s="4322" t="s">
        <v>19</v>
      </c>
      <c r="G3" s="4322" t="s">
        <v>4181</v>
      </c>
      <c r="H3" s="4322">
        <v>1</v>
      </c>
      <c r="I3" s="4322">
        <v>787.52</v>
      </c>
      <c r="J3" s="4322">
        <v>3339.08</v>
      </c>
      <c r="K3" s="4322">
        <v>42400</v>
      </c>
    </row>
    <row r="4" spans="1:11" ht="15.6">
      <c r="A4" s="4324">
        <v>45308.333831018499</v>
      </c>
      <c r="B4" s="4322" t="s">
        <v>4179</v>
      </c>
      <c r="C4" s="4322">
        <v>3</v>
      </c>
      <c r="D4" s="4322">
        <v>302</v>
      </c>
      <c r="E4" s="4322" t="s">
        <v>4180</v>
      </c>
      <c r="F4" s="4322" t="s">
        <v>19</v>
      </c>
      <c r="G4" s="4322" t="s">
        <v>4181</v>
      </c>
      <c r="H4" s="4322">
        <v>1</v>
      </c>
      <c r="I4" s="4322">
        <v>726.16</v>
      </c>
      <c r="J4" s="4322">
        <v>3078.9</v>
      </c>
      <c r="K4" s="4322">
        <v>42400</v>
      </c>
    </row>
    <row r="5" spans="1:11" ht="15.6">
      <c r="A5" s="4324">
        <v>45308.333831018499</v>
      </c>
      <c r="B5" s="4322" t="s">
        <v>4179</v>
      </c>
      <c r="C5" s="4322">
        <v>3</v>
      </c>
      <c r="D5" s="4322">
        <v>301</v>
      </c>
      <c r="E5" s="4322" t="s">
        <v>4180</v>
      </c>
      <c r="F5" s="4322" t="s">
        <v>19</v>
      </c>
      <c r="G5" s="4322" t="s">
        <v>4181</v>
      </c>
      <c r="H5" s="4322">
        <v>1</v>
      </c>
      <c r="I5" s="4322">
        <v>767.09</v>
      </c>
      <c r="J5" s="4322">
        <v>3252.46</v>
      </c>
      <c r="K5" s="4322">
        <v>42400</v>
      </c>
    </row>
    <row r="6" spans="1:11" ht="15.6">
      <c r="A6" s="4324">
        <v>45308.333831018499</v>
      </c>
      <c r="B6" s="4322" t="s">
        <v>4179</v>
      </c>
      <c r="C6" s="4322">
        <v>4</v>
      </c>
      <c r="D6" s="4322">
        <v>402</v>
      </c>
      <c r="E6" s="4322" t="s">
        <v>4180</v>
      </c>
      <c r="F6" s="4322" t="s">
        <v>19</v>
      </c>
      <c r="G6" s="4322" t="s">
        <v>4181</v>
      </c>
      <c r="H6" s="4322">
        <v>1</v>
      </c>
      <c r="I6" s="4322">
        <v>935.99</v>
      </c>
      <c r="J6" s="4322">
        <v>3968.6</v>
      </c>
      <c r="K6" s="4322">
        <v>42400</v>
      </c>
    </row>
    <row r="7" spans="1:11" ht="15.6">
      <c r="A7" s="4324">
        <v>45308.333831018499</v>
      </c>
      <c r="B7" s="4322" t="s">
        <v>4179</v>
      </c>
      <c r="C7" s="4322">
        <v>4</v>
      </c>
      <c r="D7" s="4322">
        <v>401</v>
      </c>
      <c r="E7" s="4322" t="s">
        <v>4180</v>
      </c>
      <c r="F7" s="4322" t="s">
        <v>19</v>
      </c>
      <c r="G7" s="4322" t="s">
        <v>4181</v>
      </c>
      <c r="H7" s="4322">
        <v>1</v>
      </c>
      <c r="I7" s="4322">
        <v>958.04</v>
      </c>
      <c r="J7" s="4322">
        <v>4062.09</v>
      </c>
      <c r="K7" s="4322">
        <v>42400</v>
      </c>
    </row>
    <row r="8" spans="1:11" ht="15.6">
      <c r="A8" s="4324">
        <v>45308.333831018499</v>
      </c>
      <c r="B8" s="4322" t="s">
        <v>4179</v>
      </c>
      <c r="C8" s="4322">
        <v>5</v>
      </c>
      <c r="D8" s="4322">
        <v>501</v>
      </c>
      <c r="E8" s="4322" t="s">
        <v>4180</v>
      </c>
      <c r="F8" s="4322" t="s">
        <v>19</v>
      </c>
      <c r="G8" s="4322" t="s">
        <v>4181</v>
      </c>
      <c r="H8" s="4322">
        <v>1</v>
      </c>
      <c r="I8" s="4322">
        <v>958.04</v>
      </c>
      <c r="J8" s="4322">
        <v>4062.09</v>
      </c>
      <c r="K8" s="4322">
        <v>42400</v>
      </c>
    </row>
    <row r="9" spans="1:11" ht="15.6">
      <c r="A9" s="4324">
        <v>45308.333831018499</v>
      </c>
      <c r="B9" s="4322" t="s">
        <v>4179</v>
      </c>
      <c r="C9" s="4322">
        <v>5</v>
      </c>
      <c r="D9" s="4322">
        <v>502</v>
      </c>
      <c r="E9" s="4322" t="s">
        <v>4180</v>
      </c>
      <c r="F9" s="4322" t="s">
        <v>19</v>
      </c>
      <c r="G9" s="4322" t="s">
        <v>4181</v>
      </c>
      <c r="H9" s="4322">
        <v>1</v>
      </c>
      <c r="I9" s="4322">
        <v>935.99</v>
      </c>
      <c r="J9" s="4322">
        <v>3968.6</v>
      </c>
      <c r="K9" s="4322">
        <v>42400</v>
      </c>
    </row>
    <row r="10" spans="1:11" ht="15.6">
      <c r="A10" s="4324">
        <v>45308.333831018499</v>
      </c>
      <c r="B10" s="4322" t="s">
        <v>4179</v>
      </c>
      <c r="C10" s="4322">
        <v>6</v>
      </c>
      <c r="D10" s="4322">
        <v>601</v>
      </c>
      <c r="E10" s="4322" t="s">
        <v>4180</v>
      </c>
      <c r="F10" s="4322" t="s">
        <v>19</v>
      </c>
      <c r="G10" s="4322" t="s">
        <v>4181</v>
      </c>
      <c r="H10" s="4322">
        <v>1</v>
      </c>
      <c r="I10" s="4322">
        <v>831.87</v>
      </c>
      <c r="J10" s="4322">
        <v>3527.15</v>
      </c>
      <c r="K10" s="4322">
        <v>42400</v>
      </c>
    </row>
    <row r="11" spans="1:11" ht="15.6">
      <c r="A11" s="4324">
        <v>45308.333831018499</v>
      </c>
      <c r="B11" s="4322" t="s">
        <v>4179</v>
      </c>
      <c r="C11" s="4322">
        <v>6</v>
      </c>
      <c r="D11" s="4322">
        <v>602</v>
      </c>
      <c r="E11" s="4322" t="s">
        <v>4180</v>
      </c>
      <c r="F11" s="4322" t="s">
        <v>19</v>
      </c>
      <c r="G11" s="4322" t="s">
        <v>4181</v>
      </c>
      <c r="H11" s="4322">
        <v>1</v>
      </c>
      <c r="I11" s="4322">
        <v>1025.67</v>
      </c>
      <c r="J11" s="4322">
        <v>4348.84</v>
      </c>
      <c r="K11" s="4322">
        <v>42400</v>
      </c>
    </row>
    <row r="12" spans="1:11" ht="15.6">
      <c r="A12" s="4324">
        <v>45308.333831018499</v>
      </c>
      <c r="B12" s="4322" t="s">
        <v>4179</v>
      </c>
      <c r="C12" s="4322">
        <v>7</v>
      </c>
      <c r="D12" s="4322">
        <v>701</v>
      </c>
      <c r="E12" s="4322" t="s">
        <v>4180</v>
      </c>
      <c r="F12" s="4322" t="s">
        <v>19</v>
      </c>
      <c r="G12" s="4322" t="s">
        <v>4181</v>
      </c>
      <c r="H12" s="4322">
        <v>1</v>
      </c>
      <c r="I12" s="4322">
        <v>791.29</v>
      </c>
      <c r="J12" s="4322">
        <v>3355.09</v>
      </c>
      <c r="K12" s="4322">
        <v>42400</v>
      </c>
    </row>
    <row r="13" spans="1:11" ht="15.6">
      <c r="A13" s="4324">
        <v>45308.333831018499</v>
      </c>
      <c r="B13" s="4322" t="s">
        <v>4179</v>
      </c>
      <c r="C13" s="4322">
        <v>7</v>
      </c>
      <c r="D13" s="4322">
        <v>702</v>
      </c>
      <c r="E13" s="4322" t="s">
        <v>4180</v>
      </c>
      <c r="F13" s="4322" t="s">
        <v>19</v>
      </c>
      <c r="G13" s="4322" t="s">
        <v>4181</v>
      </c>
      <c r="H13" s="4322">
        <v>1</v>
      </c>
      <c r="I13" s="4322">
        <v>799.2</v>
      </c>
      <c r="J13" s="4322">
        <v>3388.59</v>
      </c>
      <c r="K13" s="4322">
        <v>42400</v>
      </c>
    </row>
    <row r="14" spans="1:11" ht="15.6">
      <c r="A14" s="4324">
        <v>45308.333831018499</v>
      </c>
      <c r="B14" s="4322" t="s">
        <v>4179</v>
      </c>
      <c r="C14" s="4322">
        <v>8</v>
      </c>
      <c r="D14" s="4322">
        <v>801</v>
      </c>
      <c r="E14" s="4322" t="s">
        <v>4180</v>
      </c>
      <c r="F14" s="4322" t="s">
        <v>19</v>
      </c>
      <c r="G14" s="4322" t="s">
        <v>4181</v>
      </c>
      <c r="H14" s="4322">
        <v>1</v>
      </c>
      <c r="I14" s="4322">
        <v>822.89</v>
      </c>
      <c r="J14" s="4322">
        <v>3489.02</v>
      </c>
      <c r="K14" s="4322">
        <v>42400</v>
      </c>
    </row>
    <row r="15" spans="1:11" ht="15.6">
      <c r="A15" s="4324">
        <v>45308.333831018499</v>
      </c>
      <c r="B15" s="4322" t="s">
        <v>4179</v>
      </c>
      <c r="C15" s="4322">
        <v>8</v>
      </c>
      <c r="D15" s="4322">
        <v>802</v>
      </c>
      <c r="E15" s="4322" t="s">
        <v>4180</v>
      </c>
      <c r="F15" s="4322" t="s">
        <v>19</v>
      </c>
      <c r="G15" s="4322" t="s">
        <v>4181</v>
      </c>
      <c r="H15" s="4322">
        <v>1</v>
      </c>
      <c r="I15" s="4322">
        <v>1090.5</v>
      </c>
      <c r="J15" s="4322">
        <v>4623.75</v>
      </c>
      <c r="K15" s="4322">
        <v>42400</v>
      </c>
    </row>
    <row r="16" spans="1:11" ht="15.6">
      <c r="A16" s="4324">
        <v>45308.333831018499</v>
      </c>
      <c r="B16" s="4322" t="s">
        <v>4179</v>
      </c>
      <c r="C16" s="4322">
        <v>9</v>
      </c>
      <c r="D16" s="4322">
        <v>901</v>
      </c>
      <c r="E16" s="4322" t="s">
        <v>4180</v>
      </c>
      <c r="F16" s="4322" t="s">
        <v>19</v>
      </c>
      <c r="G16" s="4322" t="s">
        <v>4181</v>
      </c>
      <c r="H16" s="4322">
        <v>1</v>
      </c>
      <c r="I16" s="4322">
        <v>860.72</v>
      </c>
      <c r="J16" s="4322">
        <v>3649.45</v>
      </c>
      <c r="K16" s="4322">
        <v>42400</v>
      </c>
    </row>
    <row r="17" spans="1:11" ht="15.6">
      <c r="A17" s="4324">
        <v>45308.333831018499</v>
      </c>
      <c r="B17" s="4322" t="s">
        <v>4179</v>
      </c>
      <c r="C17" s="4322">
        <v>9</v>
      </c>
      <c r="D17" s="4322">
        <v>902</v>
      </c>
      <c r="E17" s="4322" t="s">
        <v>4180</v>
      </c>
      <c r="F17" s="4322" t="s">
        <v>19</v>
      </c>
      <c r="G17" s="4322" t="s">
        <v>4181</v>
      </c>
      <c r="H17" s="4322">
        <v>1</v>
      </c>
      <c r="I17" s="4322">
        <v>828.39</v>
      </c>
      <c r="J17" s="4322">
        <v>3512.37</v>
      </c>
      <c r="K17" s="4322">
        <v>42400</v>
      </c>
    </row>
    <row r="18" spans="1:11" ht="15.6">
      <c r="A18" s="4324">
        <v>45308.333831018499</v>
      </c>
      <c r="B18" s="4322" t="s">
        <v>4179</v>
      </c>
      <c r="C18" s="4322">
        <v>10</v>
      </c>
      <c r="D18" s="4322">
        <v>1002</v>
      </c>
      <c r="E18" s="4322" t="s">
        <v>4180</v>
      </c>
      <c r="F18" s="4322" t="s">
        <v>19</v>
      </c>
      <c r="G18" s="4322" t="s">
        <v>4181</v>
      </c>
      <c r="H18" s="4322">
        <v>1</v>
      </c>
      <c r="I18" s="4322">
        <v>828.39</v>
      </c>
      <c r="J18" s="4322">
        <v>3512.37</v>
      </c>
      <c r="K18" s="4322">
        <v>42400</v>
      </c>
    </row>
    <row r="19" spans="1:11" ht="15.6">
      <c r="A19" s="4324">
        <v>45308.333831018499</v>
      </c>
      <c r="B19" s="4322" t="s">
        <v>4179</v>
      </c>
      <c r="C19" s="4322">
        <v>10</v>
      </c>
      <c r="D19" s="4322">
        <v>1001</v>
      </c>
      <c r="E19" s="4322" t="s">
        <v>4180</v>
      </c>
      <c r="F19" s="4322" t="s">
        <v>19</v>
      </c>
      <c r="G19" s="4322" t="s">
        <v>4181</v>
      </c>
      <c r="H19" s="4322">
        <v>1</v>
      </c>
      <c r="I19" s="4322">
        <v>860.72</v>
      </c>
      <c r="J19" s="4322">
        <v>3649.45</v>
      </c>
      <c r="K19" s="4322">
        <v>42400</v>
      </c>
    </row>
    <row r="20" spans="1:11" ht="15.6">
      <c r="H20" s="4322"/>
      <c r="I20" s="4322">
        <f>SUM(I2:I19)</f>
        <v>15106.529999999999</v>
      </c>
      <c r="J20" s="4322">
        <f>SUM(J2:J19)</f>
        <v>64349.729999999989</v>
      </c>
      <c r="K20" s="4322">
        <f>ROUND(J20/I20*10000,0)</f>
        <v>42597</v>
      </c>
    </row>
    <row r="21" spans="1:11" ht="15.6">
      <c r="H21" s="4322"/>
      <c r="I21" s="4322"/>
    </row>
    <row r="22" spans="1:11" ht="15.6">
      <c r="H22" s="4322"/>
      <c r="I22" s="4325"/>
    </row>
  </sheetData>
  <phoneticPr fontId="134"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40F7F-2907-427A-9C13-F2963DF40F14}">
  <sheetPr>
    <tabColor rgb="FF7030A0"/>
  </sheetPr>
  <dimension ref="A1:O97"/>
  <sheetViews>
    <sheetView topLeftCell="A91" workbookViewId="0">
      <selection activeCell="N101" sqref="N101"/>
    </sheetView>
  </sheetViews>
  <sheetFormatPr defaultColWidth="9" defaultRowHeight="14.4"/>
  <cols>
    <col min="1" max="1" width="11.6640625" style="4323" customWidth="1"/>
    <col min="2" max="2" width="9.44140625" style="4323" customWidth="1"/>
    <col min="3" max="3" width="13.88671875" style="4323" customWidth="1"/>
    <col min="4" max="8" width="7.44140625" style="4323" customWidth="1"/>
    <col min="9" max="9" width="37.109375" style="4323" customWidth="1"/>
    <col min="10" max="10" width="10.44140625" style="4323" customWidth="1"/>
    <col min="11" max="11" width="5.44140625" style="4323" customWidth="1"/>
    <col min="12" max="13" width="13.88671875" style="4323" customWidth="1"/>
    <col min="14" max="14" width="16.109375" style="4323" customWidth="1"/>
    <col min="15" max="15" width="17.21875" style="4323" customWidth="1"/>
    <col min="16" max="16384" width="9" style="4323"/>
  </cols>
  <sheetData>
    <row r="1" spans="1:15" ht="15.6">
      <c r="A1" s="4322" t="s">
        <v>4168</v>
      </c>
      <c r="B1" s="4322" t="s">
        <v>4187</v>
      </c>
      <c r="C1" s="4322" t="s">
        <v>4188</v>
      </c>
      <c r="D1" s="4322" t="s">
        <v>4169</v>
      </c>
      <c r="E1" s="4322" t="s">
        <v>4031</v>
      </c>
      <c r="F1" s="4322" t="s">
        <v>4189</v>
      </c>
      <c r="G1" s="4322" t="s">
        <v>4170</v>
      </c>
      <c r="H1" s="4322" t="s">
        <v>4171</v>
      </c>
      <c r="I1" s="4322" t="s">
        <v>4172</v>
      </c>
      <c r="J1" s="4322" t="s">
        <v>4173</v>
      </c>
      <c r="K1" s="4322" t="s">
        <v>4174</v>
      </c>
      <c r="L1" s="4322" t="s">
        <v>4175</v>
      </c>
      <c r="M1" s="4322" t="s">
        <v>4176</v>
      </c>
      <c r="N1" s="4322" t="s">
        <v>4177</v>
      </c>
      <c r="O1" s="4322" t="s">
        <v>4178</v>
      </c>
    </row>
    <row r="2" spans="1:15" ht="15.6">
      <c r="A2" s="4324">
        <v>45602.333831018499</v>
      </c>
      <c r="B2" s="4322" t="s">
        <v>4045</v>
      </c>
      <c r="C2" s="4322" t="s">
        <v>4045</v>
      </c>
      <c r="D2" s="4322" t="s">
        <v>3998</v>
      </c>
      <c r="E2" s="4322" t="s">
        <v>4045</v>
      </c>
      <c r="F2" s="4322" t="s">
        <v>4045</v>
      </c>
      <c r="G2" s="4322">
        <v>-2</v>
      </c>
      <c r="H2" s="4322" t="s">
        <v>4190</v>
      </c>
      <c r="I2" s="4322" t="s">
        <v>4191</v>
      </c>
      <c r="J2" s="4322" t="s">
        <v>4192</v>
      </c>
      <c r="K2" s="4322" t="s">
        <v>4181</v>
      </c>
      <c r="L2" s="4322">
        <v>1</v>
      </c>
      <c r="M2" s="4322">
        <v>46.43</v>
      </c>
      <c r="N2" s="4322">
        <v>16</v>
      </c>
      <c r="O2" s="4322">
        <v>3446</v>
      </c>
    </row>
    <row r="3" spans="1:15" ht="15.6">
      <c r="A3" s="4324">
        <v>45602.333831018499</v>
      </c>
      <c r="B3" s="4322" t="s">
        <v>4045</v>
      </c>
      <c r="C3" s="4322" t="s">
        <v>4045</v>
      </c>
      <c r="D3" s="4322" t="s">
        <v>3998</v>
      </c>
      <c r="E3" s="4322" t="s">
        <v>4045</v>
      </c>
      <c r="F3" s="4322" t="s">
        <v>4045</v>
      </c>
      <c r="G3" s="4322">
        <v>-3</v>
      </c>
      <c r="H3" s="4322" t="s">
        <v>4193</v>
      </c>
      <c r="I3" s="4322" t="s">
        <v>4191</v>
      </c>
      <c r="J3" s="4322" t="s">
        <v>4192</v>
      </c>
      <c r="K3" s="4322" t="s">
        <v>4181</v>
      </c>
      <c r="L3" s="4322">
        <v>1</v>
      </c>
      <c r="M3" s="4322">
        <v>46.43</v>
      </c>
      <c r="N3" s="4322">
        <v>15</v>
      </c>
      <c r="O3" s="4322">
        <v>3231</v>
      </c>
    </row>
    <row r="4" spans="1:15" ht="15.6">
      <c r="A4" s="4324">
        <v>45602.333831018499</v>
      </c>
      <c r="B4" s="4322" t="s">
        <v>4045</v>
      </c>
      <c r="C4" s="4322" t="s">
        <v>4045</v>
      </c>
      <c r="D4" s="4322" t="s">
        <v>3998</v>
      </c>
      <c r="E4" s="4322" t="s">
        <v>4045</v>
      </c>
      <c r="F4" s="4322" t="s">
        <v>4045</v>
      </c>
      <c r="G4" s="4322">
        <v>-2</v>
      </c>
      <c r="H4" s="4322" t="s">
        <v>4194</v>
      </c>
      <c r="I4" s="4322" t="s">
        <v>4191</v>
      </c>
      <c r="J4" s="4322" t="s">
        <v>4192</v>
      </c>
      <c r="K4" s="4322" t="s">
        <v>4181</v>
      </c>
      <c r="L4" s="4322">
        <v>1</v>
      </c>
      <c r="M4" s="4322">
        <v>46.43</v>
      </c>
      <c r="N4" s="4322">
        <v>16</v>
      </c>
      <c r="O4" s="4322">
        <v>3446</v>
      </c>
    </row>
    <row r="5" spans="1:15" ht="15.6">
      <c r="A5" s="4324">
        <v>45602.333831018499</v>
      </c>
      <c r="B5" s="4322" t="s">
        <v>4045</v>
      </c>
      <c r="C5" s="4322" t="s">
        <v>4045</v>
      </c>
      <c r="D5" s="4322" t="s">
        <v>3998</v>
      </c>
      <c r="E5" s="4322" t="s">
        <v>4045</v>
      </c>
      <c r="F5" s="4322" t="s">
        <v>4045</v>
      </c>
      <c r="G5" s="4322">
        <v>-2</v>
      </c>
      <c r="H5" s="4322" t="s">
        <v>4195</v>
      </c>
      <c r="I5" s="4322" t="s">
        <v>4191</v>
      </c>
      <c r="J5" s="4322" t="s">
        <v>4192</v>
      </c>
      <c r="K5" s="4322" t="s">
        <v>4181</v>
      </c>
      <c r="L5" s="4322">
        <v>1</v>
      </c>
      <c r="M5" s="4322">
        <v>46.43</v>
      </c>
      <c r="N5" s="4322">
        <v>16</v>
      </c>
      <c r="O5" s="4322">
        <v>3446</v>
      </c>
    </row>
    <row r="6" spans="1:15" ht="15.6">
      <c r="A6" s="4324">
        <v>45602.333831018499</v>
      </c>
      <c r="B6" s="4322" t="s">
        <v>4045</v>
      </c>
      <c r="C6" s="4322" t="s">
        <v>4045</v>
      </c>
      <c r="D6" s="4322" t="s">
        <v>3998</v>
      </c>
      <c r="E6" s="4322" t="s">
        <v>4045</v>
      </c>
      <c r="F6" s="4322" t="s">
        <v>4045</v>
      </c>
      <c r="G6" s="4322">
        <v>-2</v>
      </c>
      <c r="H6" s="4322" t="s">
        <v>4196</v>
      </c>
      <c r="I6" s="4322" t="s">
        <v>4191</v>
      </c>
      <c r="J6" s="4322" t="s">
        <v>4192</v>
      </c>
      <c r="K6" s="4322" t="s">
        <v>4181</v>
      </c>
      <c r="L6" s="4322">
        <v>1</v>
      </c>
      <c r="M6" s="4322">
        <v>46.43</v>
      </c>
      <c r="N6" s="4322">
        <v>16</v>
      </c>
      <c r="O6" s="4322">
        <v>3446</v>
      </c>
    </row>
    <row r="7" spans="1:15" ht="15.6">
      <c r="A7" s="4324">
        <v>45602.333831018499</v>
      </c>
      <c r="B7" s="4322" t="s">
        <v>4045</v>
      </c>
      <c r="C7" s="4322" t="s">
        <v>4045</v>
      </c>
      <c r="D7" s="4322" t="s">
        <v>3998</v>
      </c>
      <c r="E7" s="4322" t="s">
        <v>4045</v>
      </c>
      <c r="F7" s="4322" t="s">
        <v>4045</v>
      </c>
      <c r="G7" s="4322">
        <v>7</v>
      </c>
      <c r="H7" s="4322">
        <v>702</v>
      </c>
      <c r="I7" s="4322" t="s">
        <v>4191</v>
      </c>
      <c r="J7" s="4322" t="s">
        <v>19</v>
      </c>
      <c r="K7" s="4322" t="s">
        <v>4181</v>
      </c>
      <c r="L7" s="4322">
        <v>1</v>
      </c>
      <c r="M7" s="4322">
        <v>869.47</v>
      </c>
      <c r="N7" s="4322">
        <v>4043.04</v>
      </c>
      <c r="O7" s="4322">
        <v>46500</v>
      </c>
    </row>
    <row r="8" spans="1:15" ht="15.6">
      <c r="A8" s="4324">
        <v>45602.333831018499</v>
      </c>
      <c r="B8" s="4322" t="s">
        <v>4045</v>
      </c>
      <c r="C8" s="4322" t="s">
        <v>4045</v>
      </c>
      <c r="D8" s="4322" t="s">
        <v>3998</v>
      </c>
      <c r="E8" s="4322" t="s">
        <v>4045</v>
      </c>
      <c r="F8" s="4322" t="s">
        <v>4045</v>
      </c>
      <c r="G8" s="4322">
        <v>-3</v>
      </c>
      <c r="H8" s="4322" t="s">
        <v>4197</v>
      </c>
      <c r="I8" s="4322" t="s">
        <v>4191</v>
      </c>
      <c r="J8" s="4322" t="s">
        <v>4192</v>
      </c>
      <c r="K8" s="4322" t="s">
        <v>4181</v>
      </c>
      <c r="L8" s="4322">
        <v>1</v>
      </c>
      <c r="M8" s="4322">
        <v>46.43</v>
      </c>
      <c r="N8" s="4322">
        <v>15</v>
      </c>
      <c r="O8" s="4322">
        <v>3231</v>
      </c>
    </row>
    <row r="9" spans="1:15" ht="15.6">
      <c r="A9" s="4324">
        <v>45602.333831018499</v>
      </c>
      <c r="B9" s="4322" t="s">
        <v>4045</v>
      </c>
      <c r="C9" s="4322" t="s">
        <v>4045</v>
      </c>
      <c r="D9" s="4322" t="s">
        <v>3998</v>
      </c>
      <c r="E9" s="4322" t="s">
        <v>4045</v>
      </c>
      <c r="F9" s="4322" t="s">
        <v>4045</v>
      </c>
      <c r="G9" s="4322">
        <v>-3</v>
      </c>
      <c r="H9" s="4322" t="s">
        <v>4198</v>
      </c>
      <c r="I9" s="4322" t="s">
        <v>4191</v>
      </c>
      <c r="J9" s="4322" t="s">
        <v>4192</v>
      </c>
      <c r="K9" s="4322" t="s">
        <v>4181</v>
      </c>
      <c r="L9" s="4322">
        <v>1</v>
      </c>
      <c r="M9" s="4322">
        <v>46.43</v>
      </c>
      <c r="N9" s="4322">
        <v>15</v>
      </c>
      <c r="O9" s="4322">
        <v>3231</v>
      </c>
    </row>
    <row r="10" spans="1:15" ht="15.6">
      <c r="A10" s="4324">
        <v>45602.333831018499</v>
      </c>
      <c r="B10" s="4322" t="s">
        <v>4045</v>
      </c>
      <c r="C10" s="4322" t="s">
        <v>4045</v>
      </c>
      <c r="D10" s="4322" t="s">
        <v>3998</v>
      </c>
      <c r="E10" s="4322" t="s">
        <v>4045</v>
      </c>
      <c r="F10" s="4322" t="s">
        <v>4045</v>
      </c>
      <c r="G10" s="4322">
        <v>5</v>
      </c>
      <c r="H10" s="4322">
        <v>502</v>
      </c>
      <c r="I10" s="4322" t="s">
        <v>4191</v>
      </c>
      <c r="J10" s="4322" t="s">
        <v>19</v>
      </c>
      <c r="K10" s="4322" t="s">
        <v>4181</v>
      </c>
      <c r="L10" s="4322">
        <v>1</v>
      </c>
      <c r="M10" s="4322">
        <v>869.47</v>
      </c>
      <c r="N10" s="4322">
        <v>4043.04</v>
      </c>
      <c r="O10" s="4322">
        <v>46500</v>
      </c>
    </row>
    <row r="11" spans="1:15" ht="15.6">
      <c r="A11" s="4324">
        <v>45602.333831018499</v>
      </c>
      <c r="B11" s="4322" t="s">
        <v>4045</v>
      </c>
      <c r="C11" s="4322" t="s">
        <v>4045</v>
      </c>
      <c r="D11" s="4322" t="s">
        <v>3998</v>
      </c>
      <c r="E11" s="4322" t="s">
        <v>4045</v>
      </c>
      <c r="F11" s="4322" t="s">
        <v>4045</v>
      </c>
      <c r="G11" s="4322">
        <v>-3</v>
      </c>
      <c r="H11" s="4322" t="s">
        <v>4199</v>
      </c>
      <c r="I11" s="4322" t="s">
        <v>4191</v>
      </c>
      <c r="J11" s="4322" t="s">
        <v>4192</v>
      </c>
      <c r="K11" s="4322" t="s">
        <v>4181</v>
      </c>
      <c r="L11" s="4322">
        <v>1</v>
      </c>
      <c r="M11" s="4322">
        <v>46.43</v>
      </c>
      <c r="N11" s="4322">
        <v>15</v>
      </c>
      <c r="O11" s="4322">
        <v>3231</v>
      </c>
    </row>
    <row r="12" spans="1:15" ht="15.6">
      <c r="A12" s="4324">
        <v>45602.333831018499</v>
      </c>
      <c r="B12" s="4322" t="s">
        <v>4045</v>
      </c>
      <c r="C12" s="4322" t="s">
        <v>4045</v>
      </c>
      <c r="D12" s="4322" t="s">
        <v>3998</v>
      </c>
      <c r="E12" s="4322" t="s">
        <v>4045</v>
      </c>
      <c r="F12" s="4322" t="s">
        <v>4045</v>
      </c>
      <c r="G12" s="4322">
        <v>-3</v>
      </c>
      <c r="H12" s="4322" t="s">
        <v>4200</v>
      </c>
      <c r="I12" s="4322" t="s">
        <v>4191</v>
      </c>
      <c r="J12" s="4322" t="s">
        <v>4192</v>
      </c>
      <c r="K12" s="4322" t="s">
        <v>4181</v>
      </c>
      <c r="L12" s="4322">
        <v>1</v>
      </c>
      <c r="M12" s="4322">
        <v>46.43</v>
      </c>
      <c r="N12" s="4322">
        <v>15</v>
      </c>
      <c r="O12" s="4322">
        <v>3231</v>
      </c>
    </row>
    <row r="13" spans="1:15" ht="15.6">
      <c r="A13" s="4324">
        <v>45602.333831018499</v>
      </c>
      <c r="B13" s="4322" t="s">
        <v>4045</v>
      </c>
      <c r="C13" s="4322" t="s">
        <v>4045</v>
      </c>
      <c r="D13" s="4322" t="s">
        <v>3998</v>
      </c>
      <c r="E13" s="4322" t="s">
        <v>4045</v>
      </c>
      <c r="F13" s="4322" t="s">
        <v>4045</v>
      </c>
      <c r="G13" s="4322">
        <v>11</v>
      </c>
      <c r="H13" s="4322">
        <v>1101</v>
      </c>
      <c r="I13" s="4322" t="s">
        <v>4191</v>
      </c>
      <c r="J13" s="4322" t="s">
        <v>19</v>
      </c>
      <c r="K13" s="4322" t="s">
        <v>4181</v>
      </c>
      <c r="L13" s="4322">
        <v>1</v>
      </c>
      <c r="M13" s="4322">
        <v>775.66</v>
      </c>
      <c r="N13" s="4322">
        <v>3606.82</v>
      </c>
      <c r="O13" s="4322">
        <v>46500</v>
      </c>
    </row>
    <row r="14" spans="1:15" ht="15.6">
      <c r="A14" s="4324">
        <v>45602.333831018499</v>
      </c>
      <c r="B14" s="4322" t="s">
        <v>4045</v>
      </c>
      <c r="C14" s="4322" t="s">
        <v>4045</v>
      </c>
      <c r="D14" s="4322" t="s">
        <v>3998</v>
      </c>
      <c r="E14" s="4322" t="s">
        <v>4045</v>
      </c>
      <c r="F14" s="4322" t="s">
        <v>4045</v>
      </c>
      <c r="G14" s="4322">
        <v>-3</v>
      </c>
      <c r="H14" s="4322" t="s">
        <v>4201</v>
      </c>
      <c r="I14" s="4322" t="s">
        <v>4191</v>
      </c>
      <c r="J14" s="4322" t="s">
        <v>4192</v>
      </c>
      <c r="K14" s="4322" t="s">
        <v>4181</v>
      </c>
      <c r="L14" s="4322">
        <v>1</v>
      </c>
      <c r="M14" s="4322">
        <v>46.43</v>
      </c>
      <c r="N14" s="4322">
        <v>15</v>
      </c>
      <c r="O14" s="4322">
        <v>3231</v>
      </c>
    </row>
    <row r="15" spans="1:15" ht="15.6">
      <c r="A15" s="4324">
        <v>45602.333831018499</v>
      </c>
      <c r="B15" s="4322" t="s">
        <v>4045</v>
      </c>
      <c r="C15" s="4322" t="s">
        <v>4045</v>
      </c>
      <c r="D15" s="4322" t="s">
        <v>3998</v>
      </c>
      <c r="E15" s="4322" t="s">
        <v>4045</v>
      </c>
      <c r="F15" s="4322" t="s">
        <v>4045</v>
      </c>
      <c r="G15" s="4322">
        <v>-3</v>
      </c>
      <c r="H15" s="4322" t="s">
        <v>4202</v>
      </c>
      <c r="I15" s="4322" t="s">
        <v>4191</v>
      </c>
      <c r="J15" s="4322" t="s">
        <v>4192</v>
      </c>
      <c r="K15" s="4322" t="s">
        <v>4181</v>
      </c>
      <c r="L15" s="4322">
        <v>1</v>
      </c>
      <c r="M15" s="4322">
        <v>46.43</v>
      </c>
      <c r="N15" s="4322">
        <v>15</v>
      </c>
      <c r="O15" s="4322">
        <v>3231</v>
      </c>
    </row>
    <row r="16" spans="1:15" ht="15.6">
      <c r="A16" s="4324">
        <v>45602.333831018499</v>
      </c>
      <c r="B16" s="4322" t="s">
        <v>4045</v>
      </c>
      <c r="C16" s="4322" t="s">
        <v>4045</v>
      </c>
      <c r="D16" s="4322" t="s">
        <v>3998</v>
      </c>
      <c r="E16" s="4322" t="s">
        <v>4045</v>
      </c>
      <c r="F16" s="4322" t="s">
        <v>4045</v>
      </c>
      <c r="G16" s="4322">
        <v>-2</v>
      </c>
      <c r="H16" s="4322" t="s">
        <v>4203</v>
      </c>
      <c r="I16" s="4322" t="s">
        <v>4191</v>
      </c>
      <c r="J16" s="4322" t="s">
        <v>4192</v>
      </c>
      <c r="K16" s="4322" t="s">
        <v>4181</v>
      </c>
      <c r="L16" s="4322">
        <v>1</v>
      </c>
      <c r="M16" s="4322">
        <v>46.43</v>
      </c>
      <c r="N16" s="4322">
        <v>16</v>
      </c>
      <c r="O16" s="4322">
        <v>3446</v>
      </c>
    </row>
    <row r="17" spans="1:15" ht="15.6">
      <c r="A17" s="4324">
        <v>45602.333831018499</v>
      </c>
      <c r="B17" s="4322" t="s">
        <v>4045</v>
      </c>
      <c r="C17" s="4322" t="s">
        <v>4045</v>
      </c>
      <c r="D17" s="4322" t="s">
        <v>3998</v>
      </c>
      <c r="E17" s="4322" t="s">
        <v>4045</v>
      </c>
      <c r="F17" s="4322" t="s">
        <v>4045</v>
      </c>
      <c r="G17" s="4322">
        <v>-3</v>
      </c>
      <c r="H17" s="4322" t="s">
        <v>4204</v>
      </c>
      <c r="I17" s="4322" t="s">
        <v>4191</v>
      </c>
      <c r="J17" s="4322" t="s">
        <v>4192</v>
      </c>
      <c r="K17" s="4322" t="s">
        <v>4181</v>
      </c>
      <c r="L17" s="4322">
        <v>1</v>
      </c>
      <c r="M17" s="4322">
        <v>46.43</v>
      </c>
      <c r="N17" s="4322">
        <v>15</v>
      </c>
      <c r="O17" s="4322">
        <v>3231</v>
      </c>
    </row>
    <row r="18" spans="1:15" ht="15.6">
      <c r="A18" s="4324">
        <v>45602.333831018499</v>
      </c>
      <c r="B18" s="4322" t="s">
        <v>4045</v>
      </c>
      <c r="C18" s="4322" t="s">
        <v>4045</v>
      </c>
      <c r="D18" s="4322" t="s">
        <v>3998</v>
      </c>
      <c r="E18" s="4322" t="s">
        <v>4045</v>
      </c>
      <c r="F18" s="4322" t="s">
        <v>4045</v>
      </c>
      <c r="G18" s="4322">
        <v>7</v>
      </c>
      <c r="H18" s="4322">
        <v>701</v>
      </c>
      <c r="I18" s="4322" t="s">
        <v>4191</v>
      </c>
      <c r="J18" s="4322" t="s">
        <v>19</v>
      </c>
      <c r="K18" s="4322" t="s">
        <v>4181</v>
      </c>
      <c r="L18" s="4322">
        <v>1</v>
      </c>
      <c r="M18" s="4322">
        <v>775.66</v>
      </c>
      <c r="N18" s="4322">
        <v>3606.82</v>
      </c>
      <c r="O18" s="4322">
        <v>46500</v>
      </c>
    </row>
    <row r="19" spans="1:15" ht="15.6">
      <c r="A19" s="4324">
        <v>45602.333831018499</v>
      </c>
      <c r="B19" s="4322" t="s">
        <v>4045</v>
      </c>
      <c r="C19" s="4322" t="s">
        <v>4045</v>
      </c>
      <c r="D19" s="4322" t="s">
        <v>3998</v>
      </c>
      <c r="E19" s="4322" t="s">
        <v>4045</v>
      </c>
      <c r="F19" s="4322" t="s">
        <v>4045</v>
      </c>
      <c r="G19" s="4322">
        <v>-3</v>
      </c>
      <c r="H19" s="4322" t="s">
        <v>4205</v>
      </c>
      <c r="I19" s="4322" t="s">
        <v>4191</v>
      </c>
      <c r="J19" s="4322" t="s">
        <v>4192</v>
      </c>
      <c r="K19" s="4322" t="s">
        <v>4181</v>
      </c>
      <c r="L19" s="4322">
        <v>1</v>
      </c>
      <c r="M19" s="4322">
        <v>46.43</v>
      </c>
      <c r="N19" s="4322">
        <v>15</v>
      </c>
      <c r="O19" s="4322">
        <v>3231</v>
      </c>
    </row>
    <row r="20" spans="1:15" ht="15.6">
      <c r="A20" s="4324">
        <v>45602.333831018499</v>
      </c>
      <c r="B20" s="4322" t="s">
        <v>4045</v>
      </c>
      <c r="C20" s="4322" t="s">
        <v>4045</v>
      </c>
      <c r="D20" s="4322" t="s">
        <v>3998</v>
      </c>
      <c r="E20" s="4322" t="s">
        <v>4045</v>
      </c>
      <c r="F20" s="4322" t="s">
        <v>4045</v>
      </c>
      <c r="G20" s="4322">
        <v>-2</v>
      </c>
      <c r="H20" s="4322" t="s">
        <v>4206</v>
      </c>
      <c r="I20" s="4322" t="s">
        <v>4191</v>
      </c>
      <c r="J20" s="4322" t="s">
        <v>4192</v>
      </c>
      <c r="K20" s="4322" t="s">
        <v>4181</v>
      </c>
      <c r="L20" s="4322">
        <v>1</v>
      </c>
      <c r="M20" s="4322">
        <v>46.43</v>
      </c>
      <c r="N20" s="4322">
        <v>16</v>
      </c>
      <c r="O20" s="4322">
        <v>3446</v>
      </c>
    </row>
    <row r="21" spans="1:15" ht="15.6">
      <c r="A21" s="4324">
        <v>45602.333831018499</v>
      </c>
      <c r="B21" s="4322" t="s">
        <v>4045</v>
      </c>
      <c r="C21" s="4322" t="s">
        <v>4045</v>
      </c>
      <c r="D21" s="4322" t="s">
        <v>3998</v>
      </c>
      <c r="E21" s="4322" t="s">
        <v>4045</v>
      </c>
      <c r="F21" s="4322" t="s">
        <v>4045</v>
      </c>
      <c r="G21" s="4322">
        <v>6</v>
      </c>
      <c r="H21" s="4322">
        <v>602</v>
      </c>
      <c r="I21" s="4322" t="s">
        <v>4191</v>
      </c>
      <c r="J21" s="4322" t="s">
        <v>19</v>
      </c>
      <c r="K21" s="4322" t="s">
        <v>4181</v>
      </c>
      <c r="L21" s="4322">
        <v>1</v>
      </c>
      <c r="M21" s="4322">
        <v>869.47</v>
      </c>
      <c r="N21" s="4322">
        <v>4043.04</v>
      </c>
      <c r="O21" s="4322">
        <v>46500</v>
      </c>
    </row>
    <row r="22" spans="1:15" ht="15.6">
      <c r="A22" s="4324">
        <v>45602.333831018499</v>
      </c>
      <c r="B22" s="4322" t="s">
        <v>4045</v>
      </c>
      <c r="C22" s="4322" t="s">
        <v>4045</v>
      </c>
      <c r="D22" s="4322" t="s">
        <v>3998</v>
      </c>
      <c r="E22" s="4322" t="s">
        <v>4045</v>
      </c>
      <c r="F22" s="4322" t="s">
        <v>4045</v>
      </c>
      <c r="G22" s="4322">
        <v>-3</v>
      </c>
      <c r="H22" s="4322" t="s">
        <v>4207</v>
      </c>
      <c r="I22" s="4322" t="s">
        <v>4191</v>
      </c>
      <c r="J22" s="4322" t="s">
        <v>4192</v>
      </c>
      <c r="K22" s="4322" t="s">
        <v>4181</v>
      </c>
      <c r="L22" s="4322">
        <v>1</v>
      </c>
      <c r="M22" s="4322">
        <v>46.43</v>
      </c>
      <c r="N22" s="4322">
        <v>15</v>
      </c>
      <c r="O22" s="4322">
        <v>3231</v>
      </c>
    </row>
    <row r="23" spans="1:15" ht="15.6">
      <c r="A23" s="4324">
        <v>45602.333831018499</v>
      </c>
      <c r="B23" s="4322" t="s">
        <v>4045</v>
      </c>
      <c r="C23" s="4322" t="s">
        <v>4045</v>
      </c>
      <c r="D23" s="4322" t="s">
        <v>3998</v>
      </c>
      <c r="E23" s="4322" t="s">
        <v>4045</v>
      </c>
      <c r="F23" s="4322" t="s">
        <v>4045</v>
      </c>
      <c r="G23" s="4322">
        <v>-3</v>
      </c>
      <c r="H23" s="4322" t="s">
        <v>4208</v>
      </c>
      <c r="I23" s="4322" t="s">
        <v>4191</v>
      </c>
      <c r="J23" s="4322" t="s">
        <v>4192</v>
      </c>
      <c r="K23" s="4322" t="s">
        <v>4181</v>
      </c>
      <c r="L23" s="4322">
        <v>1</v>
      </c>
      <c r="M23" s="4322">
        <v>46.43</v>
      </c>
      <c r="N23" s="4322">
        <v>15</v>
      </c>
      <c r="O23" s="4322">
        <v>3231</v>
      </c>
    </row>
    <row r="24" spans="1:15" ht="15.6">
      <c r="A24" s="4324">
        <v>45602.333831018499</v>
      </c>
      <c r="B24" s="4322" t="s">
        <v>4045</v>
      </c>
      <c r="C24" s="4322" t="s">
        <v>4045</v>
      </c>
      <c r="D24" s="4322" t="s">
        <v>3998</v>
      </c>
      <c r="E24" s="4322" t="s">
        <v>4045</v>
      </c>
      <c r="F24" s="4322" t="s">
        <v>4045</v>
      </c>
      <c r="G24" s="4322">
        <v>-2</v>
      </c>
      <c r="H24" s="4322" t="s">
        <v>4209</v>
      </c>
      <c r="I24" s="4322" t="s">
        <v>4191</v>
      </c>
      <c r="J24" s="4322" t="s">
        <v>4192</v>
      </c>
      <c r="K24" s="4322" t="s">
        <v>4181</v>
      </c>
      <c r="L24" s="4322">
        <v>1</v>
      </c>
      <c r="M24" s="4322">
        <v>46.43</v>
      </c>
      <c r="N24" s="4322">
        <v>16</v>
      </c>
      <c r="O24" s="4322">
        <v>3446</v>
      </c>
    </row>
    <row r="25" spans="1:15" ht="15.6">
      <c r="A25" s="4324">
        <v>45602.333831018499</v>
      </c>
      <c r="B25" s="4322" t="s">
        <v>4045</v>
      </c>
      <c r="C25" s="4322" t="s">
        <v>4045</v>
      </c>
      <c r="D25" s="4322" t="s">
        <v>3998</v>
      </c>
      <c r="E25" s="4322" t="s">
        <v>4045</v>
      </c>
      <c r="F25" s="4322" t="s">
        <v>4045</v>
      </c>
      <c r="G25" s="4322">
        <v>-2</v>
      </c>
      <c r="H25" s="4322" t="s">
        <v>4210</v>
      </c>
      <c r="I25" s="4322" t="s">
        <v>4191</v>
      </c>
      <c r="J25" s="4322" t="s">
        <v>4192</v>
      </c>
      <c r="K25" s="4322" t="s">
        <v>4181</v>
      </c>
      <c r="L25" s="4322">
        <v>1</v>
      </c>
      <c r="M25" s="4322">
        <v>43.73</v>
      </c>
      <c r="N25" s="4322">
        <v>16</v>
      </c>
      <c r="O25" s="4322">
        <v>3659</v>
      </c>
    </row>
    <row r="26" spans="1:15" ht="15.6">
      <c r="A26" s="4324">
        <v>45602.333831018499</v>
      </c>
      <c r="B26" s="4322" t="s">
        <v>4045</v>
      </c>
      <c r="C26" s="4322" t="s">
        <v>4045</v>
      </c>
      <c r="D26" s="4322" t="s">
        <v>3998</v>
      </c>
      <c r="E26" s="4322" t="s">
        <v>4045</v>
      </c>
      <c r="F26" s="4322" t="s">
        <v>4045</v>
      </c>
      <c r="G26" s="4322">
        <v>8</v>
      </c>
      <c r="H26" s="4322">
        <v>802</v>
      </c>
      <c r="I26" s="4322" t="s">
        <v>4191</v>
      </c>
      <c r="J26" s="4322" t="s">
        <v>19</v>
      </c>
      <c r="K26" s="4322" t="s">
        <v>4181</v>
      </c>
      <c r="L26" s="4322">
        <v>1</v>
      </c>
      <c r="M26" s="4322">
        <v>869.47</v>
      </c>
      <c r="N26" s="4322">
        <v>4043.04</v>
      </c>
      <c r="O26" s="4322">
        <v>46500</v>
      </c>
    </row>
    <row r="27" spans="1:15" ht="15.6">
      <c r="A27" s="4324">
        <v>45602.333831018499</v>
      </c>
      <c r="B27" s="4322" t="s">
        <v>4045</v>
      </c>
      <c r="C27" s="4322" t="s">
        <v>4045</v>
      </c>
      <c r="D27" s="4322" t="s">
        <v>3998</v>
      </c>
      <c r="E27" s="4322" t="s">
        <v>4045</v>
      </c>
      <c r="F27" s="4322" t="s">
        <v>4045</v>
      </c>
      <c r="G27" s="4322">
        <v>9</v>
      </c>
      <c r="H27" s="4322">
        <v>902</v>
      </c>
      <c r="I27" s="4322" t="s">
        <v>4191</v>
      </c>
      <c r="J27" s="4322" t="s">
        <v>19</v>
      </c>
      <c r="K27" s="4322" t="s">
        <v>4181</v>
      </c>
      <c r="L27" s="4322">
        <v>1</v>
      </c>
      <c r="M27" s="4322">
        <v>869.47</v>
      </c>
      <c r="N27" s="4322">
        <v>4043.04</v>
      </c>
      <c r="O27" s="4322">
        <v>46500</v>
      </c>
    </row>
    <row r="28" spans="1:15" ht="15.6">
      <c r="A28" s="4324">
        <v>45602.333831018499</v>
      </c>
      <c r="B28" s="4322" t="s">
        <v>4045</v>
      </c>
      <c r="C28" s="4322" t="s">
        <v>4045</v>
      </c>
      <c r="D28" s="4322" t="s">
        <v>3998</v>
      </c>
      <c r="E28" s="4322" t="s">
        <v>4045</v>
      </c>
      <c r="F28" s="4322" t="s">
        <v>4045</v>
      </c>
      <c r="G28" s="4322">
        <v>5</v>
      </c>
      <c r="H28" s="4322">
        <v>501</v>
      </c>
      <c r="I28" s="4322" t="s">
        <v>4191</v>
      </c>
      <c r="J28" s="4322" t="s">
        <v>19</v>
      </c>
      <c r="K28" s="4322" t="s">
        <v>4181</v>
      </c>
      <c r="L28" s="4322">
        <v>1</v>
      </c>
      <c r="M28" s="4322">
        <v>775.66</v>
      </c>
      <c r="N28" s="4322">
        <v>3606.82</v>
      </c>
      <c r="O28" s="4322">
        <v>46500</v>
      </c>
    </row>
    <row r="29" spans="1:15" ht="15.6">
      <c r="A29" s="4324">
        <v>45602.333831018499</v>
      </c>
      <c r="B29" s="4322" t="s">
        <v>4045</v>
      </c>
      <c r="C29" s="4322" t="s">
        <v>4045</v>
      </c>
      <c r="D29" s="4322" t="s">
        <v>3998</v>
      </c>
      <c r="E29" s="4322" t="s">
        <v>4045</v>
      </c>
      <c r="F29" s="4322" t="s">
        <v>4045</v>
      </c>
      <c r="G29" s="4322">
        <v>-3</v>
      </c>
      <c r="H29" s="4322" t="s">
        <v>4211</v>
      </c>
      <c r="I29" s="4322" t="s">
        <v>4191</v>
      </c>
      <c r="J29" s="4322" t="s">
        <v>4192</v>
      </c>
      <c r="K29" s="4322" t="s">
        <v>4181</v>
      </c>
      <c r="L29" s="4322">
        <v>1</v>
      </c>
      <c r="M29" s="4322">
        <v>46.43</v>
      </c>
      <c r="N29" s="4322">
        <v>15</v>
      </c>
      <c r="O29" s="4322">
        <v>3231</v>
      </c>
    </row>
    <row r="30" spans="1:15" ht="15.6">
      <c r="A30" s="4324">
        <v>45602.333831018499</v>
      </c>
      <c r="B30" s="4322" t="s">
        <v>4045</v>
      </c>
      <c r="C30" s="4322" t="s">
        <v>4045</v>
      </c>
      <c r="D30" s="4322" t="s">
        <v>3998</v>
      </c>
      <c r="E30" s="4322" t="s">
        <v>4045</v>
      </c>
      <c r="F30" s="4322" t="s">
        <v>4045</v>
      </c>
      <c r="G30" s="4322">
        <v>-2</v>
      </c>
      <c r="H30" s="4322" t="s">
        <v>4212</v>
      </c>
      <c r="I30" s="4322" t="s">
        <v>4191</v>
      </c>
      <c r="J30" s="4322" t="s">
        <v>4192</v>
      </c>
      <c r="K30" s="4322" t="s">
        <v>4181</v>
      </c>
      <c r="L30" s="4322">
        <v>1</v>
      </c>
      <c r="M30" s="4322">
        <v>46.43</v>
      </c>
      <c r="N30" s="4322">
        <v>16</v>
      </c>
      <c r="O30" s="4322">
        <v>3446</v>
      </c>
    </row>
    <row r="31" spans="1:15" ht="15.6">
      <c r="A31" s="4324">
        <v>45602.333831018499</v>
      </c>
      <c r="B31" s="4322" t="s">
        <v>4045</v>
      </c>
      <c r="C31" s="4322" t="s">
        <v>4045</v>
      </c>
      <c r="D31" s="4322" t="s">
        <v>3998</v>
      </c>
      <c r="E31" s="4322" t="s">
        <v>4045</v>
      </c>
      <c r="F31" s="4322" t="s">
        <v>4045</v>
      </c>
      <c r="G31" s="4322">
        <v>-3</v>
      </c>
      <c r="H31" s="4322" t="s">
        <v>4213</v>
      </c>
      <c r="I31" s="4322" t="s">
        <v>4191</v>
      </c>
      <c r="J31" s="4322" t="s">
        <v>4192</v>
      </c>
      <c r="K31" s="4322" t="s">
        <v>4181</v>
      </c>
      <c r="L31" s="4322">
        <v>1</v>
      </c>
      <c r="M31" s="4322">
        <v>46.43</v>
      </c>
      <c r="N31" s="4322">
        <v>15</v>
      </c>
      <c r="O31" s="4322">
        <v>3231</v>
      </c>
    </row>
    <row r="32" spans="1:15" ht="15.6">
      <c r="A32" s="4324">
        <v>45602.333831018499</v>
      </c>
      <c r="B32" s="4322" t="s">
        <v>4045</v>
      </c>
      <c r="C32" s="4322" t="s">
        <v>4045</v>
      </c>
      <c r="D32" s="4322" t="s">
        <v>3998</v>
      </c>
      <c r="E32" s="4322" t="s">
        <v>4045</v>
      </c>
      <c r="F32" s="4322" t="s">
        <v>4045</v>
      </c>
      <c r="G32" s="4322">
        <v>-3</v>
      </c>
      <c r="H32" s="4322" t="s">
        <v>4214</v>
      </c>
      <c r="I32" s="4322" t="s">
        <v>4191</v>
      </c>
      <c r="J32" s="4322" t="s">
        <v>4192</v>
      </c>
      <c r="K32" s="4322" t="s">
        <v>4181</v>
      </c>
      <c r="L32" s="4322">
        <v>1</v>
      </c>
      <c r="M32" s="4322">
        <v>46.43</v>
      </c>
      <c r="N32" s="4322">
        <v>15</v>
      </c>
      <c r="O32" s="4322">
        <v>3231</v>
      </c>
    </row>
    <row r="33" spans="1:15" ht="15.6">
      <c r="A33" s="4324">
        <v>45602.333831018499</v>
      </c>
      <c r="B33" s="4322" t="s">
        <v>4045</v>
      </c>
      <c r="C33" s="4322" t="s">
        <v>4045</v>
      </c>
      <c r="D33" s="4322" t="s">
        <v>3998</v>
      </c>
      <c r="E33" s="4322" t="s">
        <v>4045</v>
      </c>
      <c r="F33" s="4322" t="s">
        <v>4045</v>
      </c>
      <c r="G33" s="4322">
        <v>-3</v>
      </c>
      <c r="H33" s="4322" t="s">
        <v>4215</v>
      </c>
      <c r="I33" s="4322" t="s">
        <v>4191</v>
      </c>
      <c r="J33" s="4322" t="s">
        <v>4192</v>
      </c>
      <c r="K33" s="4322" t="s">
        <v>4181</v>
      </c>
      <c r="L33" s="4322">
        <v>1</v>
      </c>
      <c r="M33" s="4322">
        <v>46.43</v>
      </c>
      <c r="N33" s="4322">
        <v>15</v>
      </c>
      <c r="O33" s="4322">
        <v>3231</v>
      </c>
    </row>
    <row r="34" spans="1:15" ht="15.6">
      <c r="A34" s="4324">
        <v>45602.333831018499</v>
      </c>
      <c r="B34" s="4322" t="s">
        <v>4045</v>
      </c>
      <c r="C34" s="4322" t="s">
        <v>4045</v>
      </c>
      <c r="D34" s="4322" t="s">
        <v>3998</v>
      </c>
      <c r="E34" s="4322" t="s">
        <v>4045</v>
      </c>
      <c r="F34" s="4322" t="s">
        <v>4045</v>
      </c>
      <c r="G34" s="4322">
        <v>-3</v>
      </c>
      <c r="H34" s="4322" t="s">
        <v>4216</v>
      </c>
      <c r="I34" s="4322" t="s">
        <v>4191</v>
      </c>
      <c r="J34" s="4322" t="s">
        <v>4192</v>
      </c>
      <c r="K34" s="4322" t="s">
        <v>4181</v>
      </c>
      <c r="L34" s="4322">
        <v>1</v>
      </c>
      <c r="M34" s="4322">
        <v>46.43</v>
      </c>
      <c r="N34" s="4322">
        <v>15</v>
      </c>
      <c r="O34" s="4322">
        <v>3231</v>
      </c>
    </row>
    <row r="35" spans="1:15" ht="15.6">
      <c r="A35" s="4324">
        <v>45602.333831018499</v>
      </c>
      <c r="B35" s="4322" t="s">
        <v>4045</v>
      </c>
      <c r="C35" s="4322" t="s">
        <v>4045</v>
      </c>
      <c r="D35" s="4322" t="s">
        <v>3998</v>
      </c>
      <c r="E35" s="4322" t="s">
        <v>4045</v>
      </c>
      <c r="F35" s="4322" t="s">
        <v>4045</v>
      </c>
      <c r="G35" s="4322">
        <v>-3</v>
      </c>
      <c r="H35" s="4322" t="s">
        <v>4217</v>
      </c>
      <c r="I35" s="4322" t="s">
        <v>4191</v>
      </c>
      <c r="J35" s="4322" t="s">
        <v>4192</v>
      </c>
      <c r="K35" s="4322" t="s">
        <v>4181</v>
      </c>
      <c r="L35" s="4322">
        <v>1</v>
      </c>
      <c r="M35" s="4322">
        <v>46.43</v>
      </c>
      <c r="N35" s="4322">
        <v>15</v>
      </c>
      <c r="O35" s="4322">
        <v>3231</v>
      </c>
    </row>
    <row r="36" spans="1:15" ht="15.6">
      <c r="A36" s="4324">
        <v>45602.333831018499</v>
      </c>
      <c r="B36" s="4322" t="s">
        <v>4045</v>
      </c>
      <c r="C36" s="4322" t="s">
        <v>4045</v>
      </c>
      <c r="D36" s="4322" t="s">
        <v>3998</v>
      </c>
      <c r="E36" s="4322" t="s">
        <v>4045</v>
      </c>
      <c r="F36" s="4322" t="s">
        <v>4045</v>
      </c>
      <c r="G36" s="4322">
        <v>9</v>
      </c>
      <c r="H36" s="4322">
        <v>901</v>
      </c>
      <c r="I36" s="4322" t="s">
        <v>4191</v>
      </c>
      <c r="J36" s="4322" t="s">
        <v>19</v>
      </c>
      <c r="K36" s="4322" t="s">
        <v>4181</v>
      </c>
      <c r="L36" s="4322">
        <v>1</v>
      </c>
      <c r="M36" s="4322">
        <v>775.66</v>
      </c>
      <c r="N36" s="4322">
        <v>3606.82</v>
      </c>
      <c r="O36" s="4322">
        <v>46500</v>
      </c>
    </row>
    <row r="37" spans="1:15" ht="15.6">
      <c r="A37" s="4324">
        <v>45602.333831018499</v>
      </c>
      <c r="B37" s="4322" t="s">
        <v>4045</v>
      </c>
      <c r="C37" s="4322" t="s">
        <v>4045</v>
      </c>
      <c r="D37" s="4322" t="s">
        <v>3998</v>
      </c>
      <c r="E37" s="4322" t="s">
        <v>4045</v>
      </c>
      <c r="F37" s="4322" t="s">
        <v>4045</v>
      </c>
      <c r="G37" s="4322">
        <v>-2</v>
      </c>
      <c r="H37" s="4322" t="s">
        <v>4218</v>
      </c>
      <c r="I37" s="4322" t="s">
        <v>4191</v>
      </c>
      <c r="J37" s="4322" t="s">
        <v>4192</v>
      </c>
      <c r="K37" s="4322" t="s">
        <v>4181</v>
      </c>
      <c r="L37" s="4322">
        <v>1</v>
      </c>
      <c r="M37" s="4322">
        <v>46.43</v>
      </c>
      <c r="N37" s="4322">
        <v>16</v>
      </c>
      <c r="O37" s="4322">
        <v>3446</v>
      </c>
    </row>
    <row r="38" spans="1:15" ht="15.6">
      <c r="A38" s="4324">
        <v>45602.333831018499</v>
      </c>
      <c r="B38" s="4322" t="s">
        <v>4045</v>
      </c>
      <c r="C38" s="4322" t="s">
        <v>4045</v>
      </c>
      <c r="D38" s="4322" t="s">
        <v>3998</v>
      </c>
      <c r="E38" s="4322" t="s">
        <v>4045</v>
      </c>
      <c r="F38" s="4322" t="s">
        <v>4045</v>
      </c>
      <c r="G38" s="4322">
        <v>-2</v>
      </c>
      <c r="H38" s="4322" t="s">
        <v>4219</v>
      </c>
      <c r="I38" s="4322" t="s">
        <v>4191</v>
      </c>
      <c r="J38" s="4322" t="s">
        <v>4192</v>
      </c>
      <c r="K38" s="4322" t="s">
        <v>4181</v>
      </c>
      <c r="L38" s="4322">
        <v>1</v>
      </c>
      <c r="M38" s="4322">
        <v>46.43</v>
      </c>
      <c r="N38" s="4322">
        <v>16</v>
      </c>
      <c r="O38" s="4322">
        <v>3446</v>
      </c>
    </row>
    <row r="39" spans="1:15" ht="15.6">
      <c r="A39" s="4324">
        <v>45602.333831018499</v>
      </c>
      <c r="B39" s="4322" t="s">
        <v>4045</v>
      </c>
      <c r="C39" s="4322" t="s">
        <v>4045</v>
      </c>
      <c r="D39" s="4322" t="s">
        <v>3998</v>
      </c>
      <c r="E39" s="4322" t="s">
        <v>4045</v>
      </c>
      <c r="F39" s="4322" t="s">
        <v>4045</v>
      </c>
      <c r="G39" s="4322">
        <v>-3</v>
      </c>
      <c r="H39" s="4322" t="s">
        <v>4220</v>
      </c>
      <c r="I39" s="4322" t="s">
        <v>4191</v>
      </c>
      <c r="J39" s="4322" t="s">
        <v>4192</v>
      </c>
      <c r="K39" s="4322" t="s">
        <v>4181</v>
      </c>
      <c r="L39" s="4322">
        <v>1</v>
      </c>
      <c r="M39" s="4322">
        <v>46.43</v>
      </c>
      <c r="N39" s="4322">
        <v>15</v>
      </c>
      <c r="O39" s="4322">
        <v>3231</v>
      </c>
    </row>
    <row r="40" spans="1:15" ht="15.6">
      <c r="A40" s="4324">
        <v>45602.333831018499</v>
      </c>
      <c r="B40" s="4322" t="s">
        <v>4045</v>
      </c>
      <c r="C40" s="4322" t="s">
        <v>4045</v>
      </c>
      <c r="D40" s="4322" t="s">
        <v>3998</v>
      </c>
      <c r="E40" s="4322" t="s">
        <v>4045</v>
      </c>
      <c r="F40" s="4322" t="s">
        <v>4045</v>
      </c>
      <c r="G40" s="4322">
        <v>-3</v>
      </c>
      <c r="H40" s="4322" t="s">
        <v>4221</v>
      </c>
      <c r="I40" s="4322" t="s">
        <v>4191</v>
      </c>
      <c r="J40" s="4322" t="s">
        <v>4192</v>
      </c>
      <c r="K40" s="4322" t="s">
        <v>4181</v>
      </c>
      <c r="L40" s="4322">
        <v>1</v>
      </c>
      <c r="M40" s="4322">
        <v>46.43</v>
      </c>
      <c r="N40" s="4322">
        <v>15</v>
      </c>
      <c r="O40" s="4322">
        <v>3231</v>
      </c>
    </row>
    <row r="41" spans="1:15" ht="15.6">
      <c r="A41" s="4324">
        <v>45602.333831018499</v>
      </c>
      <c r="B41" s="4322" t="s">
        <v>4045</v>
      </c>
      <c r="C41" s="4322" t="s">
        <v>4045</v>
      </c>
      <c r="D41" s="4322" t="s">
        <v>3998</v>
      </c>
      <c r="E41" s="4322" t="s">
        <v>4045</v>
      </c>
      <c r="F41" s="4322" t="s">
        <v>4045</v>
      </c>
      <c r="G41" s="4322">
        <v>-3</v>
      </c>
      <c r="H41" s="4322" t="s">
        <v>4222</v>
      </c>
      <c r="I41" s="4322" t="s">
        <v>4191</v>
      </c>
      <c r="J41" s="4322" t="s">
        <v>4192</v>
      </c>
      <c r="K41" s="4322" t="s">
        <v>4181</v>
      </c>
      <c r="L41" s="4322">
        <v>1</v>
      </c>
      <c r="M41" s="4322">
        <v>46.43</v>
      </c>
      <c r="N41" s="4322">
        <v>16</v>
      </c>
      <c r="O41" s="4322">
        <v>3446</v>
      </c>
    </row>
    <row r="42" spans="1:15" ht="15.6">
      <c r="A42" s="4324">
        <v>45602.333831018499</v>
      </c>
      <c r="B42" s="4322" t="s">
        <v>4045</v>
      </c>
      <c r="C42" s="4322" t="s">
        <v>4045</v>
      </c>
      <c r="D42" s="4322" t="s">
        <v>3998</v>
      </c>
      <c r="E42" s="4322" t="s">
        <v>4045</v>
      </c>
      <c r="F42" s="4322" t="s">
        <v>4045</v>
      </c>
      <c r="G42" s="4322">
        <v>-2</v>
      </c>
      <c r="H42" s="4322" t="s">
        <v>4223</v>
      </c>
      <c r="I42" s="4322" t="s">
        <v>4191</v>
      </c>
      <c r="J42" s="4322" t="s">
        <v>4192</v>
      </c>
      <c r="K42" s="4322" t="s">
        <v>4181</v>
      </c>
      <c r="L42" s="4322">
        <v>1</v>
      </c>
      <c r="M42" s="4322">
        <v>46.43</v>
      </c>
      <c r="N42" s="4322">
        <v>16</v>
      </c>
      <c r="O42" s="4322">
        <v>3446</v>
      </c>
    </row>
    <row r="43" spans="1:15" ht="15.6">
      <c r="A43" s="4324">
        <v>45602.333831018499</v>
      </c>
      <c r="B43" s="4322" t="s">
        <v>4045</v>
      </c>
      <c r="C43" s="4322" t="s">
        <v>4045</v>
      </c>
      <c r="D43" s="4322" t="s">
        <v>3998</v>
      </c>
      <c r="E43" s="4322" t="s">
        <v>4045</v>
      </c>
      <c r="F43" s="4322" t="s">
        <v>4045</v>
      </c>
      <c r="G43" s="4322">
        <v>3</v>
      </c>
      <c r="H43" s="4322">
        <v>302</v>
      </c>
      <c r="I43" s="4322" t="s">
        <v>4191</v>
      </c>
      <c r="J43" s="4322" t="s">
        <v>19</v>
      </c>
      <c r="K43" s="4322" t="s">
        <v>4181</v>
      </c>
      <c r="L43" s="4322">
        <v>1</v>
      </c>
      <c r="M43" s="4322">
        <v>869.47</v>
      </c>
      <c r="N43" s="4322">
        <v>4043.04</v>
      </c>
      <c r="O43" s="4322">
        <v>46500</v>
      </c>
    </row>
    <row r="44" spans="1:15" ht="15.6">
      <c r="A44" s="4324">
        <v>45602.333831018499</v>
      </c>
      <c r="B44" s="4322" t="s">
        <v>4045</v>
      </c>
      <c r="C44" s="4322" t="s">
        <v>4045</v>
      </c>
      <c r="D44" s="4322" t="s">
        <v>3998</v>
      </c>
      <c r="E44" s="4322" t="s">
        <v>4045</v>
      </c>
      <c r="F44" s="4322" t="s">
        <v>4045</v>
      </c>
      <c r="G44" s="4322">
        <v>-1</v>
      </c>
      <c r="H44" s="4322">
        <v>-102</v>
      </c>
      <c r="I44" s="4322" t="s">
        <v>4191</v>
      </c>
      <c r="J44" s="4322" t="s">
        <v>660</v>
      </c>
      <c r="K44" s="4322" t="s">
        <v>4181</v>
      </c>
      <c r="L44" s="4322">
        <v>1</v>
      </c>
      <c r="M44" s="4322">
        <v>22.23</v>
      </c>
      <c r="N44" s="4322">
        <v>33.35</v>
      </c>
      <c r="O44" s="4322">
        <v>15000</v>
      </c>
    </row>
    <row r="45" spans="1:15" ht="15.6">
      <c r="A45" s="4324">
        <v>45602.333831018499</v>
      </c>
      <c r="B45" s="4322" t="s">
        <v>4045</v>
      </c>
      <c r="C45" s="4322" t="s">
        <v>4045</v>
      </c>
      <c r="D45" s="4322" t="s">
        <v>3998</v>
      </c>
      <c r="E45" s="4322" t="s">
        <v>4045</v>
      </c>
      <c r="F45" s="4322" t="s">
        <v>4045</v>
      </c>
      <c r="G45" s="4322">
        <v>-3</v>
      </c>
      <c r="H45" s="4322" t="s">
        <v>4224</v>
      </c>
      <c r="I45" s="4322" t="s">
        <v>4191</v>
      </c>
      <c r="J45" s="4322" t="s">
        <v>4192</v>
      </c>
      <c r="K45" s="4322" t="s">
        <v>4181</v>
      </c>
      <c r="L45" s="4322">
        <v>1</v>
      </c>
      <c r="M45" s="4322">
        <v>46.43</v>
      </c>
      <c r="N45" s="4322">
        <v>15</v>
      </c>
      <c r="O45" s="4322">
        <v>3231</v>
      </c>
    </row>
    <row r="46" spans="1:15" ht="15.6">
      <c r="A46" s="4324">
        <v>45602.333831018499</v>
      </c>
      <c r="B46" s="4322" t="s">
        <v>4045</v>
      </c>
      <c r="C46" s="4322" t="s">
        <v>4045</v>
      </c>
      <c r="D46" s="4322" t="s">
        <v>3998</v>
      </c>
      <c r="E46" s="4322" t="s">
        <v>4045</v>
      </c>
      <c r="F46" s="4322" t="s">
        <v>4045</v>
      </c>
      <c r="G46" s="4322">
        <v>-3</v>
      </c>
      <c r="H46" s="4322" t="s">
        <v>4225</v>
      </c>
      <c r="I46" s="4322" t="s">
        <v>4191</v>
      </c>
      <c r="J46" s="4322" t="s">
        <v>4192</v>
      </c>
      <c r="K46" s="4322" t="s">
        <v>4181</v>
      </c>
      <c r="L46" s="4322">
        <v>1</v>
      </c>
      <c r="M46" s="4322">
        <v>46.43</v>
      </c>
      <c r="N46" s="4322">
        <v>15</v>
      </c>
      <c r="O46" s="4322">
        <v>3231</v>
      </c>
    </row>
    <row r="47" spans="1:15" ht="15.6">
      <c r="A47" s="4324">
        <v>45602.333831018499</v>
      </c>
      <c r="B47" s="4322" t="s">
        <v>4045</v>
      </c>
      <c r="C47" s="4322" t="s">
        <v>4045</v>
      </c>
      <c r="D47" s="4322" t="s">
        <v>3998</v>
      </c>
      <c r="E47" s="4322" t="s">
        <v>4045</v>
      </c>
      <c r="F47" s="4322" t="s">
        <v>4045</v>
      </c>
      <c r="G47" s="4322">
        <v>-3</v>
      </c>
      <c r="H47" s="4322" t="s">
        <v>4226</v>
      </c>
      <c r="I47" s="4322" t="s">
        <v>4191</v>
      </c>
      <c r="J47" s="4322" t="s">
        <v>4192</v>
      </c>
      <c r="K47" s="4322" t="s">
        <v>4181</v>
      </c>
      <c r="L47" s="4322">
        <v>1</v>
      </c>
      <c r="M47" s="4322">
        <v>46.43</v>
      </c>
      <c r="N47" s="4322">
        <v>15</v>
      </c>
      <c r="O47" s="4322">
        <v>3231</v>
      </c>
    </row>
    <row r="48" spans="1:15" ht="15.6">
      <c r="A48" s="4324">
        <v>45602.333831018499</v>
      </c>
      <c r="B48" s="4322" t="s">
        <v>4045</v>
      </c>
      <c r="C48" s="4322" t="s">
        <v>4045</v>
      </c>
      <c r="D48" s="4322" t="s">
        <v>3998</v>
      </c>
      <c r="E48" s="4322" t="s">
        <v>4045</v>
      </c>
      <c r="F48" s="4322" t="s">
        <v>4045</v>
      </c>
      <c r="G48" s="4322">
        <v>3</v>
      </c>
      <c r="H48" s="4322">
        <v>301</v>
      </c>
      <c r="I48" s="4322" t="s">
        <v>4191</v>
      </c>
      <c r="J48" s="4322" t="s">
        <v>19</v>
      </c>
      <c r="K48" s="4322" t="s">
        <v>4181</v>
      </c>
      <c r="L48" s="4322">
        <v>1</v>
      </c>
      <c r="M48" s="4322">
        <v>775.66</v>
      </c>
      <c r="N48" s="4322">
        <v>3606.82</v>
      </c>
      <c r="O48" s="4322">
        <v>46500</v>
      </c>
    </row>
    <row r="49" spans="1:15" ht="15.6">
      <c r="A49" s="4324">
        <v>45602.333831018499</v>
      </c>
      <c r="B49" s="4322" t="s">
        <v>4045</v>
      </c>
      <c r="C49" s="4322" t="s">
        <v>4045</v>
      </c>
      <c r="D49" s="4322" t="s">
        <v>3998</v>
      </c>
      <c r="E49" s="4322" t="s">
        <v>4045</v>
      </c>
      <c r="F49" s="4322" t="s">
        <v>4045</v>
      </c>
      <c r="G49" s="4322">
        <v>-3</v>
      </c>
      <c r="H49" s="4322" t="s">
        <v>4227</v>
      </c>
      <c r="I49" s="4322" t="s">
        <v>4191</v>
      </c>
      <c r="J49" s="4322" t="s">
        <v>4192</v>
      </c>
      <c r="K49" s="4322" t="s">
        <v>4181</v>
      </c>
      <c r="L49" s="4322">
        <v>1</v>
      </c>
      <c r="M49" s="4322">
        <v>46.43</v>
      </c>
      <c r="N49" s="4322">
        <v>15</v>
      </c>
      <c r="O49" s="4322">
        <v>3231</v>
      </c>
    </row>
    <row r="50" spans="1:15" ht="15.6">
      <c r="A50" s="4324">
        <v>45602.333831018499</v>
      </c>
      <c r="B50" s="4322" t="s">
        <v>4045</v>
      </c>
      <c r="C50" s="4322" t="s">
        <v>4045</v>
      </c>
      <c r="D50" s="4322" t="s">
        <v>3998</v>
      </c>
      <c r="E50" s="4322" t="s">
        <v>4045</v>
      </c>
      <c r="F50" s="4322" t="s">
        <v>4045</v>
      </c>
      <c r="G50" s="4322">
        <v>4</v>
      </c>
      <c r="H50" s="4322">
        <v>402</v>
      </c>
      <c r="I50" s="4322" t="s">
        <v>4191</v>
      </c>
      <c r="J50" s="4322" t="s">
        <v>19</v>
      </c>
      <c r="K50" s="4322" t="s">
        <v>4181</v>
      </c>
      <c r="L50" s="4322">
        <v>1</v>
      </c>
      <c r="M50" s="4322">
        <v>869.47</v>
      </c>
      <c r="N50" s="4322">
        <v>4043.04</v>
      </c>
      <c r="O50" s="4322">
        <v>46500</v>
      </c>
    </row>
    <row r="51" spans="1:15" ht="15.6">
      <c r="A51" s="4324">
        <v>45602.333831018499</v>
      </c>
      <c r="B51" s="4322" t="s">
        <v>4045</v>
      </c>
      <c r="C51" s="4322" t="s">
        <v>4045</v>
      </c>
      <c r="D51" s="4322" t="s">
        <v>3998</v>
      </c>
      <c r="E51" s="4322" t="s">
        <v>4045</v>
      </c>
      <c r="F51" s="4322" t="s">
        <v>4045</v>
      </c>
      <c r="G51" s="4322">
        <v>8</v>
      </c>
      <c r="H51" s="4322">
        <v>801</v>
      </c>
      <c r="I51" s="4322" t="s">
        <v>4191</v>
      </c>
      <c r="J51" s="4322" t="s">
        <v>19</v>
      </c>
      <c r="K51" s="4322" t="s">
        <v>4181</v>
      </c>
      <c r="L51" s="4322">
        <v>1</v>
      </c>
      <c r="M51" s="4322">
        <v>775.66</v>
      </c>
      <c r="N51" s="4322">
        <v>3606.82</v>
      </c>
      <c r="O51" s="4322">
        <v>46500</v>
      </c>
    </row>
    <row r="52" spans="1:15" ht="15.6">
      <c r="A52" s="4324">
        <v>45602.333831018499</v>
      </c>
      <c r="B52" s="4322" t="s">
        <v>4045</v>
      </c>
      <c r="C52" s="4322" t="s">
        <v>4045</v>
      </c>
      <c r="D52" s="4322" t="s">
        <v>3998</v>
      </c>
      <c r="E52" s="4322" t="s">
        <v>4045</v>
      </c>
      <c r="F52" s="4322" t="s">
        <v>4045</v>
      </c>
      <c r="G52" s="4322">
        <v>-3</v>
      </c>
      <c r="H52" s="4322" t="s">
        <v>4228</v>
      </c>
      <c r="I52" s="4322" t="s">
        <v>4191</v>
      </c>
      <c r="J52" s="4322" t="s">
        <v>4192</v>
      </c>
      <c r="K52" s="4322" t="s">
        <v>4181</v>
      </c>
      <c r="L52" s="4322">
        <v>1</v>
      </c>
      <c r="M52" s="4322">
        <v>46.43</v>
      </c>
      <c r="N52" s="4322">
        <v>15</v>
      </c>
      <c r="O52" s="4322">
        <v>3231</v>
      </c>
    </row>
    <row r="53" spans="1:15" ht="15.6">
      <c r="A53" s="4324">
        <v>45602.333831018499</v>
      </c>
      <c r="B53" s="4322" t="s">
        <v>4045</v>
      </c>
      <c r="C53" s="4322" t="s">
        <v>4045</v>
      </c>
      <c r="D53" s="4322" t="s">
        <v>3998</v>
      </c>
      <c r="E53" s="4322" t="s">
        <v>4045</v>
      </c>
      <c r="F53" s="4322" t="s">
        <v>4045</v>
      </c>
      <c r="G53" s="4322">
        <v>-2</v>
      </c>
      <c r="H53" s="4322" t="s">
        <v>4229</v>
      </c>
      <c r="I53" s="4322" t="s">
        <v>4191</v>
      </c>
      <c r="J53" s="4322" t="s">
        <v>4192</v>
      </c>
      <c r="K53" s="4322" t="s">
        <v>4181</v>
      </c>
      <c r="L53" s="4322">
        <v>1</v>
      </c>
      <c r="M53" s="4322">
        <v>46.43</v>
      </c>
      <c r="N53" s="4322">
        <v>16</v>
      </c>
      <c r="O53" s="4322">
        <v>3446</v>
      </c>
    </row>
    <row r="54" spans="1:15" ht="15.6">
      <c r="A54" s="4324">
        <v>45602.333831018499</v>
      </c>
      <c r="B54" s="4322" t="s">
        <v>4045</v>
      </c>
      <c r="C54" s="4322" t="s">
        <v>4045</v>
      </c>
      <c r="D54" s="4322" t="s">
        <v>3998</v>
      </c>
      <c r="E54" s="4322" t="s">
        <v>4045</v>
      </c>
      <c r="F54" s="4322" t="s">
        <v>4045</v>
      </c>
      <c r="G54" s="4322">
        <v>-3</v>
      </c>
      <c r="H54" s="4322" t="s">
        <v>4230</v>
      </c>
      <c r="I54" s="4322" t="s">
        <v>4191</v>
      </c>
      <c r="J54" s="4322" t="s">
        <v>4192</v>
      </c>
      <c r="K54" s="4322" t="s">
        <v>4181</v>
      </c>
      <c r="L54" s="4322">
        <v>1</v>
      </c>
      <c r="M54" s="4322">
        <v>46.43</v>
      </c>
      <c r="N54" s="4322">
        <v>16</v>
      </c>
      <c r="O54" s="4322">
        <v>3446</v>
      </c>
    </row>
    <row r="55" spans="1:15" ht="15.6">
      <c r="A55" s="4324">
        <v>45602.333831018499</v>
      </c>
      <c r="B55" s="4322" t="s">
        <v>4045</v>
      </c>
      <c r="C55" s="4322" t="s">
        <v>4045</v>
      </c>
      <c r="D55" s="4322" t="s">
        <v>3998</v>
      </c>
      <c r="E55" s="4322" t="s">
        <v>4045</v>
      </c>
      <c r="F55" s="4322" t="s">
        <v>4045</v>
      </c>
      <c r="G55" s="4322">
        <v>-3</v>
      </c>
      <c r="H55" s="4322" t="s">
        <v>4231</v>
      </c>
      <c r="I55" s="4322" t="s">
        <v>4191</v>
      </c>
      <c r="J55" s="4322" t="s">
        <v>4192</v>
      </c>
      <c r="K55" s="4322" t="s">
        <v>4181</v>
      </c>
      <c r="L55" s="4322">
        <v>1</v>
      </c>
      <c r="M55" s="4322">
        <v>46.43</v>
      </c>
      <c r="N55" s="4322">
        <v>15</v>
      </c>
      <c r="O55" s="4322">
        <v>3231</v>
      </c>
    </row>
    <row r="56" spans="1:15" ht="15.6">
      <c r="A56" s="4324">
        <v>45602.333831018499</v>
      </c>
      <c r="B56" s="4322" t="s">
        <v>4045</v>
      </c>
      <c r="C56" s="4322" t="s">
        <v>4045</v>
      </c>
      <c r="D56" s="4322" t="s">
        <v>3998</v>
      </c>
      <c r="E56" s="4322" t="s">
        <v>4045</v>
      </c>
      <c r="F56" s="4322" t="s">
        <v>4045</v>
      </c>
      <c r="G56" s="4322">
        <v>11</v>
      </c>
      <c r="H56" s="4322">
        <v>1102</v>
      </c>
      <c r="I56" s="4322" t="s">
        <v>4191</v>
      </c>
      <c r="J56" s="4322" t="s">
        <v>19</v>
      </c>
      <c r="K56" s="4322" t="s">
        <v>4181</v>
      </c>
      <c r="L56" s="4322">
        <v>1</v>
      </c>
      <c r="M56" s="4322">
        <v>869.47</v>
      </c>
      <c r="N56" s="4322">
        <v>4043.04</v>
      </c>
      <c r="O56" s="4322">
        <v>46500</v>
      </c>
    </row>
    <row r="57" spans="1:15" ht="15.6">
      <c r="A57" s="4324">
        <v>45602.333831018499</v>
      </c>
      <c r="B57" s="4322" t="s">
        <v>4045</v>
      </c>
      <c r="C57" s="4322" t="s">
        <v>4045</v>
      </c>
      <c r="D57" s="4322" t="s">
        <v>3998</v>
      </c>
      <c r="E57" s="4322" t="s">
        <v>4045</v>
      </c>
      <c r="F57" s="4322" t="s">
        <v>4045</v>
      </c>
      <c r="G57" s="4322">
        <v>-2</v>
      </c>
      <c r="H57" s="4322" t="s">
        <v>4232</v>
      </c>
      <c r="I57" s="4322" t="s">
        <v>4191</v>
      </c>
      <c r="J57" s="4322" t="s">
        <v>4192</v>
      </c>
      <c r="K57" s="4322" t="s">
        <v>4181</v>
      </c>
      <c r="L57" s="4322">
        <v>1</v>
      </c>
      <c r="M57" s="4322">
        <v>46.43</v>
      </c>
      <c r="N57" s="4322">
        <v>16</v>
      </c>
      <c r="O57" s="4322">
        <v>3446</v>
      </c>
    </row>
    <row r="58" spans="1:15" ht="15.6">
      <c r="A58" s="4324">
        <v>45602.333831018499</v>
      </c>
      <c r="B58" s="4322" t="s">
        <v>4045</v>
      </c>
      <c r="C58" s="4322" t="s">
        <v>4045</v>
      </c>
      <c r="D58" s="4322" t="s">
        <v>3998</v>
      </c>
      <c r="E58" s="4322" t="s">
        <v>4045</v>
      </c>
      <c r="F58" s="4322" t="s">
        <v>4045</v>
      </c>
      <c r="G58" s="4322">
        <v>-2</v>
      </c>
      <c r="H58" s="4322" t="s">
        <v>4233</v>
      </c>
      <c r="I58" s="4322" t="s">
        <v>4191</v>
      </c>
      <c r="J58" s="4322" t="s">
        <v>4192</v>
      </c>
      <c r="K58" s="4322" t="s">
        <v>4181</v>
      </c>
      <c r="L58" s="4322">
        <v>1</v>
      </c>
      <c r="M58" s="4322">
        <v>46.43</v>
      </c>
      <c r="N58" s="4322">
        <v>14.91</v>
      </c>
      <c r="O58" s="4322">
        <v>3210</v>
      </c>
    </row>
    <row r="59" spans="1:15" ht="15.6">
      <c r="A59" s="4324">
        <v>45602.333831018499</v>
      </c>
      <c r="B59" s="4322" t="s">
        <v>4045</v>
      </c>
      <c r="C59" s="4322" t="s">
        <v>4045</v>
      </c>
      <c r="D59" s="4322" t="s">
        <v>3998</v>
      </c>
      <c r="E59" s="4322" t="s">
        <v>4045</v>
      </c>
      <c r="F59" s="4322" t="s">
        <v>4045</v>
      </c>
      <c r="G59" s="4322">
        <v>-3</v>
      </c>
      <c r="H59" s="4322" t="s">
        <v>4234</v>
      </c>
      <c r="I59" s="4322" t="s">
        <v>4191</v>
      </c>
      <c r="J59" s="4322" t="s">
        <v>4192</v>
      </c>
      <c r="K59" s="4322" t="s">
        <v>4181</v>
      </c>
      <c r="L59" s="4322">
        <v>1</v>
      </c>
      <c r="M59" s="4322">
        <v>46.43</v>
      </c>
      <c r="N59" s="4322">
        <v>15</v>
      </c>
      <c r="O59" s="4322">
        <v>3231</v>
      </c>
    </row>
    <row r="60" spans="1:15" ht="15.6">
      <c r="A60" s="4324">
        <v>45602.333831018499</v>
      </c>
      <c r="B60" s="4322" t="s">
        <v>4045</v>
      </c>
      <c r="C60" s="4322" t="s">
        <v>4045</v>
      </c>
      <c r="D60" s="4322" t="s">
        <v>3998</v>
      </c>
      <c r="E60" s="4322" t="s">
        <v>4045</v>
      </c>
      <c r="F60" s="4322" t="s">
        <v>4045</v>
      </c>
      <c r="G60" s="4322">
        <v>-2</v>
      </c>
      <c r="H60" s="4322" t="s">
        <v>4235</v>
      </c>
      <c r="I60" s="4322" t="s">
        <v>4191</v>
      </c>
      <c r="J60" s="4322" t="s">
        <v>4192</v>
      </c>
      <c r="K60" s="4322" t="s">
        <v>4181</v>
      </c>
      <c r="L60" s="4322">
        <v>1</v>
      </c>
      <c r="M60" s="4322">
        <v>46.43</v>
      </c>
      <c r="N60" s="4322">
        <v>16</v>
      </c>
      <c r="O60" s="4322">
        <v>3446</v>
      </c>
    </row>
    <row r="61" spans="1:15" ht="15.6">
      <c r="A61" s="4324">
        <v>45602.333831018499</v>
      </c>
      <c r="B61" s="4322" t="s">
        <v>4045</v>
      </c>
      <c r="C61" s="4322" t="s">
        <v>4045</v>
      </c>
      <c r="D61" s="4322" t="s">
        <v>3998</v>
      </c>
      <c r="E61" s="4322" t="s">
        <v>4045</v>
      </c>
      <c r="F61" s="4322" t="s">
        <v>4045</v>
      </c>
      <c r="G61" s="4322">
        <v>10</v>
      </c>
      <c r="H61" s="4322">
        <v>1002</v>
      </c>
      <c r="I61" s="4322" t="s">
        <v>4191</v>
      </c>
      <c r="J61" s="4322" t="s">
        <v>19</v>
      </c>
      <c r="K61" s="4322" t="s">
        <v>4181</v>
      </c>
      <c r="L61" s="4322">
        <v>1</v>
      </c>
      <c r="M61" s="4322">
        <v>869.47</v>
      </c>
      <c r="N61" s="4322">
        <v>4043.04</v>
      </c>
      <c r="O61" s="4322">
        <v>46500</v>
      </c>
    </row>
    <row r="62" spans="1:15" ht="15.6">
      <c r="A62" s="4324">
        <v>45602.333831018499</v>
      </c>
      <c r="B62" s="4322" t="s">
        <v>4045</v>
      </c>
      <c r="C62" s="4322" t="s">
        <v>4045</v>
      </c>
      <c r="D62" s="4322" t="s">
        <v>3998</v>
      </c>
      <c r="E62" s="4322" t="s">
        <v>4045</v>
      </c>
      <c r="F62" s="4322" t="s">
        <v>4045</v>
      </c>
      <c r="G62" s="4322">
        <v>-2</v>
      </c>
      <c r="H62" s="4322" t="s">
        <v>4236</v>
      </c>
      <c r="I62" s="4322" t="s">
        <v>4191</v>
      </c>
      <c r="J62" s="4322" t="s">
        <v>4192</v>
      </c>
      <c r="K62" s="4322" t="s">
        <v>4181</v>
      </c>
      <c r="L62" s="4322">
        <v>1</v>
      </c>
      <c r="M62" s="4322">
        <v>46.43</v>
      </c>
      <c r="N62" s="4322">
        <v>16</v>
      </c>
      <c r="O62" s="4322">
        <v>3446</v>
      </c>
    </row>
    <row r="63" spans="1:15" ht="15.6">
      <c r="A63" s="4324">
        <v>45602.333831018499</v>
      </c>
      <c r="B63" s="4322" t="s">
        <v>4045</v>
      </c>
      <c r="C63" s="4322" t="s">
        <v>4045</v>
      </c>
      <c r="D63" s="4322" t="s">
        <v>3998</v>
      </c>
      <c r="E63" s="4322" t="s">
        <v>4045</v>
      </c>
      <c r="F63" s="4322" t="s">
        <v>4045</v>
      </c>
      <c r="G63" s="4322">
        <v>12</v>
      </c>
      <c r="H63" s="4322">
        <v>1201</v>
      </c>
      <c r="I63" s="4322" t="s">
        <v>4191</v>
      </c>
      <c r="J63" s="4322" t="s">
        <v>19</v>
      </c>
      <c r="K63" s="4322" t="s">
        <v>4181</v>
      </c>
      <c r="L63" s="4322">
        <v>1</v>
      </c>
      <c r="M63" s="4322">
        <v>1176.73</v>
      </c>
      <c r="N63" s="4322">
        <v>5471.79</v>
      </c>
      <c r="O63" s="4322">
        <v>46500</v>
      </c>
    </row>
    <row r="64" spans="1:15" ht="15.6">
      <c r="A64" s="4324">
        <v>45602.333831018499</v>
      </c>
      <c r="B64" s="4322" t="s">
        <v>4045</v>
      </c>
      <c r="C64" s="4322" t="s">
        <v>4045</v>
      </c>
      <c r="D64" s="4322" t="s">
        <v>3998</v>
      </c>
      <c r="E64" s="4322" t="s">
        <v>4045</v>
      </c>
      <c r="F64" s="4322" t="s">
        <v>4045</v>
      </c>
      <c r="G64" s="4322">
        <v>-2</v>
      </c>
      <c r="H64" s="4322" t="s">
        <v>4237</v>
      </c>
      <c r="I64" s="4322" t="s">
        <v>4191</v>
      </c>
      <c r="J64" s="4322" t="s">
        <v>4192</v>
      </c>
      <c r="K64" s="4322" t="s">
        <v>4181</v>
      </c>
      <c r="L64" s="4322">
        <v>1</v>
      </c>
      <c r="M64" s="4322">
        <v>46.43</v>
      </c>
      <c r="N64" s="4322">
        <v>16</v>
      </c>
      <c r="O64" s="4322">
        <v>3446</v>
      </c>
    </row>
    <row r="65" spans="1:15" ht="15.6">
      <c r="A65" s="4324">
        <v>45602.333831018499</v>
      </c>
      <c r="B65" s="4322" t="s">
        <v>4045</v>
      </c>
      <c r="C65" s="4322" t="s">
        <v>4045</v>
      </c>
      <c r="D65" s="4322" t="s">
        <v>3998</v>
      </c>
      <c r="E65" s="4322" t="s">
        <v>4045</v>
      </c>
      <c r="F65" s="4322" t="s">
        <v>4045</v>
      </c>
      <c r="G65" s="4322">
        <v>-2</v>
      </c>
      <c r="H65" s="4322" t="s">
        <v>4238</v>
      </c>
      <c r="I65" s="4322" t="s">
        <v>4191</v>
      </c>
      <c r="J65" s="4322" t="s">
        <v>4192</v>
      </c>
      <c r="K65" s="4322" t="s">
        <v>4181</v>
      </c>
      <c r="L65" s="4322">
        <v>1</v>
      </c>
      <c r="M65" s="4322">
        <v>46.43</v>
      </c>
      <c r="N65" s="4322">
        <v>16</v>
      </c>
      <c r="O65" s="4322">
        <v>3446</v>
      </c>
    </row>
    <row r="66" spans="1:15" ht="15.6">
      <c r="A66" s="4324">
        <v>45602.333831018499</v>
      </c>
      <c r="B66" s="4322" t="s">
        <v>4045</v>
      </c>
      <c r="C66" s="4322" t="s">
        <v>4045</v>
      </c>
      <c r="D66" s="4322" t="s">
        <v>3998</v>
      </c>
      <c r="E66" s="4322" t="s">
        <v>4045</v>
      </c>
      <c r="F66" s="4322" t="s">
        <v>4045</v>
      </c>
      <c r="G66" s="4322">
        <v>-1</v>
      </c>
      <c r="H66" s="4322">
        <v>-101</v>
      </c>
      <c r="I66" s="4322" t="s">
        <v>4191</v>
      </c>
      <c r="J66" s="4322" t="s">
        <v>660</v>
      </c>
      <c r="K66" s="4322" t="s">
        <v>4181</v>
      </c>
      <c r="L66" s="4322">
        <v>1</v>
      </c>
      <c r="M66" s="4322">
        <v>1604.25</v>
      </c>
      <c r="N66" s="4322">
        <v>2406.38</v>
      </c>
      <c r="O66" s="4322">
        <v>15000</v>
      </c>
    </row>
    <row r="67" spans="1:15" ht="15.6">
      <c r="A67" s="4324">
        <v>45602.333831018499</v>
      </c>
      <c r="B67" s="4322" t="s">
        <v>4045</v>
      </c>
      <c r="C67" s="4322" t="s">
        <v>4045</v>
      </c>
      <c r="D67" s="4322" t="s">
        <v>3998</v>
      </c>
      <c r="E67" s="4322" t="s">
        <v>4045</v>
      </c>
      <c r="F67" s="4322" t="s">
        <v>4045</v>
      </c>
      <c r="G67" s="4322">
        <v>6</v>
      </c>
      <c r="H67" s="4322">
        <v>601</v>
      </c>
      <c r="I67" s="4322" t="s">
        <v>4191</v>
      </c>
      <c r="J67" s="4322" t="s">
        <v>19</v>
      </c>
      <c r="K67" s="4322" t="s">
        <v>4181</v>
      </c>
      <c r="L67" s="4322">
        <v>1</v>
      </c>
      <c r="M67" s="4322">
        <v>775.66</v>
      </c>
      <c r="N67" s="4322">
        <v>3606.82</v>
      </c>
      <c r="O67" s="4322">
        <v>46500</v>
      </c>
    </row>
    <row r="68" spans="1:15" ht="15.6">
      <c r="A68" s="4324">
        <v>45602.333831018499</v>
      </c>
      <c r="B68" s="4322" t="s">
        <v>4045</v>
      </c>
      <c r="C68" s="4322" t="s">
        <v>4045</v>
      </c>
      <c r="D68" s="4322" t="s">
        <v>3998</v>
      </c>
      <c r="E68" s="4322" t="s">
        <v>4045</v>
      </c>
      <c r="F68" s="4322" t="s">
        <v>4045</v>
      </c>
      <c r="G68" s="4322">
        <v>2</v>
      </c>
      <c r="H68" s="4322">
        <v>201</v>
      </c>
      <c r="I68" s="4322" t="s">
        <v>4191</v>
      </c>
      <c r="J68" s="4322" t="s">
        <v>19</v>
      </c>
      <c r="K68" s="4322" t="s">
        <v>4181</v>
      </c>
      <c r="L68" s="4322">
        <v>1</v>
      </c>
      <c r="M68" s="4322">
        <v>894.6</v>
      </c>
      <c r="N68" s="4322">
        <v>4159.8900000000003</v>
      </c>
      <c r="O68" s="4322">
        <v>46500</v>
      </c>
    </row>
    <row r="69" spans="1:15" ht="15.6">
      <c r="A69" s="4324">
        <v>45602.333831018499</v>
      </c>
      <c r="B69" s="4322" t="s">
        <v>4045</v>
      </c>
      <c r="C69" s="4322" t="s">
        <v>4045</v>
      </c>
      <c r="D69" s="4322" t="s">
        <v>3998</v>
      </c>
      <c r="E69" s="4322" t="s">
        <v>4045</v>
      </c>
      <c r="F69" s="4322" t="s">
        <v>4045</v>
      </c>
      <c r="G69" s="4322">
        <v>-3</v>
      </c>
      <c r="H69" s="4322" t="s">
        <v>4239</v>
      </c>
      <c r="I69" s="4322" t="s">
        <v>4191</v>
      </c>
      <c r="J69" s="4322" t="s">
        <v>4192</v>
      </c>
      <c r="K69" s="4322" t="s">
        <v>4181</v>
      </c>
      <c r="L69" s="4322">
        <v>1</v>
      </c>
      <c r="M69" s="4322">
        <v>46.43</v>
      </c>
      <c r="N69" s="4322">
        <v>15</v>
      </c>
      <c r="O69" s="4322">
        <v>3231</v>
      </c>
    </row>
    <row r="70" spans="1:15" ht="15.6">
      <c r="A70" s="4324">
        <v>45602.333831018499</v>
      </c>
      <c r="B70" s="4322" t="s">
        <v>4045</v>
      </c>
      <c r="C70" s="4322" t="s">
        <v>4045</v>
      </c>
      <c r="D70" s="4322" t="s">
        <v>3998</v>
      </c>
      <c r="E70" s="4322" t="s">
        <v>4045</v>
      </c>
      <c r="F70" s="4322" t="s">
        <v>4045</v>
      </c>
      <c r="G70" s="4322">
        <v>-2</v>
      </c>
      <c r="H70" s="4322" t="s">
        <v>4240</v>
      </c>
      <c r="I70" s="4322" t="s">
        <v>4191</v>
      </c>
      <c r="J70" s="4322" t="s">
        <v>4192</v>
      </c>
      <c r="K70" s="4322" t="s">
        <v>4181</v>
      </c>
      <c r="L70" s="4322">
        <v>1</v>
      </c>
      <c r="M70" s="4322">
        <v>46.43</v>
      </c>
      <c r="N70" s="4322">
        <v>16</v>
      </c>
      <c r="O70" s="4322">
        <v>3446</v>
      </c>
    </row>
    <row r="71" spans="1:15" ht="15.6">
      <c r="A71" s="4324">
        <v>45602.333831018499</v>
      </c>
      <c r="B71" s="4322" t="s">
        <v>4045</v>
      </c>
      <c r="C71" s="4322" t="s">
        <v>4045</v>
      </c>
      <c r="D71" s="4322" t="s">
        <v>3998</v>
      </c>
      <c r="E71" s="4322" t="s">
        <v>4045</v>
      </c>
      <c r="F71" s="4322" t="s">
        <v>4045</v>
      </c>
      <c r="G71" s="4322">
        <v>-2</v>
      </c>
      <c r="H71" s="4322" t="s">
        <v>4241</v>
      </c>
      <c r="I71" s="4322" t="s">
        <v>4191</v>
      </c>
      <c r="J71" s="4322" t="s">
        <v>4192</v>
      </c>
      <c r="K71" s="4322" t="s">
        <v>4181</v>
      </c>
      <c r="L71" s="4322">
        <v>1</v>
      </c>
      <c r="M71" s="4322">
        <v>46.43</v>
      </c>
      <c r="N71" s="4322">
        <v>16</v>
      </c>
      <c r="O71" s="4322">
        <v>3446</v>
      </c>
    </row>
    <row r="72" spans="1:15" ht="15.6">
      <c r="A72" s="4324">
        <v>45602.333831018499</v>
      </c>
      <c r="B72" s="4322" t="s">
        <v>4045</v>
      </c>
      <c r="C72" s="4322" t="s">
        <v>4045</v>
      </c>
      <c r="D72" s="4322" t="s">
        <v>3998</v>
      </c>
      <c r="E72" s="4322" t="s">
        <v>4045</v>
      </c>
      <c r="F72" s="4322" t="s">
        <v>4045</v>
      </c>
      <c r="G72" s="4322">
        <v>4</v>
      </c>
      <c r="H72" s="4322">
        <v>401</v>
      </c>
      <c r="I72" s="4322" t="s">
        <v>4191</v>
      </c>
      <c r="J72" s="4322" t="s">
        <v>19</v>
      </c>
      <c r="K72" s="4322" t="s">
        <v>4181</v>
      </c>
      <c r="L72" s="4322">
        <v>1</v>
      </c>
      <c r="M72" s="4322">
        <v>775.66</v>
      </c>
      <c r="N72" s="4322">
        <v>3606.82</v>
      </c>
      <c r="O72" s="4322">
        <v>46500</v>
      </c>
    </row>
    <row r="73" spans="1:15" ht="15.6">
      <c r="A73" s="4324">
        <v>45602.333831018499</v>
      </c>
      <c r="B73" s="4322" t="s">
        <v>4045</v>
      </c>
      <c r="C73" s="4322" t="s">
        <v>4045</v>
      </c>
      <c r="D73" s="4322" t="s">
        <v>3998</v>
      </c>
      <c r="E73" s="4322" t="s">
        <v>4045</v>
      </c>
      <c r="F73" s="4322" t="s">
        <v>4045</v>
      </c>
      <c r="G73" s="4322">
        <v>-3</v>
      </c>
      <c r="H73" s="4322" t="s">
        <v>4242</v>
      </c>
      <c r="I73" s="4322" t="s">
        <v>4191</v>
      </c>
      <c r="J73" s="4322" t="s">
        <v>4192</v>
      </c>
      <c r="K73" s="4322" t="s">
        <v>4181</v>
      </c>
      <c r="L73" s="4322">
        <v>1</v>
      </c>
      <c r="M73" s="4322">
        <v>46.43</v>
      </c>
      <c r="N73" s="4322">
        <v>15</v>
      </c>
      <c r="O73" s="4322">
        <v>3231</v>
      </c>
    </row>
    <row r="74" spans="1:15" ht="15.6">
      <c r="A74" s="4324">
        <v>45602.333831018499</v>
      </c>
      <c r="B74" s="4322" t="s">
        <v>4045</v>
      </c>
      <c r="C74" s="4322" t="s">
        <v>4045</v>
      </c>
      <c r="D74" s="4322" t="s">
        <v>3998</v>
      </c>
      <c r="E74" s="4322" t="s">
        <v>4045</v>
      </c>
      <c r="F74" s="4322" t="s">
        <v>4045</v>
      </c>
      <c r="G74" s="4322">
        <v>-3</v>
      </c>
      <c r="H74" s="4322" t="s">
        <v>4243</v>
      </c>
      <c r="I74" s="4322" t="s">
        <v>4191</v>
      </c>
      <c r="J74" s="4322" t="s">
        <v>4192</v>
      </c>
      <c r="K74" s="4322" t="s">
        <v>4181</v>
      </c>
      <c r="L74" s="4322">
        <v>1</v>
      </c>
      <c r="M74" s="4322">
        <v>46.43</v>
      </c>
      <c r="N74" s="4322">
        <v>15</v>
      </c>
      <c r="O74" s="4322">
        <v>3231</v>
      </c>
    </row>
    <row r="75" spans="1:15" ht="15.6">
      <c r="A75" s="4324">
        <v>45602.333831018499</v>
      </c>
      <c r="B75" s="4322" t="s">
        <v>4045</v>
      </c>
      <c r="C75" s="4322" t="s">
        <v>4045</v>
      </c>
      <c r="D75" s="4322" t="s">
        <v>3998</v>
      </c>
      <c r="E75" s="4322" t="s">
        <v>4045</v>
      </c>
      <c r="F75" s="4322" t="s">
        <v>4045</v>
      </c>
      <c r="G75" s="4322">
        <v>-3</v>
      </c>
      <c r="H75" s="4322" t="s">
        <v>4244</v>
      </c>
      <c r="I75" s="4322" t="s">
        <v>4191</v>
      </c>
      <c r="J75" s="4322" t="s">
        <v>4192</v>
      </c>
      <c r="K75" s="4322" t="s">
        <v>4181</v>
      </c>
      <c r="L75" s="4322">
        <v>1</v>
      </c>
      <c r="M75" s="4322">
        <v>46.43</v>
      </c>
      <c r="N75" s="4322">
        <v>15</v>
      </c>
      <c r="O75" s="4322">
        <v>3231</v>
      </c>
    </row>
    <row r="76" spans="1:15" ht="15.6">
      <c r="A76" s="4324">
        <v>45602.333831018499</v>
      </c>
      <c r="B76" s="4322" t="s">
        <v>4045</v>
      </c>
      <c r="C76" s="4322" t="s">
        <v>4045</v>
      </c>
      <c r="D76" s="4322" t="s">
        <v>3998</v>
      </c>
      <c r="E76" s="4322" t="s">
        <v>4045</v>
      </c>
      <c r="F76" s="4322" t="s">
        <v>4045</v>
      </c>
      <c r="G76" s="4322">
        <v>-3</v>
      </c>
      <c r="H76" s="4322" t="s">
        <v>4245</v>
      </c>
      <c r="I76" s="4322" t="s">
        <v>4191</v>
      </c>
      <c r="J76" s="4322" t="s">
        <v>4192</v>
      </c>
      <c r="K76" s="4322" t="s">
        <v>4181</v>
      </c>
      <c r="L76" s="4322">
        <v>1</v>
      </c>
      <c r="M76" s="4322">
        <v>46.43</v>
      </c>
      <c r="N76" s="4322">
        <v>16</v>
      </c>
      <c r="O76" s="4322">
        <v>3446</v>
      </c>
    </row>
    <row r="77" spans="1:15" ht="15.6">
      <c r="A77" s="4324">
        <v>45602.333831018499</v>
      </c>
      <c r="B77" s="4322" t="s">
        <v>4045</v>
      </c>
      <c r="C77" s="4322" t="s">
        <v>4045</v>
      </c>
      <c r="D77" s="4322" t="s">
        <v>3998</v>
      </c>
      <c r="E77" s="4322" t="s">
        <v>4045</v>
      </c>
      <c r="F77" s="4322" t="s">
        <v>4045</v>
      </c>
      <c r="G77" s="4322">
        <v>-2</v>
      </c>
      <c r="H77" s="4322" t="s">
        <v>4246</v>
      </c>
      <c r="I77" s="4322" t="s">
        <v>4191</v>
      </c>
      <c r="J77" s="4322" t="s">
        <v>4192</v>
      </c>
      <c r="K77" s="4322" t="s">
        <v>4181</v>
      </c>
      <c r="L77" s="4322">
        <v>1</v>
      </c>
      <c r="M77" s="4322">
        <v>46.43</v>
      </c>
      <c r="N77" s="4322">
        <v>16</v>
      </c>
      <c r="O77" s="4322">
        <v>3446</v>
      </c>
    </row>
    <row r="78" spans="1:15" ht="15.6">
      <c r="A78" s="4324">
        <v>45602.333831018499</v>
      </c>
      <c r="B78" s="4322" t="s">
        <v>4045</v>
      </c>
      <c r="C78" s="4322" t="s">
        <v>4045</v>
      </c>
      <c r="D78" s="4322" t="s">
        <v>3998</v>
      </c>
      <c r="E78" s="4322" t="s">
        <v>4045</v>
      </c>
      <c r="F78" s="4322" t="s">
        <v>4045</v>
      </c>
      <c r="G78" s="4322">
        <v>10</v>
      </c>
      <c r="H78" s="4322">
        <v>1001</v>
      </c>
      <c r="I78" s="4322" t="s">
        <v>4191</v>
      </c>
      <c r="J78" s="4322" t="s">
        <v>19</v>
      </c>
      <c r="K78" s="4322" t="s">
        <v>4181</v>
      </c>
      <c r="L78" s="4322">
        <v>1</v>
      </c>
      <c r="M78" s="4322">
        <v>775.66</v>
      </c>
      <c r="N78" s="4322">
        <v>3606.82</v>
      </c>
      <c r="O78" s="4322">
        <v>46500</v>
      </c>
    </row>
    <row r="79" spans="1:15" ht="15.6">
      <c r="A79" s="4324">
        <v>45602.333831018499</v>
      </c>
      <c r="B79" s="4322" t="s">
        <v>4045</v>
      </c>
      <c r="C79" s="4322" t="s">
        <v>4045</v>
      </c>
      <c r="D79" s="4322" t="s">
        <v>3998</v>
      </c>
      <c r="E79" s="4322" t="s">
        <v>4045</v>
      </c>
      <c r="F79" s="4322" t="s">
        <v>4045</v>
      </c>
      <c r="G79" s="4322">
        <v>-3</v>
      </c>
      <c r="H79" s="4322" t="s">
        <v>4247</v>
      </c>
      <c r="I79" s="4322" t="s">
        <v>4191</v>
      </c>
      <c r="J79" s="4322" t="s">
        <v>4192</v>
      </c>
      <c r="K79" s="4322" t="s">
        <v>4181</v>
      </c>
      <c r="L79" s="4322">
        <v>1</v>
      </c>
      <c r="M79" s="4322">
        <v>46.43</v>
      </c>
      <c r="N79" s="4322">
        <v>15</v>
      </c>
      <c r="O79" s="4322">
        <v>3231</v>
      </c>
    </row>
    <row r="80" spans="1:15" ht="15.6">
      <c r="A80" s="4324">
        <v>45602.333831018499</v>
      </c>
      <c r="B80" s="4322" t="s">
        <v>4045</v>
      </c>
      <c r="C80" s="4322" t="s">
        <v>4045</v>
      </c>
      <c r="D80" s="4322" t="s">
        <v>3998</v>
      </c>
      <c r="E80" s="4322" t="s">
        <v>4045</v>
      </c>
      <c r="F80" s="4322" t="s">
        <v>4045</v>
      </c>
      <c r="G80" s="4322">
        <v>-3</v>
      </c>
      <c r="H80" s="4322" t="s">
        <v>4248</v>
      </c>
      <c r="I80" s="4322" t="s">
        <v>4191</v>
      </c>
      <c r="J80" s="4322" t="s">
        <v>4192</v>
      </c>
      <c r="K80" s="4322" t="s">
        <v>4181</v>
      </c>
      <c r="L80" s="4322">
        <v>1</v>
      </c>
      <c r="M80" s="4322">
        <v>46.43</v>
      </c>
      <c r="N80" s="4322">
        <v>15</v>
      </c>
      <c r="O80" s="4322">
        <v>3231</v>
      </c>
    </row>
    <row r="81" spans="1:15" ht="15.6">
      <c r="A81" s="4324">
        <v>45602.333831018499</v>
      </c>
      <c r="B81" s="4322" t="s">
        <v>4045</v>
      </c>
      <c r="C81" s="4322" t="s">
        <v>4045</v>
      </c>
      <c r="D81" s="4322" t="s">
        <v>3998</v>
      </c>
      <c r="E81" s="4322" t="s">
        <v>4045</v>
      </c>
      <c r="F81" s="4322" t="s">
        <v>4045</v>
      </c>
      <c r="G81" s="4322">
        <v>-2</v>
      </c>
      <c r="H81" s="4322" t="s">
        <v>4249</v>
      </c>
      <c r="I81" s="4322" t="s">
        <v>4191</v>
      </c>
      <c r="J81" s="4322" t="s">
        <v>4192</v>
      </c>
      <c r="K81" s="4322" t="s">
        <v>4181</v>
      </c>
      <c r="L81" s="4322">
        <v>1</v>
      </c>
      <c r="M81" s="4322">
        <v>46.43</v>
      </c>
      <c r="N81" s="4322">
        <v>16</v>
      </c>
      <c r="O81" s="4322">
        <v>3446</v>
      </c>
    </row>
    <row r="82" spans="1:15" ht="15.6">
      <c r="A82" s="4324">
        <v>45602.333831018499</v>
      </c>
      <c r="B82" s="4322" t="s">
        <v>4045</v>
      </c>
      <c r="C82" s="4322" t="s">
        <v>4045</v>
      </c>
      <c r="D82" s="4322" t="s">
        <v>3998</v>
      </c>
      <c r="E82" s="4322" t="s">
        <v>4045</v>
      </c>
      <c r="F82" s="4322" t="s">
        <v>4045</v>
      </c>
      <c r="G82" s="4322">
        <v>-3</v>
      </c>
      <c r="H82" s="4322" t="s">
        <v>4250</v>
      </c>
      <c r="I82" s="4322" t="s">
        <v>4191</v>
      </c>
      <c r="J82" s="4322" t="s">
        <v>4192</v>
      </c>
      <c r="K82" s="4322" t="s">
        <v>4181</v>
      </c>
      <c r="L82" s="4322">
        <v>1</v>
      </c>
      <c r="M82" s="4322">
        <v>46.43</v>
      </c>
      <c r="N82" s="4322">
        <v>15</v>
      </c>
      <c r="O82" s="4322">
        <v>3231</v>
      </c>
    </row>
    <row r="83" spans="1:15" ht="15.6">
      <c r="A83" s="4324">
        <v>45602.333831018499</v>
      </c>
      <c r="B83" s="4322" t="s">
        <v>4045</v>
      </c>
      <c r="C83" s="4322" t="s">
        <v>4045</v>
      </c>
      <c r="D83" s="4322" t="s">
        <v>3998</v>
      </c>
      <c r="E83" s="4322" t="s">
        <v>4045</v>
      </c>
      <c r="F83" s="4322" t="s">
        <v>4045</v>
      </c>
      <c r="G83" s="4322">
        <v>-3</v>
      </c>
      <c r="H83" s="4322" t="s">
        <v>4251</v>
      </c>
      <c r="I83" s="4322" t="s">
        <v>4191</v>
      </c>
      <c r="J83" s="4322" t="s">
        <v>4192</v>
      </c>
      <c r="K83" s="4322" t="s">
        <v>4181</v>
      </c>
      <c r="L83" s="4322">
        <v>1</v>
      </c>
      <c r="M83" s="4322">
        <v>46.43</v>
      </c>
      <c r="N83" s="4322">
        <v>15</v>
      </c>
      <c r="O83" s="4322">
        <v>3231</v>
      </c>
    </row>
    <row r="84" spans="1:15" ht="15.6">
      <c r="A84" s="4324">
        <v>45602.333831018499</v>
      </c>
      <c r="B84" s="4322" t="s">
        <v>4045</v>
      </c>
      <c r="C84" s="4322" t="s">
        <v>4045</v>
      </c>
      <c r="D84" s="4322" t="s">
        <v>3998</v>
      </c>
      <c r="E84" s="4322" t="s">
        <v>4045</v>
      </c>
      <c r="F84" s="4322" t="s">
        <v>4045</v>
      </c>
      <c r="G84" s="4322">
        <v>-3</v>
      </c>
      <c r="H84" s="4322" t="s">
        <v>4252</v>
      </c>
      <c r="I84" s="4322" t="s">
        <v>4191</v>
      </c>
      <c r="J84" s="4322" t="s">
        <v>4192</v>
      </c>
      <c r="K84" s="4322" t="s">
        <v>4181</v>
      </c>
      <c r="L84" s="4322">
        <v>1</v>
      </c>
      <c r="M84" s="4322">
        <v>46.43</v>
      </c>
      <c r="N84" s="4322">
        <v>15</v>
      </c>
      <c r="O84" s="4322">
        <v>3231</v>
      </c>
    </row>
    <row r="85" spans="1:15" ht="15.6">
      <c r="A85" s="4324">
        <v>45602.333831018499</v>
      </c>
      <c r="B85" s="4322" t="s">
        <v>4045</v>
      </c>
      <c r="C85" s="4322" t="s">
        <v>4045</v>
      </c>
      <c r="D85" s="4322" t="s">
        <v>3998</v>
      </c>
      <c r="E85" s="4322" t="s">
        <v>4045</v>
      </c>
      <c r="F85" s="4322" t="s">
        <v>4045</v>
      </c>
      <c r="G85" s="4322">
        <v>-3</v>
      </c>
      <c r="H85" s="4322" t="s">
        <v>4253</v>
      </c>
      <c r="I85" s="4322" t="s">
        <v>4191</v>
      </c>
      <c r="J85" s="4322" t="s">
        <v>4192</v>
      </c>
      <c r="K85" s="4322" t="s">
        <v>4181</v>
      </c>
      <c r="L85" s="4322">
        <v>1</v>
      </c>
      <c r="M85" s="4322">
        <v>46.43</v>
      </c>
      <c r="N85" s="4322">
        <v>15</v>
      </c>
      <c r="O85" s="4322">
        <v>3231</v>
      </c>
    </row>
    <row r="86" spans="1:15" ht="15.6">
      <c r="A86" s="4324">
        <v>45602.333831018499</v>
      </c>
      <c r="B86" s="4322" t="s">
        <v>4045</v>
      </c>
      <c r="C86" s="4322" t="s">
        <v>4045</v>
      </c>
      <c r="D86" s="4322" t="s">
        <v>3998</v>
      </c>
      <c r="E86" s="4322" t="s">
        <v>4045</v>
      </c>
      <c r="F86" s="4322" t="s">
        <v>4045</v>
      </c>
      <c r="G86" s="4322">
        <v>-2</v>
      </c>
      <c r="H86" s="4322" t="s">
        <v>4254</v>
      </c>
      <c r="I86" s="4322" t="s">
        <v>4191</v>
      </c>
      <c r="J86" s="4322" t="s">
        <v>4192</v>
      </c>
      <c r="K86" s="4322" t="s">
        <v>4181</v>
      </c>
      <c r="L86" s="4322">
        <v>1</v>
      </c>
      <c r="M86" s="4322">
        <v>46.43</v>
      </c>
      <c r="N86" s="4322">
        <v>16</v>
      </c>
      <c r="O86" s="4322">
        <v>3446</v>
      </c>
    </row>
    <row r="87" spans="1:15" ht="15.6">
      <c r="A87" s="4324">
        <v>45602.333831018499</v>
      </c>
      <c r="B87" s="4322" t="s">
        <v>4045</v>
      </c>
      <c r="C87" s="4322" t="s">
        <v>4045</v>
      </c>
      <c r="D87" s="4322" t="s">
        <v>3998</v>
      </c>
      <c r="E87" s="4322" t="s">
        <v>4045</v>
      </c>
      <c r="F87" s="4322" t="s">
        <v>4045</v>
      </c>
      <c r="G87" s="4322">
        <v>-3</v>
      </c>
      <c r="H87" s="4322" t="s">
        <v>4255</v>
      </c>
      <c r="I87" s="4322" t="s">
        <v>4191</v>
      </c>
      <c r="J87" s="4322" t="s">
        <v>4192</v>
      </c>
      <c r="K87" s="4322" t="s">
        <v>4181</v>
      </c>
      <c r="L87" s="4322">
        <v>1</v>
      </c>
      <c r="M87" s="4322">
        <v>45.52</v>
      </c>
      <c r="N87" s="4322">
        <v>15</v>
      </c>
      <c r="O87" s="4322">
        <v>3295</v>
      </c>
    </row>
    <row r="88" spans="1:15" ht="15.6">
      <c r="A88" s="4324">
        <v>45602.333831018499</v>
      </c>
      <c r="B88" s="4322" t="s">
        <v>4045</v>
      </c>
      <c r="C88" s="4322" t="s">
        <v>4045</v>
      </c>
      <c r="D88" s="4322" t="s">
        <v>3998</v>
      </c>
      <c r="E88" s="4322" t="s">
        <v>4045</v>
      </c>
      <c r="F88" s="4322" t="s">
        <v>4045</v>
      </c>
      <c r="G88" s="4322">
        <v>-3</v>
      </c>
      <c r="H88" s="4322" t="s">
        <v>4256</v>
      </c>
      <c r="I88" s="4322" t="s">
        <v>4191</v>
      </c>
      <c r="J88" s="4322" t="s">
        <v>4192</v>
      </c>
      <c r="K88" s="4322" t="s">
        <v>4181</v>
      </c>
      <c r="L88" s="4322">
        <v>1</v>
      </c>
      <c r="M88" s="4322">
        <v>46.43</v>
      </c>
      <c r="N88" s="4322">
        <v>15</v>
      </c>
      <c r="O88" s="4322">
        <v>3231</v>
      </c>
    </row>
    <row r="89" spans="1:15" ht="15.6">
      <c r="A89" s="4324">
        <v>45602.333831018499</v>
      </c>
      <c r="B89" s="4322" t="s">
        <v>4045</v>
      </c>
      <c r="C89" s="4322" t="s">
        <v>4045</v>
      </c>
      <c r="D89" s="4322" t="s">
        <v>3998</v>
      </c>
      <c r="E89" s="4322" t="s">
        <v>4045</v>
      </c>
      <c r="F89" s="4322" t="s">
        <v>4045</v>
      </c>
      <c r="G89" s="4322">
        <v>-2</v>
      </c>
      <c r="H89" s="4322" t="s">
        <v>4257</v>
      </c>
      <c r="I89" s="4322" t="s">
        <v>4191</v>
      </c>
      <c r="J89" s="4322" t="s">
        <v>4192</v>
      </c>
      <c r="K89" s="4322" t="s">
        <v>4181</v>
      </c>
      <c r="L89" s="4322">
        <v>1</v>
      </c>
      <c r="M89" s="4322">
        <v>46.43</v>
      </c>
      <c r="N89" s="4322">
        <v>16</v>
      </c>
      <c r="O89" s="4322">
        <v>3446</v>
      </c>
    </row>
    <row r="90" spans="1:15" ht="15.6">
      <c r="A90" s="4324">
        <v>45602.333831018499</v>
      </c>
      <c r="B90" s="4322" t="s">
        <v>4045</v>
      </c>
      <c r="C90" s="4322" t="s">
        <v>4045</v>
      </c>
      <c r="D90" s="4322" t="s">
        <v>3998</v>
      </c>
      <c r="E90" s="4322" t="s">
        <v>4045</v>
      </c>
      <c r="F90" s="4322" t="s">
        <v>4045</v>
      </c>
      <c r="G90" s="4322">
        <v>-3</v>
      </c>
      <c r="H90" s="4322" t="s">
        <v>4258</v>
      </c>
      <c r="I90" s="4322" t="s">
        <v>4191</v>
      </c>
      <c r="J90" s="4322" t="s">
        <v>4192</v>
      </c>
      <c r="K90" s="4322" t="s">
        <v>4181</v>
      </c>
      <c r="L90" s="4322">
        <v>1</v>
      </c>
      <c r="M90" s="4322">
        <v>46.43</v>
      </c>
      <c r="N90" s="4322">
        <v>15</v>
      </c>
      <c r="O90" s="4322">
        <v>3231</v>
      </c>
    </row>
    <row r="91" spans="1:15" ht="15.6">
      <c r="A91" s="4324">
        <v>45602.333831018499</v>
      </c>
      <c r="B91" s="4322" t="s">
        <v>4045</v>
      </c>
      <c r="C91" s="4322" t="s">
        <v>4045</v>
      </c>
      <c r="D91" s="4322" t="s">
        <v>3998</v>
      </c>
      <c r="E91" s="4322" t="s">
        <v>4045</v>
      </c>
      <c r="F91" s="4322" t="s">
        <v>4045</v>
      </c>
      <c r="G91" s="4322">
        <v>-2</v>
      </c>
      <c r="H91" s="4322" t="s">
        <v>4259</v>
      </c>
      <c r="I91" s="4322" t="s">
        <v>4191</v>
      </c>
      <c r="J91" s="4322" t="s">
        <v>4192</v>
      </c>
      <c r="K91" s="4322" t="s">
        <v>4181</v>
      </c>
      <c r="L91" s="4322">
        <v>1</v>
      </c>
      <c r="M91" s="4322">
        <v>46.43</v>
      </c>
      <c r="N91" s="4322">
        <v>16</v>
      </c>
      <c r="O91" s="4322">
        <v>3446</v>
      </c>
    </row>
    <row r="92" spans="1:15" ht="15.6">
      <c r="A92" s="4324">
        <v>45602.333831018499</v>
      </c>
      <c r="B92" s="4322" t="s">
        <v>4045</v>
      </c>
      <c r="C92" s="4322" t="s">
        <v>4045</v>
      </c>
      <c r="D92" s="4322" t="s">
        <v>3998</v>
      </c>
      <c r="E92" s="4322" t="s">
        <v>4045</v>
      </c>
      <c r="F92" s="4322" t="s">
        <v>4045</v>
      </c>
      <c r="G92" s="4322">
        <v>-2</v>
      </c>
      <c r="H92" s="4322" t="s">
        <v>4260</v>
      </c>
      <c r="I92" s="4322" t="s">
        <v>4191</v>
      </c>
      <c r="J92" s="4322" t="s">
        <v>4192</v>
      </c>
      <c r="K92" s="4322" t="s">
        <v>4181</v>
      </c>
      <c r="L92" s="4322">
        <v>1</v>
      </c>
      <c r="M92" s="4322">
        <v>46.43</v>
      </c>
      <c r="N92" s="4322">
        <v>16</v>
      </c>
      <c r="O92" s="4322">
        <v>3446</v>
      </c>
    </row>
    <row r="93" spans="1:15" ht="15.6">
      <c r="A93" s="4324">
        <v>45602.333831018499</v>
      </c>
      <c r="B93" s="4322" t="s">
        <v>4045</v>
      </c>
      <c r="C93" s="4322" t="s">
        <v>4045</v>
      </c>
      <c r="D93" s="4322" t="s">
        <v>3998</v>
      </c>
      <c r="E93" s="4322" t="s">
        <v>4045</v>
      </c>
      <c r="F93" s="4322" t="s">
        <v>4045</v>
      </c>
      <c r="G93" s="4322">
        <v>-2</v>
      </c>
      <c r="H93" s="4322" t="s">
        <v>4261</v>
      </c>
      <c r="I93" s="4322" t="s">
        <v>4191</v>
      </c>
      <c r="J93" s="4322" t="s">
        <v>4192</v>
      </c>
      <c r="K93" s="4322" t="s">
        <v>4181</v>
      </c>
      <c r="L93" s="4322">
        <v>1</v>
      </c>
      <c r="M93" s="4322">
        <v>46.43</v>
      </c>
      <c r="N93" s="4322">
        <v>16</v>
      </c>
      <c r="O93" s="4322">
        <v>3446</v>
      </c>
    </row>
    <row r="94" spans="1:15" ht="15.6">
      <c r="M94" s="4323">
        <f>SUM(M2:M93)</f>
        <v>21750.470000000008</v>
      </c>
      <c r="N94" s="4323">
        <f>SUM(N2:N93)</f>
        <v>82000.060000000027</v>
      </c>
      <c r="O94" s="4322">
        <f>ROUND(N94/M94*10000,0)</f>
        <v>37700</v>
      </c>
    </row>
    <row r="95" spans="1:15" ht="15.6">
      <c r="L95" s="4322" t="s">
        <v>4262</v>
      </c>
      <c r="M95" s="4322">
        <f>M7+M10+M13+M18+M21+M26+M27+M28+M36+M43+M48+M50+M51+M56+M61+M63+M67+M68+M72+M78</f>
        <v>16877.499999999996</v>
      </c>
    </row>
    <row r="96" spans="1:15" ht="15.6">
      <c r="L96" s="4322" t="s">
        <v>4263</v>
      </c>
      <c r="M96" s="4322">
        <f>M94-M95</f>
        <v>4872.9700000000121</v>
      </c>
    </row>
    <row r="97" spans="12:13" ht="15.6">
      <c r="L97" s="4322" t="s">
        <v>4264</v>
      </c>
      <c r="M97" s="4325">
        <f>M96/M94</f>
        <v>0.22403975638227636</v>
      </c>
    </row>
  </sheetData>
  <phoneticPr fontId="134"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FCB10-5944-40D2-9598-7EDE3E09F81B}">
  <sheetPr>
    <tabColor rgb="FF7030A0"/>
  </sheetPr>
  <dimension ref="A1:K17"/>
  <sheetViews>
    <sheetView workbookViewId="0">
      <selection activeCell="K20" sqref="K20"/>
    </sheetView>
  </sheetViews>
  <sheetFormatPr defaultColWidth="9" defaultRowHeight="15.6"/>
  <cols>
    <col min="1" max="1" width="10.44140625" style="4327" customWidth="1"/>
    <col min="2" max="4" width="7.44140625" style="4327" customWidth="1"/>
    <col min="5" max="5" width="37.109375" style="4327" customWidth="1"/>
    <col min="6" max="6" width="9.44140625" style="4327" customWidth="1"/>
    <col min="7" max="7" width="5.44140625" style="4327" customWidth="1"/>
    <col min="8" max="9" width="13.88671875" style="4327" customWidth="1"/>
    <col min="10" max="10" width="16.109375" style="4327" customWidth="1"/>
    <col min="11" max="11" width="17.21875" style="4327" customWidth="1"/>
    <col min="12" max="12" width="20" style="4327" customWidth="1"/>
    <col min="13" max="16384" width="9" style="4327"/>
  </cols>
  <sheetData>
    <row r="1" spans="1:11">
      <c r="A1" s="4327" t="s">
        <v>4168</v>
      </c>
      <c r="B1" s="4327" t="s">
        <v>4169</v>
      </c>
      <c r="C1" s="4327" t="s">
        <v>4170</v>
      </c>
      <c r="D1" s="4327" t="s">
        <v>4171</v>
      </c>
      <c r="E1" s="4327" t="s">
        <v>4172</v>
      </c>
      <c r="F1" s="4327" t="s">
        <v>4173</v>
      </c>
      <c r="G1" s="4327" t="s">
        <v>4174</v>
      </c>
      <c r="H1" s="4327" t="s">
        <v>4175</v>
      </c>
      <c r="I1" s="4327" t="s">
        <v>4176</v>
      </c>
      <c r="J1" s="4327" t="s">
        <v>4177</v>
      </c>
      <c r="K1" s="4327" t="s">
        <v>4178</v>
      </c>
    </row>
    <row r="2" spans="1:11">
      <c r="A2" s="4328">
        <v>45195.333831018499</v>
      </c>
      <c r="B2" s="4327" t="s">
        <v>3998</v>
      </c>
      <c r="C2" s="4327">
        <v>8</v>
      </c>
      <c r="D2" s="4327">
        <v>801</v>
      </c>
      <c r="E2" s="4327" t="s">
        <v>4265</v>
      </c>
      <c r="F2" s="4327" t="s">
        <v>19</v>
      </c>
      <c r="G2" s="4327" t="s">
        <v>4181</v>
      </c>
      <c r="H2" s="4327">
        <v>1</v>
      </c>
      <c r="I2" s="4327">
        <v>897.54</v>
      </c>
      <c r="J2" s="4327">
        <v>4487.7</v>
      </c>
      <c r="K2" s="4327">
        <v>50000</v>
      </c>
    </row>
    <row r="3" spans="1:11">
      <c r="A3" s="4328">
        <v>45195.333831018499</v>
      </c>
      <c r="B3" s="4327" t="s">
        <v>3998</v>
      </c>
      <c r="C3" s="4327">
        <v>6</v>
      </c>
      <c r="D3" s="4327">
        <v>601</v>
      </c>
      <c r="E3" s="4327" t="s">
        <v>4265</v>
      </c>
      <c r="F3" s="4327" t="s">
        <v>19</v>
      </c>
      <c r="G3" s="4327" t="s">
        <v>4181</v>
      </c>
      <c r="H3" s="4327">
        <v>1</v>
      </c>
      <c r="I3" s="4327">
        <v>897.54</v>
      </c>
      <c r="J3" s="4327">
        <v>4487.7</v>
      </c>
      <c r="K3" s="4327">
        <v>50000</v>
      </c>
    </row>
    <row r="4" spans="1:11">
      <c r="A4" s="4328">
        <v>45195.333831018499</v>
      </c>
      <c r="B4" s="4327" t="s">
        <v>3998</v>
      </c>
      <c r="C4" s="4327">
        <v>5</v>
      </c>
      <c r="D4" s="4327">
        <v>501</v>
      </c>
      <c r="E4" s="4327" t="s">
        <v>4265</v>
      </c>
      <c r="F4" s="4327" t="s">
        <v>19</v>
      </c>
      <c r="G4" s="4327" t="s">
        <v>4181</v>
      </c>
      <c r="H4" s="4327">
        <v>1</v>
      </c>
      <c r="I4" s="4327">
        <v>897.54</v>
      </c>
      <c r="J4" s="4327">
        <v>4487.7</v>
      </c>
      <c r="K4" s="4327">
        <v>50000</v>
      </c>
    </row>
    <row r="5" spans="1:11">
      <c r="A5" s="4328">
        <v>45195.333831018499</v>
      </c>
      <c r="B5" s="4327" t="s">
        <v>3998</v>
      </c>
      <c r="C5" s="4327">
        <v>4</v>
      </c>
      <c r="D5" s="4327">
        <v>401</v>
      </c>
      <c r="E5" s="4327" t="s">
        <v>4265</v>
      </c>
      <c r="F5" s="4327" t="s">
        <v>19</v>
      </c>
      <c r="G5" s="4327" t="s">
        <v>4181</v>
      </c>
      <c r="H5" s="4327">
        <v>1</v>
      </c>
      <c r="I5" s="4327">
        <v>897.54</v>
      </c>
      <c r="J5" s="4327">
        <v>4487.7</v>
      </c>
      <c r="K5" s="4327">
        <v>50000</v>
      </c>
    </row>
    <row r="6" spans="1:11">
      <c r="A6" s="4328">
        <v>45195.333831018499</v>
      </c>
      <c r="B6" s="4327" t="s">
        <v>3998</v>
      </c>
      <c r="C6" s="4327">
        <v>10</v>
      </c>
      <c r="D6" s="4327">
        <v>1001</v>
      </c>
      <c r="E6" s="4327" t="s">
        <v>4265</v>
      </c>
      <c r="F6" s="4327" t="s">
        <v>19</v>
      </c>
      <c r="G6" s="4327" t="s">
        <v>4181</v>
      </c>
      <c r="H6" s="4327">
        <v>1</v>
      </c>
      <c r="I6" s="4327">
        <v>897.54</v>
      </c>
      <c r="J6" s="4327">
        <v>4487.7</v>
      </c>
      <c r="K6" s="4327">
        <v>50000</v>
      </c>
    </row>
    <row r="7" spans="1:11">
      <c r="A7" s="4328">
        <v>45195.333831018499</v>
      </c>
      <c r="B7" s="4327" t="s">
        <v>3998</v>
      </c>
      <c r="C7" s="4327">
        <v>9</v>
      </c>
      <c r="D7" s="4327">
        <v>901</v>
      </c>
      <c r="E7" s="4327" t="s">
        <v>4265</v>
      </c>
      <c r="F7" s="4327" t="s">
        <v>19</v>
      </c>
      <c r="G7" s="4327" t="s">
        <v>4181</v>
      </c>
      <c r="H7" s="4327">
        <v>1</v>
      </c>
      <c r="I7" s="4327">
        <v>897.54</v>
      </c>
      <c r="J7" s="4327">
        <v>4487.7</v>
      </c>
      <c r="K7" s="4327">
        <v>50000</v>
      </c>
    </row>
    <row r="8" spans="1:11">
      <c r="A8" s="4328">
        <v>45195.333831018499</v>
      </c>
      <c r="B8" s="4327" t="s">
        <v>3998</v>
      </c>
      <c r="C8" s="4327">
        <v>1</v>
      </c>
      <c r="D8" s="4327">
        <v>101</v>
      </c>
      <c r="E8" s="4327" t="s">
        <v>4265</v>
      </c>
      <c r="F8" s="4327" t="s">
        <v>660</v>
      </c>
      <c r="G8" s="4327" t="s">
        <v>4181</v>
      </c>
      <c r="H8" s="4327">
        <v>1</v>
      </c>
      <c r="I8" s="4327">
        <v>801.28</v>
      </c>
      <c r="J8" s="4327">
        <v>4006.4</v>
      </c>
      <c r="K8" s="4327">
        <v>50000</v>
      </c>
    </row>
    <row r="9" spans="1:11">
      <c r="A9" s="4328">
        <v>45195.333831018499</v>
      </c>
      <c r="B9" s="4327" t="s">
        <v>3998</v>
      </c>
      <c r="C9" s="4327">
        <v>-1</v>
      </c>
      <c r="D9" s="4327">
        <v>-102</v>
      </c>
      <c r="E9" s="4327" t="s">
        <v>4265</v>
      </c>
      <c r="F9" s="4327" t="s">
        <v>660</v>
      </c>
      <c r="G9" s="4327" t="s">
        <v>4181</v>
      </c>
      <c r="H9" s="4327">
        <v>1</v>
      </c>
      <c r="I9" s="4327">
        <v>857.83</v>
      </c>
      <c r="J9" s="4327">
        <v>1286.75</v>
      </c>
      <c r="K9" s="4327">
        <v>15000</v>
      </c>
    </row>
    <row r="10" spans="1:11">
      <c r="A10" s="4328">
        <v>45195.333831018499</v>
      </c>
      <c r="B10" s="4327" t="s">
        <v>3998</v>
      </c>
      <c r="C10" s="4327">
        <v>3</v>
      </c>
      <c r="D10" s="4327">
        <v>301</v>
      </c>
      <c r="E10" s="4327" t="s">
        <v>4265</v>
      </c>
      <c r="F10" s="4327" t="s">
        <v>19</v>
      </c>
      <c r="G10" s="4327" t="s">
        <v>4181</v>
      </c>
      <c r="H10" s="4327">
        <v>1</v>
      </c>
      <c r="I10" s="4327">
        <v>897.54</v>
      </c>
      <c r="J10" s="4327">
        <v>4487.7</v>
      </c>
      <c r="K10" s="4327">
        <v>50000</v>
      </c>
    </row>
    <row r="11" spans="1:11">
      <c r="A11" s="4328">
        <v>45195.333831018499</v>
      </c>
      <c r="B11" s="4327" t="s">
        <v>3998</v>
      </c>
      <c r="C11" s="4327">
        <v>7</v>
      </c>
      <c r="D11" s="4327">
        <v>701</v>
      </c>
      <c r="E11" s="4327" t="s">
        <v>4265</v>
      </c>
      <c r="F11" s="4327" t="s">
        <v>19</v>
      </c>
      <c r="G11" s="4327" t="s">
        <v>4181</v>
      </c>
      <c r="H11" s="4327">
        <v>1</v>
      </c>
      <c r="I11" s="4327">
        <v>897.54</v>
      </c>
      <c r="J11" s="4327">
        <v>4487.7</v>
      </c>
      <c r="K11" s="4327">
        <v>50000</v>
      </c>
    </row>
    <row r="12" spans="1:11">
      <c r="A12" s="4328">
        <v>45195.333831018499</v>
      </c>
      <c r="B12" s="4327" t="s">
        <v>3998</v>
      </c>
      <c r="C12" s="4327">
        <v>2</v>
      </c>
      <c r="D12" s="4327">
        <v>201</v>
      </c>
      <c r="E12" s="4327" t="s">
        <v>4265</v>
      </c>
      <c r="F12" s="4327" t="s">
        <v>19</v>
      </c>
      <c r="G12" s="4327" t="s">
        <v>4181</v>
      </c>
      <c r="H12" s="4327">
        <v>1</v>
      </c>
      <c r="I12" s="4327">
        <v>897.54</v>
      </c>
      <c r="J12" s="4327">
        <v>4487.7</v>
      </c>
      <c r="K12" s="4327">
        <v>50000</v>
      </c>
    </row>
    <row r="13" spans="1:11">
      <c r="A13" s="4328">
        <v>45181.333831018499</v>
      </c>
      <c r="B13" s="4327" t="s">
        <v>3998</v>
      </c>
      <c r="C13" s="4327">
        <v>-1</v>
      </c>
      <c r="D13" s="4327">
        <v>-101</v>
      </c>
      <c r="E13" s="4327" t="s">
        <v>4265</v>
      </c>
      <c r="F13" s="4327" t="s">
        <v>660</v>
      </c>
      <c r="G13" s="4327" t="s">
        <v>4181</v>
      </c>
      <c r="H13" s="4327">
        <v>1</v>
      </c>
      <c r="I13" s="4327">
        <v>838.45</v>
      </c>
      <c r="J13" s="4327">
        <v>1257.68</v>
      </c>
      <c r="K13" s="4327">
        <v>15000</v>
      </c>
    </row>
    <row r="14" spans="1:11">
      <c r="I14" s="4327">
        <f>SUM(I2:I13)</f>
        <v>10575.420000000002</v>
      </c>
      <c r="J14" s="4327">
        <f>SUM(J2:J13)</f>
        <v>46940.13</v>
      </c>
      <c r="K14" s="4322">
        <f>ROUND(J14/I14*10000,0)</f>
        <v>44386</v>
      </c>
    </row>
    <row r="15" spans="1:11">
      <c r="H15" s="4322" t="s">
        <v>4262</v>
      </c>
      <c r="I15" s="4322">
        <f>I2+I3+I4+I5+I6+I7+I8+I10+I11+I12</f>
        <v>8879.14</v>
      </c>
    </row>
    <row r="16" spans="1:11">
      <c r="H16" s="4322" t="s">
        <v>4263</v>
      </c>
      <c r="I16" s="4322">
        <f>I14-I15</f>
        <v>1696.2800000000025</v>
      </c>
    </row>
    <row r="17" spans="8:9">
      <c r="H17" s="4322" t="s">
        <v>4264</v>
      </c>
      <c r="I17" s="4325">
        <f>I16/I14</f>
        <v>0.16039835770116007</v>
      </c>
    </row>
  </sheetData>
  <phoneticPr fontId="134"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F10" sqref="F10"/>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19</v>
      </c>
      <c r="D1" s="940" t="s">
        <v>41</v>
      </c>
      <c r="E1" s="941" t="s">
        <v>665</v>
      </c>
      <c r="F1" s="3519">
        <f ca="1">J62</f>
        <v>28.51</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70726</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17925</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4283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4277.26</v>
      </c>
      <c r="D6" s="2787" t="s">
        <v>3805</v>
      </c>
      <c r="E6" s="2785" t="s">
        <v>3400</v>
      </c>
      <c r="F6" s="3133">
        <f ca="1">INDIRECT("'数据-取费表'!u"&amp;$G$1)</f>
        <v>3.3</v>
      </c>
      <c r="G6" s="961"/>
      <c r="H6" s="729" t="s">
        <v>392</v>
      </c>
      <c r="I6" s="2786" t="s">
        <v>3801</v>
      </c>
      <c r="J6" s="2773">
        <f ca="1">J7-J9</f>
        <v>0</v>
      </c>
      <c r="K6" s="2787" t="s">
        <v>3805</v>
      </c>
      <c r="L6" s="2785" t="s">
        <v>3400</v>
      </c>
      <c r="M6" s="3133">
        <f ca="1">INDIRECT("'数据-取费表'!z"&amp;$G$1)</f>
        <v>0</v>
      </c>
    </row>
    <row r="7" spans="1:37" ht="18" customHeight="1">
      <c r="A7" s="4612" t="s">
        <v>391</v>
      </c>
      <c r="B7" s="4615" t="s">
        <v>3799</v>
      </c>
      <c r="C7" s="4620">
        <f ca="1">ROUND(F6*F7*F8/10000,2)</f>
        <v>4752.51</v>
      </c>
      <c r="D7" s="4614" t="s">
        <v>3474</v>
      </c>
      <c r="E7" s="736" t="s">
        <v>683</v>
      </c>
      <c r="F7" s="3520">
        <f ca="1">IF(INDIRECT("'数据-取费表'!ah"&amp;$G$1)="",INDIRECT("'数据-取费表'!k"&amp;$G$1),INDIRECT("'数据-取费表'!ah"&amp;$G$1))</f>
        <v>39456.269999999997</v>
      </c>
      <c r="G7" s="961"/>
      <c r="H7" s="4612" t="s">
        <v>391</v>
      </c>
      <c r="I7" s="4615" t="s">
        <v>3799</v>
      </c>
      <c r="J7" s="4617">
        <f ca="1">ROUND(M6*M8*M7/10000,2)</f>
        <v>0</v>
      </c>
      <c r="K7" s="4614" t="s">
        <v>3474</v>
      </c>
      <c r="L7" s="186" t="s">
        <v>683</v>
      </c>
      <c r="M7" s="3520">
        <f ca="1">F7</f>
        <v>39456.269999999997</v>
      </c>
    </row>
    <row r="8" spans="1:37" ht="18" customHeight="1">
      <c r="A8" s="4613"/>
      <c r="B8" s="4616"/>
      <c r="C8" s="4620"/>
      <c r="D8" s="4614"/>
      <c r="E8" s="186" t="s">
        <v>684</v>
      </c>
      <c r="F8" s="3520">
        <f ca="1">INDIRECT("'数据-取费表'!ai"&amp;$G$1)</f>
        <v>365</v>
      </c>
      <c r="G8" s="961"/>
      <c r="H8" s="4613"/>
      <c r="I8" s="4616"/>
      <c r="J8" s="4617"/>
      <c r="K8" s="4614"/>
      <c r="L8" s="186" t="s">
        <v>684</v>
      </c>
      <c r="M8" s="3520">
        <f ca="1">INDIRECT("'数据-取费表'!ai"&amp;$G$1)</f>
        <v>365</v>
      </c>
    </row>
    <row r="9" spans="1:37" ht="18" customHeight="1">
      <c r="A9" s="2771" t="s">
        <v>3401</v>
      </c>
      <c r="B9" s="3140" t="s">
        <v>3800</v>
      </c>
      <c r="C9" s="3975">
        <f ca="1">ROUND(C7*F9,2)</f>
        <v>475.25</v>
      </c>
      <c r="D9" s="2787" t="s">
        <v>3804</v>
      </c>
      <c r="E9" s="186" t="s">
        <v>685</v>
      </c>
      <c r="F9" s="2843">
        <f ca="1">INDIRECT("'数据-取费表'!w"&amp;$G$1)</f>
        <v>0.1</v>
      </c>
      <c r="G9" s="961"/>
      <c r="H9" s="2771" t="s">
        <v>3401</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5.35</v>
      </c>
      <c r="D10" s="59" t="s">
        <v>2026</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3926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3892</v>
      </c>
      <c r="C13" s="3968">
        <f ca="1">ROUND(C14+C22+C24+C26,0)</f>
        <v>694</v>
      </c>
      <c r="D13" s="4127" t="s">
        <v>3893</v>
      </c>
      <c r="E13" s="4128"/>
      <c r="F13" s="4126"/>
      <c r="G13" s="4123"/>
      <c r="H13" s="738" t="s">
        <v>3682</v>
      </c>
      <c r="I13" s="739" t="s">
        <v>3892</v>
      </c>
      <c r="J13" s="3968">
        <f ca="1">ROUND(J14+J22+J24+J26,0)</f>
        <v>297</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571.96</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242.03</v>
      </c>
      <c r="K14" s="2814" t="s">
        <v>3445</v>
      </c>
      <c r="L14" s="925" t="str">
        <f>E14</f>
        <v/>
      </c>
      <c r="M14" s="3951" t="str">
        <f>IF(M56="非住宅","",IF(M6*M7*M8/12/(1+'数据-取费表'!F30)&gt;100000,4%,2.5%))</f>
        <v/>
      </c>
    </row>
    <row r="15" spans="1:37" s="972" customFormat="1" ht="18" customHeight="1">
      <c r="A15" s="2771" t="s">
        <v>3403</v>
      </c>
      <c r="B15" s="2785" t="s">
        <v>3978</v>
      </c>
      <c r="C15" s="2773">
        <f ca="1">C18</f>
        <v>45.12</v>
      </c>
      <c r="D15" s="4610" t="s">
        <v>3987</v>
      </c>
      <c r="E15" s="4611"/>
      <c r="F15" s="4611"/>
      <c r="G15" s="971"/>
      <c r="H15" s="2771" t="s">
        <v>391</v>
      </c>
      <c r="I15" s="2785" t="s">
        <v>3978</v>
      </c>
      <c r="J15" s="2773">
        <f ca="1">J18</f>
        <v>-0.59</v>
      </c>
      <c r="K15" s="4610" t="s">
        <v>3977</v>
      </c>
      <c r="L15" s="4611"/>
      <c r="M15" s="461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384.95</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8.98</v>
      </c>
      <c r="D17" s="4101" t="s">
        <v>3864</v>
      </c>
      <c r="E17" s="2796"/>
      <c r="F17" s="2841">
        <v>0.06</v>
      </c>
      <c r="G17" s="971"/>
      <c r="H17" s="2570" t="s">
        <v>3286</v>
      </c>
      <c r="I17" s="2789" t="s">
        <v>3405</v>
      </c>
      <c r="J17" s="2815">
        <f ca="1">ROUND(J22*M16+((J24+J26)*M17),2)</f>
        <v>4.91</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2815">
        <f ca="1">ROUND((C16-C17)*F18,2)</f>
        <v>45.12</v>
      </c>
      <c r="D18" s="2814" t="s">
        <v>3974</v>
      </c>
      <c r="E18" s="186" t="s">
        <v>3439</v>
      </c>
      <c r="F18" s="2841">
        <f>'数据-取费表'!B44</f>
        <v>0.12000000000000001</v>
      </c>
      <c r="G18" s="971"/>
      <c r="H18" s="2570" t="s">
        <v>3975</v>
      </c>
      <c r="I18" s="2789" t="s">
        <v>3973</v>
      </c>
      <c r="J18" s="2815">
        <f ca="1">ROUND((J16-J17)*M18,2)</f>
        <v>-0.59</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3983</v>
      </c>
      <c r="C19" s="2773">
        <f ca="1">IF(AND(项目基本情况!B11="自然人",M56="住宅"),"——",IF(D19="按不含税租金收入（有效毛租金收入）计税",ROUND(C6*F19,2),IF(D19="按房产原值计税",ROUND(C51*F19*0.7,2),INDIRECT("'数据-取费表'!Aj"&amp;$G$1))))</f>
        <v>513.27</v>
      </c>
      <c r="D19" s="2788" t="s">
        <v>4154</v>
      </c>
      <c r="E19" s="186" t="s">
        <v>698</v>
      </c>
      <c r="F19" s="2841">
        <f>IF(D19="按票据","——",IF(D19="按不含税租金收入（有效毛租金收入）计税",'数据-取费表'!B52,'数据-取费表'!B51))</f>
        <v>0.12</v>
      </c>
      <c r="G19" s="971"/>
      <c r="H19" s="2771" t="s">
        <v>393</v>
      </c>
      <c r="I19" s="2785" t="s">
        <v>3984</v>
      </c>
      <c r="J19" s="2773">
        <f ca="1">IF(K19="按不含税租金收入（有效毛租金收入）计税",ROUND(J6*M19,2),ROUND(C51*M19*0.7,2))</f>
        <v>229.05</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13.57</v>
      </c>
      <c r="D20" s="207" t="s">
        <v>717</v>
      </c>
      <c r="E20" s="186" t="s">
        <v>718</v>
      </c>
      <c r="F20" s="2842">
        <f>'数据-取费表'!B53</f>
        <v>12</v>
      </c>
      <c r="G20" s="961"/>
      <c r="H20" s="3966" t="s">
        <v>667</v>
      </c>
      <c r="I20" s="953" t="s">
        <v>3980</v>
      </c>
      <c r="J20" s="2791">
        <f ca="1">ROUND(M20*M21/10000,2)</f>
        <v>13.57</v>
      </c>
      <c r="K20" s="207" t="s">
        <v>717</v>
      </c>
      <c r="L20" s="186" t="s">
        <v>718</v>
      </c>
      <c r="M20" s="2842">
        <f>'数据-取费表'!B53</f>
        <v>12</v>
      </c>
    </row>
    <row r="21" spans="1:37" s="972" customFormat="1" ht="18" customHeight="1">
      <c r="A21" s="209"/>
      <c r="B21" s="760"/>
      <c r="C21" s="2792"/>
      <c r="D21" s="210"/>
      <c r="E21" s="186" t="s">
        <v>722</v>
      </c>
      <c r="F21" s="2837">
        <f ca="1">INDIRECT("'数据-取费表'!r"&amp;$G$1)</f>
        <v>11304.33</v>
      </c>
      <c r="G21" s="971"/>
      <c r="H21" s="209"/>
      <c r="I21" s="195"/>
      <c r="J21" s="2792"/>
      <c r="K21" s="210"/>
      <c r="L21" s="186" t="s">
        <v>722</v>
      </c>
      <c r="M21" s="2837">
        <f ca="1">INDIRECT("'数据-取费表'!r"&amp;$G$1)</f>
        <v>11304.33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54.54</v>
      </c>
      <c r="D22" s="1809" t="s">
        <v>3825</v>
      </c>
      <c r="E22" s="186" t="s">
        <v>698</v>
      </c>
      <c r="F22" s="2843">
        <f ca="1">INDIRECT("'数据-取费表'!Ak"&amp;$G$1)</f>
        <v>2E-3</v>
      </c>
      <c r="G22" s="971"/>
      <c r="H22" s="3979" t="s">
        <v>396</v>
      </c>
      <c r="I22" s="56" t="s">
        <v>724</v>
      </c>
      <c r="J22" s="3980">
        <f ca="1">ROUND(J35*M22,2)</f>
        <v>54.54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27268</v>
      </c>
      <c r="G23" s="971"/>
      <c r="H23" s="209"/>
      <c r="I23" s="195"/>
      <c r="J23" s="3981"/>
      <c r="K23" s="4047"/>
      <c r="L23" s="2785" t="s">
        <v>3826</v>
      </c>
      <c r="M23" s="3520">
        <f ca="1">J35</f>
        <v>27268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25.09</v>
      </c>
      <c r="D24" s="1809" t="s">
        <v>3443</v>
      </c>
      <c r="E24" s="186" t="s">
        <v>730</v>
      </c>
      <c r="F24" s="2843">
        <f ca="1">INDIRECT("'数据-取费表'!Al"&amp;$G$1)</f>
        <v>1E-3</v>
      </c>
      <c r="G24" s="961"/>
      <c r="H24" s="3979" t="s">
        <v>431</v>
      </c>
      <c r="I24" s="56" t="s">
        <v>728</v>
      </c>
      <c r="J24" s="3980">
        <f ca="1">ROUND(J37*M24,2)</f>
        <v>0</v>
      </c>
      <c r="K24" s="1809" t="s">
        <v>3829</v>
      </c>
      <c r="L24" s="186" t="s">
        <v>730</v>
      </c>
      <c r="M24" s="2843">
        <f ca="1">INDIRECT("'数据-取费表'!Al"&amp;$G$1)</f>
        <v>1E-3</v>
      </c>
    </row>
    <row r="25" spans="1:37" ht="18" customHeight="1">
      <c r="A25" s="209"/>
      <c r="B25" s="195"/>
      <c r="C25" s="3981"/>
      <c r="D25" s="4047"/>
      <c r="E25" s="4046" t="s">
        <v>3827</v>
      </c>
      <c r="F25" s="3520">
        <f ca="1">C53</f>
        <v>25087</v>
      </c>
      <c r="G25" s="961"/>
      <c r="H25" s="209"/>
      <c r="I25" s="195"/>
      <c r="J25" s="3981"/>
      <c r="K25" s="4047"/>
      <c r="L25" s="4046" t="s">
        <v>3827</v>
      </c>
      <c r="M25" s="3520">
        <f ca="1">J37</f>
        <v>0</v>
      </c>
    </row>
    <row r="26" spans="1:37" s="972" customFormat="1" ht="18" customHeight="1" thickBot="1">
      <c r="A26" s="748" t="s">
        <v>671</v>
      </c>
      <c r="B26" s="749" t="s">
        <v>714</v>
      </c>
      <c r="C26" s="2793">
        <f ca="1">ROUND(C5*F26,2)</f>
        <v>42.83</v>
      </c>
      <c r="D26" s="751" t="s">
        <v>3870</v>
      </c>
      <c r="E26" s="749" t="s">
        <v>730</v>
      </c>
      <c r="F26" s="2907">
        <f ca="1">INDIRECT("'数据-取费表'!Am"&amp;$G$1)</f>
        <v>0.01</v>
      </c>
      <c r="G26" s="971"/>
      <c r="H26" s="748" t="s">
        <v>671</v>
      </c>
      <c r="I26" s="749" t="s">
        <v>714</v>
      </c>
      <c r="J26" s="2793">
        <f ca="1">ROUND(J5*M26,2)</f>
        <v>0</v>
      </c>
      <c r="K26" s="751" t="s">
        <v>3872</v>
      </c>
      <c r="L26" s="749" t="s">
        <v>730</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3683</v>
      </c>
      <c r="B27" s="753" t="s">
        <v>3895</v>
      </c>
      <c r="C27" s="3968">
        <f ca="1">C5-C13</f>
        <v>3589</v>
      </c>
      <c r="D27" s="4131" t="s">
        <v>3896</v>
      </c>
      <c r="E27" s="4132"/>
      <c r="F27" s="4133"/>
      <c r="G27" s="498"/>
      <c r="H27" s="738" t="s">
        <v>3297</v>
      </c>
      <c r="I27" s="753" t="s">
        <v>3895</v>
      </c>
      <c r="J27" s="3968">
        <f ca="1">J5-J13</f>
        <v>-297</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4049">
        <f ca="1">IF(C5&lt;&gt;0,ROUND(C27*(1-((1+F30)/(1+F28))^F29)/(F28-F30),0),0)</f>
        <v>63353</v>
      </c>
      <c r="D28" s="4135" t="s">
        <v>3898</v>
      </c>
      <c r="E28" s="2799" t="s">
        <v>3899</v>
      </c>
      <c r="F28" s="2843">
        <f ca="1">INDIRECT("'数据-取费表'!I"&amp;$G$1)</f>
        <v>5.5E-2</v>
      </c>
      <c r="G28" s="4123"/>
      <c r="H28" s="183" t="s">
        <v>3684</v>
      </c>
      <c r="I28" s="184" t="s">
        <v>3900</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69055</v>
      </c>
      <c r="D31" s="4138" t="s">
        <v>3688</v>
      </c>
      <c r="E31" s="4139" t="str">
        <f>IF(D31="其他类型公式—收益价值×（1+9%）","销项税率","征收率")</f>
        <v>销项税率</v>
      </c>
      <c r="F31" s="2843">
        <f>IF(D31="其他类型公式—收益价值×（1+9%）",9%,3%)</f>
        <v>0.09</v>
      </c>
      <c r="G31" s="498"/>
      <c r="H31" s="199" t="s">
        <v>3685</v>
      </c>
      <c r="I31" s="2799" t="s">
        <v>3906</v>
      </c>
      <c r="J31" s="2817">
        <f ca="1">ROUND(J28/(1+F28)^F29,0)</f>
        <v>0</v>
      </c>
      <c r="K31" s="4043" t="s">
        <v>3819</v>
      </c>
      <c r="L31" s="2799"/>
      <c r="M31" s="2844">
        <f ca="1">INDIRECT("'数据-取费表'!k"&amp;$G$1)</f>
        <v>39456.269999999997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17502</v>
      </c>
      <c r="D32" s="4140" t="s">
        <v>3907</v>
      </c>
      <c r="E32" s="217" t="s">
        <v>3908</v>
      </c>
      <c r="F32" s="2845">
        <f ca="1">INDIRECT("'数据-取费表'!k"&amp;$G$1)</f>
        <v>39456.269999999997</v>
      </c>
      <c r="G32" s="498"/>
      <c r="H32" s="3945" t="s">
        <v>3686</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0.16203595610553345</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3407</v>
      </c>
      <c r="B35" s="2799" t="s">
        <v>3408</v>
      </c>
      <c r="C35" s="2817">
        <f ca="1">SUM(C36:C41)</f>
        <v>22095</v>
      </c>
      <c r="D35" s="4043" t="s">
        <v>3415</v>
      </c>
      <c r="E35" s="1020"/>
      <c r="F35" s="3383"/>
      <c r="G35" s="961"/>
      <c r="H35" s="4044" t="s">
        <v>3407</v>
      </c>
      <c r="I35" s="4045" t="s">
        <v>3448</v>
      </c>
      <c r="J35" s="2774">
        <f ca="1">C51</f>
        <v>27268</v>
      </c>
      <c r="K35" s="2813" t="s">
        <v>3444</v>
      </c>
      <c r="L35" s="55"/>
      <c r="M35" s="2751"/>
    </row>
    <row r="36" spans="1:37" ht="18" customHeight="1">
      <c r="A36" s="2771" t="s">
        <v>3403</v>
      </c>
      <c r="B36" s="2736" t="s">
        <v>693</v>
      </c>
      <c r="C36" s="2676">
        <f ca="1">INDIRECT("'数据-取费表'!m"&amp;$G$1)+INDIRECT("'数据-取费表'!t"&amp;$G$1)</f>
        <v>19728</v>
      </c>
      <c r="D36" s="925" t="s">
        <v>694</v>
      </c>
      <c r="E36" s="925"/>
      <c r="F36" s="215"/>
      <c r="G36" s="961"/>
      <c r="H36" s="2821" t="s">
        <v>3449</v>
      </c>
      <c r="I36" s="2826" t="s">
        <v>3435</v>
      </c>
      <c r="J36" s="2721">
        <f ca="1">ROUND(J35*(1-M36),0)</f>
        <v>27268</v>
      </c>
      <c r="K36" s="186" t="s">
        <v>3438</v>
      </c>
      <c r="L36" s="2787" t="s">
        <v>3451</v>
      </c>
      <c r="M36" s="2843">
        <f ca="1">INDIRECT("'数据-取费表'!ad"&amp;$G$1)</f>
        <v>0</v>
      </c>
    </row>
    <row r="37" spans="1:37" ht="18" customHeight="1" thickBot="1">
      <c r="A37" s="2771" t="s">
        <v>3409</v>
      </c>
      <c r="B37" s="2789" t="s">
        <v>3871</v>
      </c>
      <c r="C37" s="2774">
        <f ca="1">ROUND(C36*F37,0)</f>
        <v>986</v>
      </c>
      <c r="D37" s="186" t="s">
        <v>697</v>
      </c>
      <c r="E37" s="186" t="s">
        <v>698</v>
      </c>
      <c r="F37" s="2841">
        <f>'数据-取费表'!B33</f>
        <v>0.05</v>
      </c>
      <c r="G37" s="961"/>
      <c r="H37" s="2822" t="s">
        <v>3450</v>
      </c>
      <c r="I37" s="4048" t="s">
        <v>3828</v>
      </c>
      <c r="J37" s="2828">
        <f ca="1">J35-J36</f>
        <v>0</v>
      </c>
      <c r="K37" s="2808" t="s">
        <v>3475</v>
      </c>
      <c r="L37" s="219"/>
      <c r="M37" s="2829"/>
    </row>
    <row r="38" spans="1:37" ht="18" customHeight="1">
      <c r="A38" s="2771" t="s">
        <v>3410</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ROUND(F39*(F32+INDIRECT("'数据-取费表'!S"&amp;$G$1))/10000,0)</f>
        <v>1184</v>
      </c>
      <c r="D39" s="186" t="s">
        <v>703</v>
      </c>
      <c r="E39" s="186" t="s">
        <v>3821</v>
      </c>
      <c r="F39" s="2842">
        <f>'数据-取费表'!B35</f>
        <v>300</v>
      </c>
      <c r="G39" s="961"/>
    </row>
    <row r="40" spans="1:37" ht="18" customHeight="1">
      <c r="A40" s="2771" t="s">
        <v>3412</v>
      </c>
      <c r="B40" s="2789" t="s">
        <v>3413</v>
      </c>
      <c r="C40" s="2774">
        <f ca="1">ROUND(C36*F40,0)</f>
        <v>197</v>
      </c>
      <c r="D40" s="186" t="s">
        <v>697</v>
      </c>
      <c r="E40" s="186" t="s">
        <v>698</v>
      </c>
      <c r="F40" s="2841">
        <f>'数据-取费表'!B36</f>
        <v>0.01</v>
      </c>
      <c r="G40" s="961"/>
      <c r="H40" s="47"/>
      <c r="I40" s="47"/>
      <c r="J40" s="47"/>
      <c r="K40" s="1894"/>
      <c r="L40" s="47"/>
      <c r="M40" s="47"/>
    </row>
    <row r="41" spans="1:37" ht="18" customHeight="1">
      <c r="A41" s="2771" t="s">
        <v>3412</v>
      </c>
      <c r="B41" s="2789" t="s">
        <v>3414</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442</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3822</v>
      </c>
      <c r="E43" s="2799" t="s">
        <v>3823</v>
      </c>
      <c r="F43" s="2843">
        <f>'数据-取费表'!B39</f>
        <v>0.02</v>
      </c>
      <c r="G43" s="961"/>
      <c r="H43" s="47"/>
      <c r="I43" s="47"/>
      <c r="J43" s="47"/>
      <c r="K43" s="1894"/>
      <c r="L43" s="47"/>
      <c r="M43" s="47"/>
    </row>
    <row r="44" spans="1:37" ht="18" customHeight="1">
      <c r="A44" s="199" t="s">
        <v>3430</v>
      </c>
      <c r="B44" s="2802" t="s">
        <v>3416</v>
      </c>
      <c r="C44" s="3523" t="str">
        <f ca="1">C45&amp;"+"&amp;C46&amp;"V建"</f>
        <v>706+0.0006V建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706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3417</v>
      </c>
      <c r="C47" s="3523" t="str">
        <f ca="1">C48&amp;"+"&amp;C49&amp;"V建"</f>
        <v>3381+0.003V建</v>
      </c>
      <c r="D47" s="2755" t="s">
        <v>3432</v>
      </c>
      <c r="E47" s="200"/>
      <c r="F47" s="2842"/>
      <c r="G47" s="961"/>
      <c r="H47" s="47"/>
      <c r="I47" s="47"/>
      <c r="J47" s="47"/>
      <c r="K47" s="1894"/>
      <c r="L47" s="47"/>
      <c r="M47" s="47"/>
    </row>
    <row r="48" spans="1:37" ht="18" customHeight="1">
      <c r="A48" s="2771" t="s">
        <v>391</v>
      </c>
      <c r="B48" s="186" t="s">
        <v>740</v>
      </c>
      <c r="C48" s="2774">
        <f ca="1">ROUND((C35+C42)*F48,0)</f>
        <v>3381</v>
      </c>
      <c r="D48" s="206" t="s">
        <v>741</v>
      </c>
      <c r="E48" s="186" t="s">
        <v>742</v>
      </c>
      <c r="F48" s="2843">
        <f ca="1">INDIRECT("'数据-取费表'!q"&amp;$G$1)</f>
        <v>0.15</v>
      </c>
      <c r="G48" s="961"/>
      <c r="H48" s="47"/>
      <c r="I48" s="47"/>
      <c r="J48" s="47"/>
      <c r="K48" s="1894"/>
      <c r="L48" s="47"/>
      <c r="M48" s="47"/>
    </row>
    <row r="49" spans="1:18" ht="18" customHeight="1">
      <c r="A49" s="2771" t="s">
        <v>393</v>
      </c>
      <c r="B49" s="186" t="s">
        <v>746</v>
      </c>
      <c r="C49" s="3524">
        <f ca="1">ROUND(F43*F48,4)</f>
        <v>3.0000000000000001E-3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27268</v>
      </c>
      <c r="D51" s="2813" t="s">
        <v>3444</v>
      </c>
      <c r="E51" s="2799"/>
      <c r="F51" s="2843"/>
      <c r="K51" s="977"/>
    </row>
    <row r="52" spans="1:18" s="961" customFormat="1" ht="18" customHeight="1">
      <c r="A52" s="2803" t="s">
        <v>3434</v>
      </c>
      <c r="B52" s="2802" t="s">
        <v>3435</v>
      </c>
      <c r="C52" s="2817">
        <f ca="1">ROUND(C51*(1-F52),0)</f>
        <v>2181</v>
      </c>
      <c r="D52" s="2799" t="s">
        <v>3889</v>
      </c>
      <c r="E52" s="2799" t="s">
        <v>3890</v>
      </c>
      <c r="F52" s="2843">
        <f ca="1">INDIRECT("'数据-取费表'!y"&amp;$G$1)</f>
        <v>0.92</v>
      </c>
      <c r="K52" s="977"/>
    </row>
    <row r="53" spans="1:18" s="961" customFormat="1" ht="18" customHeight="1" thickBot="1">
      <c r="A53" s="2804" t="s">
        <v>3436</v>
      </c>
      <c r="B53" s="2812" t="s">
        <v>3442</v>
      </c>
      <c r="C53" s="2828">
        <f ca="1">C51-C52</f>
        <v>25087</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8" thickBot="1">
      <c r="A55" s="979" t="s">
        <v>795</v>
      </c>
      <c r="C55" s="3998">
        <f ca="1">IF(D2="含税",C83-C31,C80-C28)</f>
        <v>-70825</v>
      </c>
      <c r="D55" s="981" t="str">
        <f>C2</f>
        <v>万元</v>
      </c>
      <c r="E55" s="975"/>
      <c r="F55" s="975"/>
      <c r="I55" s="982" t="s">
        <v>796</v>
      </c>
      <c r="J55" s="983"/>
      <c r="K55" s="984"/>
      <c r="L55" s="4018">
        <f ca="1">IF(M56="住宅",0,IF(L57&gt;J60,L69,J69))</f>
        <v>1533</v>
      </c>
      <c r="O55" s="4159" t="s">
        <v>1327</v>
      </c>
      <c r="P55" s="4160" t="s">
        <v>3914</v>
      </c>
      <c r="Q55" s="4161" t="s">
        <v>3915</v>
      </c>
      <c r="R55" s="4161" t="s">
        <v>3916</v>
      </c>
    </row>
    <row r="56" spans="1:18" s="961" customFormat="1" ht="13.8"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63353</v>
      </c>
      <c r="R56" s="4164" t="s">
        <v>3918</v>
      </c>
    </row>
    <row r="57" spans="1:18" s="961" customFormat="1" ht="40.200000000000003" thickBot="1">
      <c r="A57" s="671" t="s">
        <v>432</v>
      </c>
      <c r="B57" s="184" t="s">
        <v>3910</v>
      </c>
      <c r="C57" s="4147">
        <f ca="1">ROUND(C58+C62+C64,0)</f>
        <v>0</v>
      </c>
      <c r="D57" s="4124" t="s">
        <v>3911</v>
      </c>
      <c r="E57" s="4148"/>
      <c r="F57" s="656"/>
      <c r="G57" s="490"/>
      <c r="H57" s="491"/>
      <c r="I57" s="996" t="s">
        <v>805</v>
      </c>
      <c r="J57" s="997" t="s">
        <v>4156</v>
      </c>
      <c r="K57" s="998" t="s">
        <v>806</v>
      </c>
      <c r="L57" s="4008">
        <f ca="1">INDIRECT("'数据-取费表'!f"&amp;$G$1)</f>
        <v>28.51</v>
      </c>
      <c r="O57" s="4162" t="s">
        <v>398</v>
      </c>
      <c r="P57" s="4163" t="s">
        <v>3919</v>
      </c>
      <c r="Q57" s="4165">
        <f ca="1">J69</f>
        <v>1533</v>
      </c>
      <c r="R57" s="4164" t="s">
        <v>3920</v>
      </c>
    </row>
    <row r="58" spans="1:18" s="961" customFormat="1" ht="16.2" thickBot="1">
      <c r="A58" s="3984" t="s">
        <v>3810</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27268</v>
      </c>
      <c r="R58" s="995" t="s">
        <v>804</v>
      </c>
    </row>
    <row r="59" spans="1:18" s="961" customFormat="1" ht="13.8" thickBot="1">
      <c r="A59" s="3991" t="s">
        <v>3403</v>
      </c>
      <c r="B59" s="4621" t="s">
        <v>3799</v>
      </c>
      <c r="C59" s="4622">
        <f ca="1">ROUND(F58*F60*F59/10000,2)</f>
        <v>0</v>
      </c>
      <c r="D59" s="4614" t="s">
        <v>3474</v>
      </c>
      <c r="E59" s="716" t="s">
        <v>683</v>
      </c>
      <c r="F59" s="3526">
        <f ca="1">F7</f>
        <v>39456.269999999997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8" thickBot="1">
      <c r="A60" s="3992"/>
      <c r="B60" s="4621"/>
      <c r="C60" s="4623"/>
      <c r="D60" s="4614"/>
      <c r="E60" s="675" t="s">
        <v>684</v>
      </c>
      <c r="F60" s="3520">
        <f ca="1">F8</f>
        <v>365</v>
      </c>
      <c r="I60" s="1006" t="s">
        <v>815</v>
      </c>
      <c r="J60" s="4008">
        <f>IF(J58="",J59,J58+J59-YEAR('数据-取费表'!B2))</f>
        <v>55</v>
      </c>
      <c r="K60" s="1007" t="s">
        <v>816</v>
      </c>
      <c r="L60" s="3996">
        <f ca="1">ROUND(-PV(INDIRECT("'数据-取费表'!h"&amp;$G$1),J60,(C27-C52*C88),0),0)</f>
        <v>64031</v>
      </c>
      <c r="M60" s="1009"/>
      <c r="O60" s="1002" t="s">
        <v>401</v>
      </c>
      <c r="P60" s="994" t="s">
        <v>817</v>
      </c>
      <c r="Q60" s="3539">
        <f>J61</f>
        <v>7.4999999999999997E-2</v>
      </c>
      <c r="R60" s="995"/>
    </row>
    <row r="61" spans="1:18" s="961" customFormat="1" ht="13.8" thickBot="1">
      <c r="A61" s="3993" t="s">
        <v>3401</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36.6" thickBot="1">
      <c r="A62" s="3994" t="s">
        <v>3449</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18" t="s">
        <v>823</v>
      </c>
      <c r="L62" s="4619"/>
      <c r="O62" s="4162" t="s">
        <v>403</v>
      </c>
      <c r="P62" s="4166" t="s">
        <v>3924</v>
      </c>
      <c r="Q62" s="4165">
        <f ca="1">ROUND((Q56+Q57)*(1+F31),0)</f>
        <v>70726</v>
      </c>
      <c r="R62" s="4164" t="s">
        <v>3925</v>
      </c>
    </row>
    <row r="63" spans="1:18" s="961" customFormat="1" ht="13.8" thickBot="1">
      <c r="A63" s="3985"/>
      <c r="B63" s="3128" t="s">
        <v>3927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3811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37.200000000000003" thickTop="1" thickBot="1">
      <c r="A65" s="199" t="s">
        <v>3682</v>
      </c>
      <c r="B65" s="652" t="s">
        <v>3892</v>
      </c>
      <c r="C65" s="2817">
        <f ca="1">ROUND(C66+C74+C76+C78,0)</f>
        <v>92</v>
      </c>
      <c r="D65" s="4149" t="s">
        <v>3912</v>
      </c>
      <c r="E65" s="655"/>
      <c r="F65" s="656"/>
      <c r="I65" s="1022" t="s">
        <v>828</v>
      </c>
      <c r="J65" s="4013" t="s">
        <v>4157</v>
      </c>
      <c r="K65" s="996" t="s">
        <v>829</v>
      </c>
      <c r="L65" s="4008" t="str">
        <f ca="1">IF(L57&lt;J60,"——",L57-J62)</f>
        <v>——</v>
      </c>
      <c r="O65" s="4162" t="s">
        <v>397</v>
      </c>
      <c r="P65" s="4163" t="s">
        <v>3917</v>
      </c>
      <c r="Q65" s="4165">
        <f ca="1">C28+J31</f>
        <v>63353</v>
      </c>
      <c r="R65" s="4164" t="s">
        <v>3918</v>
      </c>
    </row>
    <row r="66" spans="1:18" s="961" customFormat="1" ht="24.6" thickBot="1">
      <c r="A66" s="537" t="s">
        <v>392</v>
      </c>
      <c r="B66" s="2766" t="s">
        <v>3982</v>
      </c>
      <c r="C66" s="2773">
        <f ca="1">ROUND(IF(AND(项目基本情况!B11="自然人",项目基本情况!B10="北京市",M56="住宅"),C58*F66,C67+C71+C72),2)</f>
        <v>12.8</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6" thickBot="1">
      <c r="A67" s="3966" t="s">
        <v>391</v>
      </c>
      <c r="B67" s="2785" t="s">
        <v>3978</v>
      </c>
      <c r="C67" s="2773">
        <f ca="1">C70</f>
        <v>-0.77</v>
      </c>
      <c r="D67" s="4610" t="s">
        <v>3977</v>
      </c>
      <c r="E67" s="4611"/>
      <c r="F67" s="4611"/>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3285</v>
      </c>
      <c r="B68" s="2789" t="s">
        <v>3404</v>
      </c>
      <c r="C68" s="2773">
        <f ca="1">ROUND(C58*F68,2)</f>
        <v>0</v>
      </c>
      <c r="D68" s="1020" t="s">
        <v>3875</v>
      </c>
      <c r="E68" s="2795" t="s">
        <v>3406</v>
      </c>
      <c r="F68" s="2841">
        <f>F16</f>
        <v>0.09</v>
      </c>
      <c r="I68" s="1028" t="s">
        <v>836</v>
      </c>
      <c r="J68" s="4016">
        <f ca="1">IF(OR(M56="住宅",J60&lt;L57,J65="是"),"——",ROUND(C51*J67,0))</f>
        <v>12052</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3286</v>
      </c>
      <c r="B69" s="2789" t="s">
        <v>3405</v>
      </c>
      <c r="C69" s="2773">
        <f ca="1">ROUND(C74*F68+((C76+C78)*F69),2)</f>
        <v>6.41</v>
      </c>
      <c r="D69" s="4101" t="s">
        <v>3876</v>
      </c>
      <c r="E69" s="2796"/>
      <c r="F69" s="2841">
        <f t="shared" ref="F69" si="0">F17</f>
        <v>0.06</v>
      </c>
      <c r="I69" s="1031" t="s">
        <v>838</v>
      </c>
      <c r="J69" s="4017">
        <f ca="1">IF(OR(M56="住宅",J60&lt;L57,J65="是"),"0",ROUND(J68/(1+J61)^J62,0))</f>
        <v>1533</v>
      </c>
      <c r="K69" s="1033" t="s">
        <v>839</v>
      </c>
      <c r="L69" s="4017">
        <f ca="1">IF(OR(M56="住宅",L57&lt;J60),0,ROUND(L66*(L67/L68-1),0))</f>
        <v>0</v>
      </c>
      <c r="O69" s="1002" t="s">
        <v>401</v>
      </c>
      <c r="P69" s="994" t="s">
        <v>840</v>
      </c>
      <c r="Q69" s="3541" t="e">
        <f ca="1">L67</f>
        <v>#DIV/0!</v>
      </c>
      <c r="R69" s="995" t="s">
        <v>841</v>
      </c>
    </row>
    <row r="70" spans="1:18" s="961" customFormat="1" ht="13.8" thickBot="1">
      <c r="A70" s="2570" t="s">
        <v>3975</v>
      </c>
      <c r="B70" s="2789" t="s">
        <v>3973</v>
      </c>
      <c r="C70" s="2773">
        <f ca="1">ROUND((C68-C69)*F70,2)</f>
        <v>-0.77</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8" thickBot="1">
      <c r="A71" s="3987" t="s">
        <v>767</v>
      </c>
      <c r="B71" s="2766" t="s">
        <v>3985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3924</v>
      </c>
      <c r="Q71" s="4167">
        <f ca="1">ROUND((Q65+Q66)*(1+F31),0)</f>
        <v>69055</v>
      </c>
      <c r="R71" s="4164" t="s">
        <v>3925</v>
      </c>
    </row>
    <row r="72" spans="1:18" s="961" customFormat="1" ht="13.8" thickBot="1">
      <c r="A72" s="3966" t="s">
        <v>770</v>
      </c>
      <c r="B72" s="4211" t="s">
        <v>3980</v>
      </c>
      <c r="C72" s="2791">
        <f ca="1">IF(项目基本情况!B11="自然人","——",ROUND(F72*F73/10000,2))</f>
        <v>13.57</v>
      </c>
      <c r="D72" s="659" t="s">
        <v>772</v>
      </c>
      <c r="E72" s="644" t="s">
        <v>773</v>
      </c>
      <c r="F72" s="3528">
        <f t="shared" si="1"/>
        <v>12</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774</v>
      </c>
      <c r="F73" s="3133">
        <f t="shared" ca="1" si="1"/>
        <v>11304.33</v>
      </c>
      <c r="I73" s="1035" t="s">
        <v>851</v>
      </c>
      <c r="J73" s="223">
        <v>50</v>
      </c>
      <c r="K73" s="223">
        <v>35</v>
      </c>
      <c r="L73" s="223">
        <v>60</v>
      </c>
      <c r="M73" s="1037">
        <v>0</v>
      </c>
      <c r="O73" s="986" t="s">
        <v>797</v>
      </c>
      <c r="P73" s="987" t="s">
        <v>798</v>
      </c>
      <c r="Q73" s="988" t="s">
        <v>799</v>
      </c>
      <c r="R73" s="988" t="s">
        <v>800</v>
      </c>
    </row>
    <row r="74" spans="1:18" s="961" customFormat="1" ht="13.8" thickBot="1">
      <c r="A74" s="3988" t="s">
        <v>775</v>
      </c>
      <c r="B74" s="643" t="s">
        <v>776</v>
      </c>
      <c r="C74" s="3980">
        <f ca="1">ROUND(F74*F75,2)</f>
        <v>54.54</v>
      </c>
      <c r="D74" s="3982" t="s">
        <v>3440</v>
      </c>
      <c r="E74" s="3995" t="s">
        <v>3806</v>
      </c>
      <c r="F74" s="3996">
        <f ca="1">C51</f>
        <v>27268</v>
      </c>
      <c r="I74" s="1035" t="s">
        <v>852</v>
      </c>
      <c r="J74" s="223">
        <v>40</v>
      </c>
      <c r="K74" s="223">
        <v>30</v>
      </c>
      <c r="L74" s="223">
        <v>50</v>
      </c>
      <c r="M74" s="1038">
        <v>0.02</v>
      </c>
      <c r="O74" s="4162" t="s">
        <v>397</v>
      </c>
      <c r="P74" s="4163" t="s">
        <v>3917</v>
      </c>
      <c r="Q74" s="4165">
        <f ca="1">C28+J31</f>
        <v>63353</v>
      </c>
      <c r="R74" s="4164" t="s">
        <v>3918</v>
      </c>
    </row>
    <row r="75" spans="1:18" s="961" customFormat="1" ht="16.2" thickBot="1">
      <c r="A75" s="3989"/>
      <c r="B75" s="650"/>
      <c r="C75" s="3981"/>
      <c r="D75" s="3983"/>
      <c r="E75" s="644" t="s">
        <v>769</v>
      </c>
      <c r="F75" s="2843">
        <f ca="1">F22</f>
        <v>2E-3</v>
      </c>
      <c r="O75" s="4162" t="s">
        <v>398</v>
      </c>
      <c r="P75" s="4163" t="s">
        <v>3921</v>
      </c>
      <c r="Q75" s="4167">
        <f ca="1">L69</f>
        <v>0</v>
      </c>
      <c r="R75" s="4164" t="s">
        <v>3923</v>
      </c>
    </row>
    <row r="76" spans="1:18" s="961" customFormat="1" ht="13.8" thickBot="1">
      <c r="A76" s="3988" t="s">
        <v>778</v>
      </c>
      <c r="B76" s="643" t="s">
        <v>728</v>
      </c>
      <c r="C76" s="3980">
        <f ca="1">ROUND(F76*F77,2)</f>
        <v>25.09</v>
      </c>
      <c r="D76" s="3982" t="s">
        <v>3443</v>
      </c>
      <c r="E76" s="3995" t="s">
        <v>3807</v>
      </c>
      <c r="F76" s="3997">
        <f ca="1">C53</f>
        <v>25087</v>
      </c>
      <c r="O76" s="993"/>
      <c r="P76" s="994"/>
      <c r="Q76" s="3538"/>
      <c r="R76" s="995"/>
    </row>
    <row r="77" spans="1:18" s="961" customFormat="1" ht="17.399999999999999" thickBot="1">
      <c r="A77" s="3990"/>
      <c r="B77" s="650"/>
      <c r="C77" s="3981"/>
      <c r="D77" s="3983"/>
      <c r="E77" s="644" t="s">
        <v>730</v>
      </c>
      <c r="F77" s="2843">
        <f ca="1">F24</f>
        <v>1E-3</v>
      </c>
      <c r="O77" s="1002" t="s">
        <v>399</v>
      </c>
      <c r="P77" s="994" t="s">
        <v>835</v>
      </c>
      <c r="Q77" s="3542">
        <f ca="1">L60</f>
        <v>64031</v>
      </c>
      <c r="R77" s="995" t="s">
        <v>855</v>
      </c>
    </row>
    <row r="78" spans="1:18" s="961" customFormat="1" ht="13.8" thickBot="1">
      <c r="A78" s="3990" t="s">
        <v>779</v>
      </c>
      <c r="B78" s="644" t="s">
        <v>714</v>
      </c>
      <c r="C78" s="2773">
        <f ca="1">ROUND(C57*F78,2)</f>
        <v>0</v>
      </c>
      <c r="D78" s="658" t="s">
        <v>3873</v>
      </c>
      <c r="E78" s="644" t="s">
        <v>698</v>
      </c>
      <c r="F78" s="2843">
        <f ca="1">F26</f>
        <v>0.01</v>
      </c>
      <c r="O78" s="1002"/>
      <c r="P78" s="994"/>
      <c r="Q78" s="3542"/>
      <c r="R78" s="995"/>
    </row>
    <row r="79" spans="1:18" s="961" customFormat="1" ht="24.6" thickBot="1">
      <c r="A79" s="651" t="s">
        <v>3808</v>
      </c>
      <c r="B79" s="661" t="s">
        <v>738</v>
      </c>
      <c r="C79" s="2817">
        <f ca="1">C57-C65</f>
        <v>-92</v>
      </c>
      <c r="D79" s="4150" t="s">
        <v>3913</v>
      </c>
      <c r="E79" s="4151"/>
      <c r="F79" s="4152"/>
      <c r="O79" s="1002" t="s">
        <v>400</v>
      </c>
      <c r="P79" s="1040" t="s">
        <v>856</v>
      </c>
      <c r="Q79" s="3542">
        <f ca="1">ROUND(Q80-Q81*Q82,0)</f>
        <v>3436</v>
      </c>
      <c r="R79" s="995" t="s">
        <v>408</v>
      </c>
    </row>
    <row r="80" spans="1:18" s="961" customFormat="1" ht="13.8" thickBot="1">
      <c r="A80" s="3307" t="s">
        <v>3809</v>
      </c>
      <c r="B80" s="642" t="s">
        <v>760</v>
      </c>
      <c r="C80" s="3965">
        <f ca="1">ROUND(C79*(1-((1+F82)/(1+F80))^F81)/(F80-F82),0)</f>
        <v>-1624</v>
      </c>
      <c r="D80" s="4153" t="s">
        <v>3898</v>
      </c>
      <c r="E80" s="652" t="s">
        <v>3899</v>
      </c>
      <c r="F80" s="2843">
        <f ca="1">F28</f>
        <v>5.5E-2</v>
      </c>
      <c r="O80" s="1002" t="s">
        <v>405</v>
      </c>
      <c r="P80" s="1040" t="s">
        <v>857</v>
      </c>
      <c r="Q80" s="3542">
        <f ca="1">C27</f>
        <v>3589</v>
      </c>
      <c r="R80" s="995" t="s">
        <v>804</v>
      </c>
    </row>
    <row r="81" spans="1:18" s="961" customFormat="1" ht="13.8" thickBot="1">
      <c r="A81" s="3308"/>
      <c r="B81" s="646"/>
      <c r="C81" s="3517"/>
      <c r="D81" s="4154" t="s">
        <v>3903</v>
      </c>
      <c r="E81" s="652" t="s">
        <v>3902</v>
      </c>
      <c r="F81" s="2844">
        <f ca="1">F29</f>
        <v>28.51</v>
      </c>
      <c r="O81" s="1002" t="s">
        <v>406</v>
      </c>
      <c r="P81" s="1040" t="s">
        <v>858</v>
      </c>
      <c r="Q81" s="3542">
        <f ca="1">C52</f>
        <v>2181</v>
      </c>
      <c r="R81" s="995" t="s">
        <v>804</v>
      </c>
    </row>
    <row r="82" spans="1:18" s="961" customFormat="1" ht="13.8" thickBot="1">
      <c r="A82" s="3309"/>
      <c r="B82" s="2860"/>
      <c r="C82" s="2860"/>
      <c r="D82" s="4155"/>
      <c r="E82" s="652" t="s">
        <v>3904</v>
      </c>
      <c r="F82" s="2838">
        <v>0.02</v>
      </c>
      <c r="O82" s="1002" t="s">
        <v>407</v>
      </c>
      <c r="P82" s="1040" t="s">
        <v>859</v>
      </c>
      <c r="Q82" s="3539">
        <f ca="1">C88</f>
        <v>7.0000000000000007E-2</v>
      </c>
      <c r="R82" s="995"/>
    </row>
    <row r="83" spans="1:18" s="961" customFormat="1" ht="13.8" thickBot="1">
      <c r="A83" s="648" t="s">
        <v>3812</v>
      </c>
      <c r="B83" s="2816" t="s">
        <v>3447</v>
      </c>
      <c r="C83" s="3968">
        <f ca="1">ROUND(C80*(1+F31),0)</f>
        <v>-1770</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-449</v>
      </c>
      <c r="D84" s="4158" t="s">
        <v>3907</v>
      </c>
      <c r="E84" s="666" t="s">
        <v>3908</v>
      </c>
      <c r="F84" s="2845">
        <f ca="1">F32</f>
        <v>39456.269999999997</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建筑物剩余耐用年限下的土地年期修正系数Kn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3924</v>
      </c>
      <c r="Q86" s="4165">
        <f ca="1">ROUND((Q74+Q75)*(1+F31),0)</f>
        <v>69055</v>
      </c>
      <c r="R86" s="4164" t="s">
        <v>3925</v>
      </c>
    </row>
    <row r="87" spans="1:18">
      <c r="A87" s="961"/>
      <c r="B87" s="222" t="s">
        <v>781</v>
      </c>
      <c r="C87" s="2908">
        <f ca="1">ROUND(C53*C88,0)</f>
        <v>1756</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0.51100000000000001</v>
      </c>
    </row>
    <row r="92" spans="1:18">
      <c r="B92" s="222" t="s">
        <v>786</v>
      </c>
      <c r="C92" s="2909">
        <f ca="1">ROUND(C87/C27,3)</f>
        <v>0.48899999999999999</v>
      </c>
    </row>
    <row r="93" spans="1:18">
      <c r="B93" s="165" t="s">
        <v>787</v>
      </c>
      <c r="C93" s="133"/>
    </row>
    <row r="94" spans="1:18">
      <c r="B94" s="168" t="s">
        <v>788</v>
      </c>
      <c r="C94" s="2910">
        <f ca="1">1-C95</f>
        <v>0.61299999999999999</v>
      </c>
    </row>
    <row r="95" spans="1:18">
      <c r="B95" s="168" t="s">
        <v>789</v>
      </c>
      <c r="C95" s="2909">
        <f ca="1">ROUND(C53/(C28+J31+L55),3)</f>
        <v>0.38700000000000001</v>
      </c>
    </row>
  </sheetData>
  <sheetProtection password="CEE9" sheet="1" objects="1" scenarios="1"/>
  <mergeCells count="15">
    <mergeCell ref="J7:J8"/>
    <mergeCell ref="K62:L62"/>
    <mergeCell ref="B7:B8"/>
    <mergeCell ref="C7:C8"/>
    <mergeCell ref="K7:K8"/>
    <mergeCell ref="B59:B60"/>
    <mergeCell ref="D59:D60"/>
    <mergeCell ref="C59:C60"/>
    <mergeCell ref="D15:F15"/>
    <mergeCell ref="K15:M15"/>
    <mergeCell ref="D67:F67"/>
    <mergeCell ref="A7:A8"/>
    <mergeCell ref="D7:D8"/>
    <mergeCell ref="H7:H8"/>
    <mergeCell ref="I7:I8"/>
  </mergeCells>
  <phoneticPr fontId="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7">
      <formula>$J$60&gt;$L$57</formula>
    </cfRule>
  </conditionalFormatting>
  <conditionalFormatting sqref="J11">
    <cfRule type="expression" dxfId="128" priority="2">
      <formula>$M$10="自定义"</formula>
    </cfRule>
  </conditionalFormatting>
  <conditionalFormatting sqref="K64 K69">
    <cfRule type="expression" dxfId="12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A98C-9E01-49F8-B704-77ED9DD25D7D}">
  <sheetPr>
    <tabColor rgb="FF92D050"/>
  </sheetPr>
  <dimension ref="A1:AK95"/>
  <sheetViews>
    <sheetView zoomScaleNormal="100" zoomScaleSheetLayoutView="100" workbookViewId="0">
      <selection activeCell="I9" sqref="I9"/>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660</v>
      </c>
      <c r="D1" s="940" t="s">
        <v>41</v>
      </c>
      <c r="E1" s="941" t="s">
        <v>665</v>
      </c>
      <c r="F1" s="3519">
        <f ca="1">J62</f>
        <v>18.5</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19729</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15208</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1493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1491.51</v>
      </c>
      <c r="D6" s="2787" t="s">
        <v>3805</v>
      </c>
      <c r="E6" s="2785" t="s">
        <v>3400</v>
      </c>
      <c r="F6" s="3133">
        <f ca="1">INDIRECT("'数据-取费表'!u"&amp;$G$1)</f>
        <v>3.5</v>
      </c>
      <c r="G6" s="961"/>
      <c r="H6" s="729" t="s">
        <v>392</v>
      </c>
      <c r="I6" s="2786" t="s">
        <v>3801</v>
      </c>
      <c r="J6" s="2773">
        <f ca="1">J7-J9</f>
        <v>0</v>
      </c>
      <c r="K6" s="2787" t="s">
        <v>3805</v>
      </c>
      <c r="L6" s="2785" t="s">
        <v>3400</v>
      </c>
      <c r="M6" s="3133">
        <f ca="1">INDIRECT("'数据-取费表'!z"&amp;$G$1)</f>
        <v>0</v>
      </c>
    </row>
    <row r="7" spans="1:37" ht="18" customHeight="1">
      <c r="A7" s="4612" t="s">
        <v>391</v>
      </c>
      <c r="B7" s="4615" t="s">
        <v>3799</v>
      </c>
      <c r="C7" s="4620">
        <f ca="1">ROUND(F6*F7*F8/10000,2)</f>
        <v>1657.23</v>
      </c>
      <c r="D7" s="4614" t="s">
        <v>3474</v>
      </c>
      <c r="E7" s="736" t="s">
        <v>683</v>
      </c>
      <c r="F7" s="3520">
        <f ca="1">IF(INDIRECT("'数据-取费表'!ah"&amp;$G$1)="",INDIRECT("'数据-取费表'!k"&amp;$G$1),INDIRECT("'数据-取费表'!ah"&amp;$G$1))</f>
        <v>12972.44</v>
      </c>
      <c r="G7" s="961"/>
      <c r="H7" s="4612" t="s">
        <v>391</v>
      </c>
      <c r="I7" s="4615" t="s">
        <v>3799</v>
      </c>
      <c r="J7" s="4617">
        <f ca="1">ROUND(M6*M8*M7/10000,2)</f>
        <v>0</v>
      </c>
      <c r="K7" s="4614" t="s">
        <v>3474</v>
      </c>
      <c r="L7" s="186" t="s">
        <v>683</v>
      </c>
      <c r="M7" s="3520">
        <f ca="1">F7</f>
        <v>12972.44</v>
      </c>
    </row>
    <row r="8" spans="1:37" ht="18" customHeight="1">
      <c r="A8" s="4613"/>
      <c r="B8" s="4616"/>
      <c r="C8" s="4620"/>
      <c r="D8" s="4614"/>
      <c r="E8" s="186" t="s">
        <v>684</v>
      </c>
      <c r="F8" s="3520">
        <f ca="1">INDIRECT("'数据-取费表'!ai"&amp;$G$1)</f>
        <v>365</v>
      </c>
      <c r="G8" s="961"/>
      <c r="H8" s="4613"/>
      <c r="I8" s="4616"/>
      <c r="J8" s="4617"/>
      <c r="K8" s="4614"/>
      <c r="L8" s="186" t="s">
        <v>684</v>
      </c>
      <c r="M8" s="3520">
        <f ca="1">INDIRECT("'数据-取费表'!ai"&amp;$G$1)</f>
        <v>365</v>
      </c>
    </row>
    <row r="9" spans="1:37" ht="18" customHeight="1">
      <c r="A9" s="2771" t="s">
        <v>393</v>
      </c>
      <c r="B9" s="3140" t="s">
        <v>3800</v>
      </c>
      <c r="C9" s="3975">
        <f ca="1">ROUND(C7*F9,2)</f>
        <v>165.72</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1.86</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241</v>
      </c>
      <c r="D13" s="4127" t="s">
        <v>3893</v>
      </c>
      <c r="E13" s="4128"/>
      <c r="F13" s="4126"/>
      <c r="G13" s="4123"/>
      <c r="H13" s="738" t="s">
        <v>3682</v>
      </c>
      <c r="I13" s="739" t="s">
        <v>700</v>
      </c>
      <c r="J13" s="3968">
        <f ca="1">ROUND(J14+J22+J24+J26,0)</f>
        <v>102</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199.18</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82.83</v>
      </c>
      <c r="K14" s="2814" t="s">
        <v>3445</v>
      </c>
      <c r="L14" s="925" t="str">
        <f>E14</f>
        <v/>
      </c>
      <c r="M14" s="3951" t="str">
        <f>IF(M56="非住宅","",IF(M6*M7*M8/12/(1+'数据-取费表'!F30)&gt;100000,4%,2.5%))</f>
        <v/>
      </c>
    </row>
    <row r="15" spans="1:37" s="972" customFormat="1" ht="18" customHeight="1">
      <c r="A15" s="2771" t="s">
        <v>391</v>
      </c>
      <c r="B15" s="2785" t="s">
        <v>3978</v>
      </c>
      <c r="C15" s="2773">
        <f ca="1">C18</f>
        <v>15.74</v>
      </c>
      <c r="D15" s="4610" t="s">
        <v>3977</v>
      </c>
      <c r="E15" s="4611"/>
      <c r="F15" s="4611"/>
      <c r="G15" s="971"/>
      <c r="H15" s="2771" t="s">
        <v>391</v>
      </c>
      <c r="I15" s="2785" t="s">
        <v>3978</v>
      </c>
      <c r="J15" s="2773">
        <f ca="1">J18</f>
        <v>-0.2</v>
      </c>
      <c r="K15" s="4610" t="s">
        <v>3977</v>
      </c>
      <c r="L15" s="4611"/>
      <c r="M15" s="461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134.24</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3.1</v>
      </c>
      <c r="D17" s="4101" t="s">
        <v>3864</v>
      </c>
      <c r="E17" s="2796"/>
      <c r="F17" s="2841">
        <v>0.06</v>
      </c>
      <c r="G17" s="971"/>
      <c r="H17" s="2570" t="s">
        <v>3286</v>
      </c>
      <c r="I17" s="2789" t="s">
        <v>3405</v>
      </c>
      <c r="J17" s="2815">
        <f ca="1">ROUND(J22*M16+((J24+J26)*M17),2)</f>
        <v>1.68</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15.74</v>
      </c>
      <c r="D18" s="2814" t="s">
        <v>3974</v>
      </c>
      <c r="E18" s="186" t="s">
        <v>3439</v>
      </c>
      <c r="F18" s="2841">
        <f>'数据-取费表'!B44</f>
        <v>0.12000000000000001</v>
      </c>
      <c r="G18" s="971"/>
      <c r="H18" s="2570" t="s">
        <v>3287</v>
      </c>
      <c r="I18" s="2789" t="s">
        <v>3973</v>
      </c>
      <c r="J18" s="2815">
        <f ca="1">ROUND((J16-J17)*M18,2)</f>
        <v>-0.2</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178.98</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78.569999999999993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4.46</v>
      </c>
      <c r="D20" s="207" t="s">
        <v>717</v>
      </c>
      <c r="E20" s="186" t="s">
        <v>718</v>
      </c>
      <c r="F20" s="2842">
        <f>'数据-取费表'!B53</f>
        <v>12</v>
      </c>
      <c r="G20" s="961"/>
      <c r="H20" s="3966" t="s">
        <v>667</v>
      </c>
      <c r="I20" s="953" t="s">
        <v>3980</v>
      </c>
      <c r="J20" s="2791">
        <f ca="1">ROUND(M20*M21/10000,2)</f>
        <v>4.46</v>
      </c>
      <c r="K20" s="207" t="s">
        <v>717</v>
      </c>
      <c r="L20" s="186" t="s">
        <v>718</v>
      </c>
      <c r="M20" s="2842">
        <f>'数据-取费表'!B53</f>
        <v>12</v>
      </c>
    </row>
    <row r="21" spans="1:37" s="972" customFormat="1" ht="18" customHeight="1">
      <c r="A21" s="209"/>
      <c r="B21" s="760"/>
      <c r="C21" s="2792"/>
      <c r="D21" s="210"/>
      <c r="E21" s="186" t="s">
        <v>722</v>
      </c>
      <c r="F21" s="2837">
        <f ca="1">INDIRECT("'数据-取费表'!r"&amp;$G$1)</f>
        <v>3716.64</v>
      </c>
      <c r="G21" s="971"/>
      <c r="H21" s="209"/>
      <c r="I21" s="195"/>
      <c r="J21" s="2792"/>
      <c r="K21" s="210"/>
      <c r="L21" s="186" t="s">
        <v>722</v>
      </c>
      <c r="M21" s="2837">
        <f ca="1">INDIRECT("'数据-取费表'!r"&amp;$G$1)</f>
        <v>3716.64</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18.71</v>
      </c>
      <c r="D22" s="1809" t="s">
        <v>725</v>
      </c>
      <c r="E22" s="186" t="s">
        <v>698</v>
      </c>
      <c r="F22" s="2843">
        <f ca="1">INDIRECT("'数据-取费表'!Ak"&amp;$G$1)</f>
        <v>2E-3</v>
      </c>
      <c r="G22" s="971"/>
      <c r="H22" s="3979" t="s">
        <v>396</v>
      </c>
      <c r="I22" s="56" t="s">
        <v>724</v>
      </c>
      <c r="J22" s="3980">
        <f ca="1">ROUND(J35*M22,2)</f>
        <v>18.71</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9353</v>
      </c>
      <c r="G23" s="971"/>
      <c r="H23" s="209"/>
      <c r="I23" s="195"/>
      <c r="J23" s="3981"/>
      <c r="K23" s="4047"/>
      <c r="L23" s="2785" t="s">
        <v>3826</v>
      </c>
      <c r="M23" s="3520">
        <f ca="1">J35</f>
        <v>9353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8.61</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8605</v>
      </c>
      <c r="G25" s="961"/>
      <c r="H25" s="209"/>
      <c r="I25" s="195"/>
      <c r="J25" s="3981"/>
      <c r="K25" s="4047"/>
      <c r="L25" s="4046" t="s">
        <v>3827</v>
      </c>
      <c r="M25" s="3520">
        <f ca="1">J37</f>
        <v>0</v>
      </c>
    </row>
    <row r="26" spans="1:37" s="972" customFormat="1" ht="18" customHeight="1" thickBot="1">
      <c r="A26" s="748" t="s">
        <v>670</v>
      </c>
      <c r="B26" s="749" t="s">
        <v>714</v>
      </c>
      <c r="C26" s="2793">
        <f ca="1">ROUND(C5*F26,2)</f>
        <v>14.93</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1252</v>
      </c>
      <c r="D27" s="4131" t="s">
        <v>3896</v>
      </c>
      <c r="E27" s="4132"/>
      <c r="F27" s="4133"/>
      <c r="G27" s="498"/>
      <c r="H27" s="738" t="s">
        <v>387</v>
      </c>
      <c r="I27" s="753" t="s">
        <v>738</v>
      </c>
      <c r="J27" s="3968">
        <f ca="1">J5-J13</f>
        <v>-102</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16608</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18.5</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18103</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12972.44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13955</v>
      </c>
      <c r="D32" s="4140" t="s">
        <v>3907</v>
      </c>
      <c r="E32" s="217" t="s">
        <v>3908</v>
      </c>
      <c r="F32" s="2845">
        <f ca="1">INDIRECT("'数据-取费表'!k"&amp;$G$1)</f>
        <v>12972.44</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0.16141995981245816</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7264</v>
      </c>
      <c r="D35" s="4043" t="s">
        <v>3415</v>
      </c>
      <c r="E35" s="1020"/>
      <c r="F35" s="3383"/>
      <c r="G35" s="961"/>
      <c r="H35" s="4044" t="s">
        <v>433</v>
      </c>
      <c r="I35" s="4045" t="s">
        <v>3448</v>
      </c>
      <c r="J35" s="2774">
        <f ca="1">C51</f>
        <v>9353</v>
      </c>
      <c r="K35" s="2813" t="s">
        <v>3444</v>
      </c>
      <c r="L35" s="55"/>
      <c r="M35" s="2751"/>
    </row>
    <row r="36" spans="1:37" ht="18" customHeight="1">
      <c r="A36" s="2771" t="s">
        <v>391</v>
      </c>
      <c r="B36" s="2736" t="s">
        <v>693</v>
      </c>
      <c r="C36" s="2676">
        <f ca="1">INDIRECT("'数据-取费表'!m"&amp;$G$1)+INDIRECT("'数据-取费表'!t"&amp;$G$1)</f>
        <v>6486</v>
      </c>
      <c r="D36" s="925" t="s">
        <v>694</v>
      </c>
      <c r="E36" s="925"/>
      <c r="F36" s="215"/>
      <c r="G36" s="961"/>
      <c r="H36" s="2821" t="s">
        <v>396</v>
      </c>
      <c r="I36" s="2826" t="s">
        <v>3435</v>
      </c>
      <c r="J36" s="2721">
        <f ca="1">ROUND(J35*(1-M36),0)</f>
        <v>9353</v>
      </c>
      <c r="K36" s="186" t="s">
        <v>3438</v>
      </c>
      <c r="L36" s="2787" t="s">
        <v>3451</v>
      </c>
      <c r="M36" s="2843">
        <f ca="1">INDIRECT("'数据-取费表'!ad"&amp;$G$1)</f>
        <v>0</v>
      </c>
    </row>
    <row r="37" spans="1:37" ht="18" customHeight="1" thickBot="1">
      <c r="A37" s="2771" t="s">
        <v>393</v>
      </c>
      <c r="B37" s="2789" t="s">
        <v>3820</v>
      </c>
      <c r="C37" s="2774">
        <f ca="1">ROUND(C36*F37,0)</f>
        <v>324</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389</v>
      </c>
      <c r="D39" s="186" t="s">
        <v>703</v>
      </c>
      <c r="E39" s="186" t="s">
        <v>3821</v>
      </c>
      <c r="F39" s="2842">
        <f>'数据-取费表'!B35</f>
        <v>300</v>
      </c>
      <c r="G39" s="961"/>
    </row>
    <row r="40" spans="1:37" ht="18" customHeight="1">
      <c r="A40" s="2771" t="s">
        <v>669</v>
      </c>
      <c r="B40" s="2789" t="s">
        <v>3289</v>
      </c>
      <c r="C40" s="2774">
        <f ca="1">ROUND(C36*F40,0)</f>
        <v>65</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145</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232+0.0006V建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232</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1482+0.004V建</v>
      </c>
      <c r="D47" s="2755" t="s">
        <v>3432</v>
      </c>
      <c r="E47" s="200"/>
      <c r="F47" s="2842"/>
      <c r="G47" s="961"/>
      <c r="H47" s="47"/>
      <c r="I47" s="47"/>
      <c r="J47" s="47"/>
      <c r="K47" s="1894"/>
      <c r="L47" s="47"/>
      <c r="M47" s="47"/>
    </row>
    <row r="48" spans="1:37" ht="18" customHeight="1">
      <c r="A48" s="2771" t="s">
        <v>391</v>
      </c>
      <c r="B48" s="186" t="s">
        <v>740</v>
      </c>
      <c r="C48" s="2774">
        <f ca="1">ROUND((C35+C42)*F48,0)</f>
        <v>1482</v>
      </c>
      <c r="D48" s="206" t="s">
        <v>741</v>
      </c>
      <c r="E48" s="186" t="s">
        <v>742</v>
      </c>
      <c r="F48" s="2843">
        <f ca="1">INDIRECT("'数据-取费表'!q"&amp;$G$1)</f>
        <v>0.2</v>
      </c>
      <c r="G48" s="961"/>
      <c r="H48" s="47"/>
      <c r="I48" s="47"/>
      <c r="J48" s="47"/>
      <c r="K48" s="1894"/>
      <c r="L48" s="47"/>
      <c r="M48" s="47"/>
    </row>
    <row r="49" spans="1:18" ht="18" customHeight="1">
      <c r="A49" s="2771" t="s">
        <v>393</v>
      </c>
      <c r="B49" s="186" t="s">
        <v>746</v>
      </c>
      <c r="C49" s="3524">
        <f ca="1">ROUND(F43*F48,4)</f>
        <v>4.0000000000000001E-3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9353</v>
      </c>
      <c r="D51" s="2813" t="s">
        <v>3444</v>
      </c>
      <c r="E51" s="2799"/>
      <c r="F51" s="2843"/>
      <c r="K51" s="977"/>
    </row>
    <row r="52" spans="1:18" s="961" customFormat="1" ht="18" customHeight="1">
      <c r="A52" s="2803" t="s">
        <v>3433</v>
      </c>
      <c r="B52" s="2802" t="s">
        <v>3435</v>
      </c>
      <c r="C52" s="2817">
        <f ca="1">ROUND(C51*(1-F52),0)</f>
        <v>748</v>
      </c>
      <c r="D52" s="2799" t="s">
        <v>3889</v>
      </c>
      <c r="E52" s="2799" t="s">
        <v>3890</v>
      </c>
      <c r="F52" s="2843">
        <f ca="1">INDIRECT("'数据-取费表'!y"&amp;$G$1)</f>
        <v>0.92</v>
      </c>
      <c r="K52" s="977"/>
    </row>
    <row r="53" spans="1:18" s="961" customFormat="1" ht="18" customHeight="1" thickBot="1">
      <c r="A53" s="2804" t="s">
        <v>3436</v>
      </c>
      <c r="B53" s="2812" t="s">
        <v>3442</v>
      </c>
      <c r="C53" s="2828">
        <f ca="1">C51-C52</f>
        <v>8605</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8" thickBot="1">
      <c r="A55" s="979" t="s">
        <v>795</v>
      </c>
      <c r="C55" s="3998">
        <f ca="1">IF(D2="含税",C83-C31,C80-C28)</f>
        <v>-18565</v>
      </c>
      <c r="D55" s="981" t="str">
        <f>C2</f>
        <v>万元</v>
      </c>
      <c r="E55" s="975"/>
      <c r="F55" s="975"/>
      <c r="I55" s="982" t="s">
        <v>796</v>
      </c>
      <c r="J55" s="983"/>
      <c r="K55" s="984"/>
      <c r="L55" s="4018">
        <f ca="1">IF(M56="住宅",0,IF(L57&gt;J60,L69,J69))</f>
        <v>1492</v>
      </c>
      <c r="O55" s="4159" t="s">
        <v>1327</v>
      </c>
      <c r="P55" s="4160" t="s">
        <v>3914</v>
      </c>
      <c r="Q55" s="4161" t="s">
        <v>3915</v>
      </c>
      <c r="R55" s="4161" t="s">
        <v>3916</v>
      </c>
    </row>
    <row r="56" spans="1:18" s="961" customFormat="1" ht="13.8"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40</v>
      </c>
      <c r="M56" s="957" t="str">
        <f>IF(ISNUMBER(FIND("住宅",C1)),"住宅","非住宅")</f>
        <v>非住宅</v>
      </c>
      <c r="O56" s="4162" t="s">
        <v>397</v>
      </c>
      <c r="P56" s="4163" t="s">
        <v>3917</v>
      </c>
      <c r="Q56" s="4165">
        <f ca="1">C28+J31</f>
        <v>16608</v>
      </c>
      <c r="R56" s="4164" t="s">
        <v>3918</v>
      </c>
    </row>
    <row r="57" spans="1:18" s="961" customFormat="1" ht="40.200000000000003"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18.5</v>
      </c>
      <c r="O57" s="4162" t="s">
        <v>398</v>
      </c>
      <c r="P57" s="4163" t="s">
        <v>3919</v>
      </c>
      <c r="Q57" s="4165">
        <f ca="1">J69</f>
        <v>1492</v>
      </c>
      <c r="R57" s="4164" t="s">
        <v>3920</v>
      </c>
    </row>
    <row r="58" spans="1:18" s="961" customFormat="1" ht="16.2"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9353</v>
      </c>
      <c r="R58" s="995" t="s">
        <v>804</v>
      </c>
    </row>
    <row r="59" spans="1:18" s="961" customFormat="1" ht="13.8" thickBot="1">
      <c r="A59" s="3991" t="s">
        <v>391</v>
      </c>
      <c r="B59" s="4621" t="s">
        <v>3799</v>
      </c>
      <c r="C59" s="4622">
        <f ca="1">ROUND(F58*F60*F59/10000,2)</f>
        <v>0</v>
      </c>
      <c r="D59" s="4614" t="s">
        <v>3474</v>
      </c>
      <c r="E59" s="716" t="s">
        <v>683</v>
      </c>
      <c r="F59" s="3526">
        <f ca="1">F7</f>
        <v>12972.44</v>
      </c>
      <c r="H59" s="491"/>
      <c r="I59" s="996" t="s">
        <v>812</v>
      </c>
      <c r="J59" s="4007">
        <f>SUMPRODUCT((I72:I74=J56)*(J71:L71=J57)*(J72:L74))</f>
        <v>60</v>
      </c>
      <c r="K59" s="998" t="s">
        <v>813</v>
      </c>
      <c r="L59" s="4020"/>
      <c r="M59" s="1004"/>
      <c r="O59" s="1002" t="s">
        <v>400</v>
      </c>
      <c r="P59" s="994" t="s">
        <v>814</v>
      </c>
      <c r="Q59" s="3539">
        <f ca="1">J67</f>
        <v>0.60799999999999998</v>
      </c>
      <c r="R59" s="995"/>
    </row>
    <row r="60" spans="1:18" s="961" customFormat="1" ht="13.8" thickBot="1">
      <c r="A60" s="3992"/>
      <c r="B60" s="4621"/>
      <c r="C60" s="4623"/>
      <c r="D60" s="4614"/>
      <c r="E60" s="675" t="s">
        <v>684</v>
      </c>
      <c r="F60" s="3520">
        <f ca="1">F8</f>
        <v>365</v>
      </c>
      <c r="I60" s="1006" t="s">
        <v>815</v>
      </c>
      <c r="J60" s="4008">
        <f>IF(J58="",J59,J58+J59-YEAR('数据-取费表'!B2))</f>
        <v>55</v>
      </c>
      <c r="K60" s="1007" t="s">
        <v>816</v>
      </c>
      <c r="L60" s="3996">
        <f ca="1">ROUND(-PV(INDIRECT("'数据-取费表'!h"&amp;$G$1),J60,(C27-C52*C88),0),0)</f>
        <v>22353</v>
      </c>
      <c r="M60" s="1009"/>
      <c r="O60" s="1002" t="s">
        <v>401</v>
      </c>
      <c r="P60" s="994" t="s">
        <v>817</v>
      </c>
      <c r="Q60" s="3539">
        <f>J61</f>
        <v>7.4999999999999997E-2</v>
      </c>
      <c r="R60" s="995"/>
    </row>
    <row r="61" spans="1:18" s="961" customFormat="1" ht="13.8"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18.5</v>
      </c>
      <c r="R61" s="995" t="s">
        <v>821</v>
      </c>
    </row>
    <row r="62" spans="1:18" s="961" customFormat="1" ht="36.6"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18.5</v>
      </c>
      <c r="K62" s="4618" t="s">
        <v>823</v>
      </c>
      <c r="L62" s="4619"/>
      <c r="O62" s="4162" t="s">
        <v>403</v>
      </c>
      <c r="P62" s="4166" t="s">
        <v>3924</v>
      </c>
      <c r="Q62" s="4165">
        <f ca="1">ROUND((Q56+Q57)*(1+F31),0)</f>
        <v>19729</v>
      </c>
      <c r="R62" s="4164" t="s">
        <v>3925</v>
      </c>
    </row>
    <row r="63" spans="1:18" s="961" customFormat="1" ht="13.8"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431</v>
      </c>
      <c r="B64" s="946" t="s">
        <v>689</v>
      </c>
      <c r="C64" s="3973"/>
      <c r="D64" s="59"/>
      <c r="E64" s="951"/>
      <c r="F64" s="1013"/>
      <c r="I64" s="1016" t="s">
        <v>826</v>
      </c>
      <c r="J64" s="4012">
        <f ca="1">ROUND(IF(J56="钢混",J66/J59,1-(1-2%)*(J59-J66)/J59),3)</f>
        <v>0.60799999999999998</v>
      </c>
      <c r="K64" s="1018" t="s">
        <v>827</v>
      </c>
      <c r="L64" s="1019"/>
      <c r="O64" s="4159" t="s">
        <v>1327</v>
      </c>
      <c r="P64" s="4160" t="s">
        <v>3914</v>
      </c>
      <c r="Q64" s="4161" t="s">
        <v>3915</v>
      </c>
      <c r="R64" s="4161" t="s">
        <v>3916</v>
      </c>
    </row>
    <row r="65" spans="1:18" s="961" customFormat="1" ht="37.200000000000003" thickTop="1" thickBot="1">
      <c r="A65" s="199" t="s">
        <v>3682</v>
      </c>
      <c r="B65" s="652" t="s">
        <v>700</v>
      </c>
      <c r="C65" s="2817">
        <f ca="1">ROUND(C66+C74+C76+C78,0)</f>
        <v>32</v>
      </c>
      <c r="D65" s="4149" t="s">
        <v>3912</v>
      </c>
      <c r="E65" s="655"/>
      <c r="F65" s="656"/>
      <c r="I65" s="1022" t="s">
        <v>828</v>
      </c>
      <c r="J65" s="4013" t="s">
        <v>4157</v>
      </c>
      <c r="K65" s="996" t="s">
        <v>829</v>
      </c>
      <c r="L65" s="4008" t="str">
        <f ca="1">IF(L57&lt;J60,"——",L57-J62)</f>
        <v>——</v>
      </c>
      <c r="O65" s="4162" t="s">
        <v>397</v>
      </c>
      <c r="P65" s="4163" t="s">
        <v>3917</v>
      </c>
      <c r="Q65" s="4165">
        <f ca="1">C28+J31</f>
        <v>16608</v>
      </c>
      <c r="R65" s="4164" t="s">
        <v>3918</v>
      </c>
    </row>
    <row r="66" spans="1:18" s="961" customFormat="1" ht="24.6" thickBot="1">
      <c r="A66" s="537" t="s">
        <v>392</v>
      </c>
      <c r="B66" s="2766" t="s">
        <v>3982</v>
      </c>
      <c r="C66" s="2773">
        <f ca="1">ROUND(IF(AND(项目基本情况!B11="自然人",项目基本情况!B10="北京市",M56="住宅"),C58*F66,C67+C71+C72),2)</f>
        <v>4.2</v>
      </c>
      <c r="D66" s="657" t="s">
        <v>3446</v>
      </c>
      <c r="E66" s="658" t="str">
        <f>E14</f>
        <v/>
      </c>
      <c r="F66" s="3951" t="str">
        <f>IF(M56="非住宅","",IF(F58*F59*F60/12/(1+'数据-取费表'!F30)&gt;100000,4%,2.5%))</f>
        <v/>
      </c>
      <c r="I66" s="1028" t="s">
        <v>830</v>
      </c>
      <c r="J66" s="4014">
        <f ca="1">IF(OR(M56="住宅",J60&lt;L57,J65="是"),"——",J60-L57)</f>
        <v>36.5</v>
      </c>
      <c r="K66" s="996" t="s">
        <v>831</v>
      </c>
      <c r="L66" s="4021" t="str">
        <f ca="1">IF(L57&lt;J60,"——",IF(L64="比较法",L58,IF(L64="基准地价",L59,L60)))</f>
        <v>——</v>
      </c>
      <c r="O66" s="4162" t="s">
        <v>398</v>
      </c>
      <c r="P66" s="4163" t="s">
        <v>3921</v>
      </c>
      <c r="Q66" s="4167">
        <f ca="1">L69</f>
        <v>0</v>
      </c>
      <c r="R66" s="4164" t="s">
        <v>3922</v>
      </c>
    </row>
    <row r="67" spans="1:18" s="961" customFormat="1" ht="24.6" thickBot="1">
      <c r="A67" s="3966" t="s">
        <v>391</v>
      </c>
      <c r="B67" s="2785" t="s">
        <v>3978</v>
      </c>
      <c r="C67" s="2773">
        <f ca="1">C70</f>
        <v>-0.26</v>
      </c>
      <c r="D67" s="4610" t="s">
        <v>3977</v>
      </c>
      <c r="E67" s="4611"/>
      <c r="F67" s="4611"/>
      <c r="I67" s="1028" t="s">
        <v>833</v>
      </c>
      <c r="J67" s="4015">
        <f ca="1">IF(J64&lt;0.4,0.4,J64)</f>
        <v>0.60799999999999998</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3285</v>
      </c>
      <c r="B68" s="2789" t="s">
        <v>3404</v>
      </c>
      <c r="C68" s="2773">
        <f ca="1">ROUND(C58*F68,2)</f>
        <v>0</v>
      </c>
      <c r="D68" s="1020" t="s">
        <v>3863</v>
      </c>
      <c r="E68" s="2795" t="s">
        <v>3406</v>
      </c>
      <c r="F68" s="2841">
        <f>F16</f>
        <v>0.09</v>
      </c>
      <c r="I68" s="1028" t="s">
        <v>836</v>
      </c>
      <c r="J68" s="4016">
        <f ca="1">IF(OR(M56="住宅",J60&lt;L57,J65="是"),"——",ROUND(C51*J67,0))</f>
        <v>5687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3286</v>
      </c>
      <c r="B69" s="2789" t="s">
        <v>3405</v>
      </c>
      <c r="C69" s="2773">
        <f ca="1">ROUND(C74*F68+((C76+C78)*F69),2)</f>
        <v>2.2000000000000002</v>
      </c>
      <c r="D69" s="4101" t="s">
        <v>3864</v>
      </c>
      <c r="E69" s="2796"/>
      <c r="F69" s="2841">
        <f t="shared" ref="F69" si="0">F17</f>
        <v>0.06</v>
      </c>
      <c r="I69" s="1031" t="s">
        <v>838</v>
      </c>
      <c r="J69" s="4017">
        <f ca="1">IF(OR(M56="住宅",J60&lt;L57,J65="是"),"0",ROUND(J68/(1+J61)^J62,0))</f>
        <v>1492</v>
      </c>
      <c r="K69" s="1033" t="s">
        <v>839</v>
      </c>
      <c r="L69" s="4017">
        <f ca="1">IF(OR(M56="住宅",L57&lt;J60),0,ROUND(L66*(L67/L68-1),0))</f>
        <v>0</v>
      </c>
      <c r="O69" s="1002" t="s">
        <v>401</v>
      </c>
      <c r="P69" s="994" t="s">
        <v>840</v>
      </c>
      <c r="Q69" s="3541" t="e">
        <f ca="1">L67</f>
        <v>#DIV/0!</v>
      </c>
      <c r="R69" s="995" t="s">
        <v>841</v>
      </c>
    </row>
    <row r="70" spans="1:18" s="961" customFormat="1" ht="13.8" thickBot="1">
      <c r="A70" s="2570" t="s">
        <v>3287</v>
      </c>
      <c r="B70" s="2789" t="s">
        <v>3973</v>
      </c>
      <c r="C70" s="2773">
        <f ca="1">ROUND((C68-C69)*F70,2)</f>
        <v>-0.26</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8"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18103</v>
      </c>
      <c r="R71" s="4164" t="s">
        <v>3925</v>
      </c>
    </row>
    <row r="72" spans="1:18" s="961" customFormat="1" ht="13.8" thickBot="1">
      <c r="A72" s="3966" t="s">
        <v>770</v>
      </c>
      <c r="B72" s="4211" t="s">
        <v>3980</v>
      </c>
      <c r="C72" s="2791">
        <f ca="1">IF(项目基本情况!B11="自然人","——",ROUND(F72*F73/10000,2))</f>
        <v>4.46</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722</v>
      </c>
      <c r="F73" s="3133">
        <f t="shared" ca="1" si="1"/>
        <v>3716.64</v>
      </c>
      <c r="I73" s="1035" t="s">
        <v>851</v>
      </c>
      <c r="J73" s="223">
        <v>50</v>
      </c>
      <c r="K73" s="223">
        <v>35</v>
      </c>
      <c r="L73" s="223">
        <v>60</v>
      </c>
      <c r="M73" s="1037">
        <v>0</v>
      </c>
      <c r="O73" s="986" t="s">
        <v>797</v>
      </c>
      <c r="P73" s="987" t="s">
        <v>798</v>
      </c>
      <c r="Q73" s="988" t="s">
        <v>799</v>
      </c>
      <c r="R73" s="988" t="s">
        <v>800</v>
      </c>
    </row>
    <row r="74" spans="1:18" s="961" customFormat="1" ht="13.8" thickBot="1">
      <c r="A74" s="3988" t="s">
        <v>396</v>
      </c>
      <c r="B74" s="643" t="s">
        <v>724</v>
      </c>
      <c r="C74" s="3980">
        <f ca="1">ROUND(F74*F75,2)</f>
        <v>18.71</v>
      </c>
      <c r="D74" s="3982" t="s">
        <v>725</v>
      </c>
      <c r="E74" s="3995" t="s">
        <v>3806</v>
      </c>
      <c r="F74" s="3996">
        <f ca="1">C51</f>
        <v>9353</v>
      </c>
      <c r="I74" s="1035" t="s">
        <v>852</v>
      </c>
      <c r="J74" s="223">
        <v>40</v>
      </c>
      <c r="K74" s="223">
        <v>30</v>
      </c>
      <c r="L74" s="223">
        <v>50</v>
      </c>
      <c r="M74" s="1038">
        <v>0.02</v>
      </c>
      <c r="O74" s="4162" t="s">
        <v>397</v>
      </c>
      <c r="P74" s="4163" t="s">
        <v>3917</v>
      </c>
      <c r="Q74" s="4165">
        <f ca="1">C28+J31</f>
        <v>16608</v>
      </c>
      <c r="R74" s="4164" t="s">
        <v>3918</v>
      </c>
    </row>
    <row r="75" spans="1:18" s="961" customFormat="1" ht="16.2" thickBot="1">
      <c r="A75" s="3989"/>
      <c r="B75" s="650"/>
      <c r="C75" s="3981"/>
      <c r="D75" s="3983"/>
      <c r="E75" s="644" t="s">
        <v>698</v>
      </c>
      <c r="F75" s="2843">
        <f ca="1">F22</f>
        <v>2E-3</v>
      </c>
      <c r="O75" s="4162" t="s">
        <v>398</v>
      </c>
      <c r="P75" s="4163" t="s">
        <v>3921</v>
      </c>
      <c r="Q75" s="4167">
        <f ca="1">L69</f>
        <v>0</v>
      </c>
      <c r="R75" s="4164" t="s">
        <v>3923</v>
      </c>
    </row>
    <row r="76" spans="1:18" s="961" customFormat="1" ht="13.8" thickBot="1">
      <c r="A76" s="3988" t="s">
        <v>778</v>
      </c>
      <c r="B76" s="643" t="s">
        <v>728</v>
      </c>
      <c r="C76" s="3980">
        <f ca="1">ROUND(F76*F77,2)</f>
        <v>8.61</v>
      </c>
      <c r="D76" s="3982" t="s">
        <v>3443</v>
      </c>
      <c r="E76" s="3995" t="s">
        <v>3442</v>
      </c>
      <c r="F76" s="3997">
        <f ca="1">C53</f>
        <v>8605</v>
      </c>
      <c r="O76" s="993"/>
      <c r="P76" s="994"/>
      <c r="Q76" s="3538"/>
      <c r="R76" s="995"/>
    </row>
    <row r="77" spans="1:18" s="961" customFormat="1" ht="17.399999999999999" thickBot="1">
      <c r="A77" s="3990"/>
      <c r="B77" s="650"/>
      <c r="C77" s="3981"/>
      <c r="D77" s="3983"/>
      <c r="E77" s="644" t="s">
        <v>698</v>
      </c>
      <c r="F77" s="2843">
        <f ca="1">F24</f>
        <v>1E-3</v>
      </c>
      <c r="O77" s="1002" t="s">
        <v>399</v>
      </c>
      <c r="P77" s="994" t="s">
        <v>835</v>
      </c>
      <c r="Q77" s="3542">
        <f ca="1">L60</f>
        <v>22353</v>
      </c>
      <c r="R77" s="995" t="s">
        <v>855</v>
      </c>
    </row>
    <row r="78" spans="1:18" s="961" customFormat="1" ht="13.8" thickBot="1">
      <c r="A78" s="3990" t="s">
        <v>779</v>
      </c>
      <c r="B78" s="644" t="s">
        <v>714</v>
      </c>
      <c r="C78" s="2773">
        <f ca="1">ROUND(C57*F78,2)</f>
        <v>0</v>
      </c>
      <c r="D78" s="658" t="s">
        <v>3870</v>
      </c>
      <c r="E78" s="644" t="s">
        <v>698</v>
      </c>
      <c r="F78" s="2843">
        <f ca="1">F26</f>
        <v>0.01</v>
      </c>
      <c r="O78" s="1002"/>
      <c r="P78" s="994"/>
      <c r="Q78" s="3542"/>
      <c r="R78" s="995"/>
    </row>
    <row r="79" spans="1:18" s="961" customFormat="1" ht="24.6" thickBot="1">
      <c r="A79" s="651" t="s">
        <v>387</v>
      </c>
      <c r="B79" s="661" t="s">
        <v>738</v>
      </c>
      <c r="C79" s="2817">
        <f ca="1">C57-C65</f>
        <v>-32</v>
      </c>
      <c r="D79" s="4150" t="s">
        <v>3896</v>
      </c>
      <c r="E79" s="4151"/>
      <c r="F79" s="4152"/>
      <c r="O79" s="1002" t="s">
        <v>400</v>
      </c>
      <c r="P79" s="1040" t="s">
        <v>856</v>
      </c>
      <c r="Q79" s="3542">
        <f ca="1">ROUND(Q80-Q81*Q82,0)</f>
        <v>1200</v>
      </c>
      <c r="R79" s="995" t="s">
        <v>408</v>
      </c>
    </row>
    <row r="80" spans="1:18" s="961" customFormat="1" ht="13.8" thickBot="1">
      <c r="A80" s="3307" t="s">
        <v>388</v>
      </c>
      <c r="B80" s="642" t="s">
        <v>760</v>
      </c>
      <c r="C80" s="3965">
        <f ca="1">ROUND(C79*(1-((1+F82)/(1+F80))^F81)/(F80-F82),0)</f>
        <v>-424</v>
      </c>
      <c r="D80" s="4153" t="s">
        <v>3898</v>
      </c>
      <c r="E80" s="652" t="s">
        <v>3899</v>
      </c>
      <c r="F80" s="2843">
        <f ca="1">F28</f>
        <v>5.5E-2</v>
      </c>
      <c r="O80" s="1002" t="s">
        <v>405</v>
      </c>
      <c r="P80" s="1040" t="s">
        <v>857</v>
      </c>
      <c r="Q80" s="3542">
        <f ca="1">C27</f>
        <v>1252</v>
      </c>
      <c r="R80" s="995" t="s">
        <v>804</v>
      </c>
    </row>
    <row r="81" spans="1:18" s="961" customFormat="1" ht="13.8" thickBot="1">
      <c r="A81" s="3308"/>
      <c r="B81" s="646"/>
      <c r="C81" s="3517"/>
      <c r="D81" s="4154" t="s">
        <v>3903</v>
      </c>
      <c r="E81" s="652" t="s">
        <v>3902</v>
      </c>
      <c r="F81" s="2844">
        <f ca="1">F29</f>
        <v>18.5</v>
      </c>
      <c r="O81" s="1002" t="s">
        <v>406</v>
      </c>
      <c r="P81" s="1040" t="s">
        <v>858</v>
      </c>
      <c r="Q81" s="3542">
        <f ca="1">C52</f>
        <v>748</v>
      </c>
      <c r="R81" s="995" t="s">
        <v>804</v>
      </c>
    </row>
    <row r="82" spans="1:18" s="961" customFormat="1" ht="13.8" thickBot="1">
      <c r="A82" s="3309"/>
      <c r="B82" s="2860"/>
      <c r="C82" s="2860"/>
      <c r="D82" s="4155"/>
      <c r="E82" s="652" t="s">
        <v>3904</v>
      </c>
      <c r="F82" s="2838">
        <v>0.02</v>
      </c>
      <c r="O82" s="1002" t="s">
        <v>407</v>
      </c>
      <c r="P82" s="1040" t="s">
        <v>859</v>
      </c>
      <c r="Q82" s="3539">
        <f ca="1">C88</f>
        <v>7.0000000000000007E-2</v>
      </c>
      <c r="R82" s="995"/>
    </row>
    <row r="83" spans="1:18" s="961" customFormat="1" ht="13.8" thickBot="1">
      <c r="A83" s="648" t="s">
        <v>389</v>
      </c>
      <c r="B83" s="2816" t="s">
        <v>3447</v>
      </c>
      <c r="C83" s="3968">
        <f ca="1">ROUND(C80*(1+F31),0)</f>
        <v>-462</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-356</v>
      </c>
      <c r="D84" s="4158" t="s">
        <v>3907</v>
      </c>
      <c r="E84" s="666" t="s">
        <v>3908</v>
      </c>
      <c r="F84" s="2845">
        <f ca="1">F32</f>
        <v>12972.44</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建筑物剩余耐用年限下的土地年期修正系数Kn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3924</v>
      </c>
      <c r="Q86" s="4165">
        <f ca="1">ROUND((Q74+Q75)*(1+F31),0)</f>
        <v>18103</v>
      </c>
      <c r="R86" s="4164" t="s">
        <v>3925</v>
      </c>
    </row>
    <row r="87" spans="1:18">
      <c r="A87" s="961"/>
      <c r="B87" s="222" t="s">
        <v>781</v>
      </c>
      <c r="C87" s="2908">
        <f ca="1">ROUND(C53*C88,0)</f>
        <v>602</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0.51900000000000002</v>
      </c>
    </row>
    <row r="92" spans="1:18">
      <c r="B92" s="222" t="s">
        <v>786</v>
      </c>
      <c r="C92" s="2909">
        <f ca="1">ROUND(C87/C27,3)</f>
        <v>0.48099999999999998</v>
      </c>
    </row>
    <row r="93" spans="1:18">
      <c r="B93" s="165" t="s">
        <v>787</v>
      </c>
      <c r="C93" s="133"/>
    </row>
    <row r="94" spans="1:18">
      <c r="B94" s="168" t="s">
        <v>788</v>
      </c>
      <c r="C94" s="2910">
        <f ca="1">1-C95</f>
        <v>0.52500000000000002</v>
      </c>
    </row>
    <row r="95" spans="1:18">
      <c r="B95" s="168" t="s">
        <v>789</v>
      </c>
      <c r="C95" s="2909">
        <f ca="1">ROUND(C53/(C28+J31+L55),3)</f>
        <v>0.47499999999999998</v>
      </c>
    </row>
  </sheetData>
  <sheetProtection password="CEE9" sheet="1" objects="1" scenarios="1"/>
  <mergeCells count="15">
    <mergeCell ref="K62:L62"/>
    <mergeCell ref="D67:F67"/>
    <mergeCell ref="J7:J8"/>
    <mergeCell ref="K7:K8"/>
    <mergeCell ref="D15:F15"/>
    <mergeCell ref="K15:M15"/>
    <mergeCell ref="H7:H8"/>
    <mergeCell ref="I7:I8"/>
    <mergeCell ref="B59:B60"/>
    <mergeCell ref="C59:C60"/>
    <mergeCell ref="D59:D60"/>
    <mergeCell ref="A7:A8"/>
    <mergeCell ref="B7:B8"/>
    <mergeCell ref="C7:C8"/>
    <mergeCell ref="D7:D8"/>
  </mergeCells>
  <phoneticPr fontId="134" type="noConversion"/>
  <conditionalFormatting sqref="C11">
    <cfRule type="expression" dxfId="126" priority="3">
      <formula>$F$10="自定义"</formula>
    </cfRule>
  </conditionalFormatting>
  <conditionalFormatting sqref="C63">
    <cfRule type="expression" dxfId="125" priority="1">
      <formula>$F$62="自定义"</formula>
    </cfRule>
  </conditionalFormatting>
  <conditionalFormatting sqref="I64 I69">
    <cfRule type="expression" dxfId="124" priority="5">
      <formula>$J$60&gt;$L$57</formula>
    </cfRule>
  </conditionalFormatting>
  <conditionalFormatting sqref="J11">
    <cfRule type="expression" dxfId="123" priority="2">
      <formula>$M$10="自定义"</formula>
    </cfRule>
  </conditionalFormatting>
  <conditionalFormatting sqref="K64 K69">
    <cfRule type="expression" dxfId="122" priority="4">
      <formula>$L$57&gt;$J$60</formula>
    </cfRule>
  </conditionalFormatting>
  <dataValidations count="11">
    <dataValidation type="list" allowBlank="1" showInputMessage="1" showErrorMessage="1" sqref="D31" xr:uid="{7827ABA0-0F22-4A26-B19C-79098DB63E30}">
      <formula1>"存量住宅公式—收益价值×（1+3%）,其他类型公式—收益价值×（1+9%）"</formula1>
    </dataValidation>
    <dataValidation type="list" allowBlank="1" showInputMessage="1" showErrorMessage="1" sqref="D2" xr:uid="{AC257D22-FCC7-4C56-A243-9A2245489711}">
      <formula1>"含税,不含税"</formula1>
    </dataValidation>
    <dataValidation type="list" allowBlank="1" showInputMessage="1" showErrorMessage="1" sqref="D1" xr:uid="{55504272-98E9-433C-A3C2-39905150A0E4}">
      <formula1>"在建（套用方法）,土地（套用方法）,——"</formula1>
    </dataValidation>
    <dataValidation type="list" allowBlank="1" showInputMessage="1" showErrorMessage="1" sqref="M10 F10 F62" xr:uid="{7D248458-E905-4FB5-9D2E-9E651246D02F}">
      <formula1>"押一,押二,押三,自定义"</formula1>
    </dataValidation>
    <dataValidation type="list" allowBlank="1" showInputMessage="1" showErrorMessage="1" sqref="L64" xr:uid="{616CE92B-C3F3-43B7-BDF8-34389F797447}">
      <formula1>"比较法,基准地价,收益还原"</formula1>
    </dataValidation>
    <dataValidation type="list" allowBlank="1" showInputMessage="1" showErrorMessage="1" sqref="J65" xr:uid="{A11974E9-8BEC-48DA-A834-ACED5A5D136C}">
      <formula1>估价范围判定</formula1>
    </dataValidation>
    <dataValidation type="list" allowBlank="1" showInputMessage="1" showErrorMessage="1" sqref="J57" xr:uid="{CC7B06A6-9C55-4618-9964-792D06157376}">
      <formula1>"非生产用房,生产用房,受腐蚀的生产用房"</formula1>
    </dataValidation>
    <dataValidation type="list" allowBlank="1" showInputMessage="1" showErrorMessage="1" sqref="J56" xr:uid="{35F36DC3-04BE-4BA7-B5C3-992BFAA58240}">
      <formula1>"钢,钢混,砖混"</formula1>
    </dataValidation>
    <dataValidation type="list" allowBlank="1" showInputMessage="1" showErrorMessage="1" sqref="C1" xr:uid="{5D41AB0D-2AD1-46B5-A39A-CC508B357F60}">
      <formula1>项目类型</formula1>
    </dataValidation>
    <dataValidation type="list" allowBlank="1" showInputMessage="1" showErrorMessage="1" sqref="D71 D19" xr:uid="{3151FBB3-891F-4132-AF8E-8A6DD5A7DF4E}">
      <formula1>"按不含税租金收入（有效毛租金收入）计税,按房产原值计税,按票据"</formula1>
    </dataValidation>
    <dataValidation type="list" allowBlank="1" showInputMessage="1" showErrorMessage="1" sqref="K19" xr:uid="{44917451-F89E-4186-BEE9-E5785C2B1C6E}">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AC5D-1867-4F30-B1F9-334983C6B2EA}">
  <sheetPr>
    <tabColor rgb="FF92D050"/>
  </sheetPr>
  <dimension ref="A1:AK95"/>
  <sheetViews>
    <sheetView topLeftCell="G46" zoomScaleNormal="100" zoomScaleSheetLayoutView="100" workbookViewId="0">
      <selection activeCell="D7" sqref="D7:D8"/>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4013</v>
      </c>
      <c r="D1" s="940" t="s">
        <v>41</v>
      </c>
      <c r="E1" s="941" t="s">
        <v>665</v>
      </c>
      <c r="F1" s="3519">
        <f ca="1">J62</f>
        <v>28.51</v>
      </c>
      <c r="G1" s="955">
        <f>MATCH(C1,'数据-取费表'!A6:A16,0)+5</f>
        <v>9</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1340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2801</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90</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89.59</v>
      </c>
      <c r="D6" s="2787" t="s">
        <v>3805</v>
      </c>
      <c r="E6" s="2785" t="s">
        <v>3400</v>
      </c>
      <c r="F6" s="3133">
        <f ca="1">INDIRECT("'数据-取费表'!u"&amp;$G$1)</f>
        <v>0.56999999999999995</v>
      </c>
      <c r="G6" s="961"/>
      <c r="H6" s="729" t="s">
        <v>392</v>
      </c>
      <c r="I6" s="2786" t="s">
        <v>3801</v>
      </c>
      <c r="J6" s="2773">
        <f ca="1">J7-J9</f>
        <v>0</v>
      </c>
      <c r="K6" s="2787" t="s">
        <v>3805</v>
      </c>
      <c r="L6" s="2785" t="s">
        <v>3400</v>
      </c>
      <c r="M6" s="3133">
        <f ca="1">INDIRECT("'数据-取费表'!z"&amp;$G$1)</f>
        <v>0</v>
      </c>
    </row>
    <row r="7" spans="1:37" ht="18" customHeight="1">
      <c r="A7" s="4612" t="s">
        <v>391</v>
      </c>
      <c r="B7" s="4615" t="s">
        <v>3799</v>
      </c>
      <c r="C7" s="4620">
        <f ca="1">ROUND(F6*F7*F8/10000,2)</f>
        <v>99.54</v>
      </c>
      <c r="D7" s="4614" t="s">
        <v>3474</v>
      </c>
      <c r="E7" s="736" t="s">
        <v>683</v>
      </c>
      <c r="F7" s="3520">
        <f ca="1">IF(INDIRECT("'数据-取费表'!ah"&amp;$G$1)="",INDIRECT("'数据-取费表'!k"&amp;$G$1),INDIRECT("'数据-取费表'!ah"&amp;$G$1))</f>
        <v>4784.37</v>
      </c>
      <c r="G7" s="961"/>
      <c r="H7" s="4612" t="s">
        <v>391</v>
      </c>
      <c r="I7" s="4615" t="s">
        <v>3799</v>
      </c>
      <c r="J7" s="4617">
        <f ca="1">ROUND(M6*M8*M7/10000,2)</f>
        <v>0</v>
      </c>
      <c r="K7" s="4614" t="s">
        <v>3474</v>
      </c>
      <c r="L7" s="186" t="s">
        <v>683</v>
      </c>
      <c r="M7" s="3520">
        <f ca="1">F7</f>
        <v>4784.37</v>
      </c>
    </row>
    <row r="8" spans="1:37" ht="18" customHeight="1">
      <c r="A8" s="4613"/>
      <c r="B8" s="4616"/>
      <c r="C8" s="4620"/>
      <c r="D8" s="4614"/>
      <c r="E8" s="186" t="s">
        <v>684</v>
      </c>
      <c r="F8" s="3520">
        <f ca="1">INDIRECT("'数据-取费表'!ai"&amp;$G$1)</f>
        <v>365</v>
      </c>
      <c r="G8" s="961"/>
      <c r="H8" s="4613"/>
      <c r="I8" s="4616"/>
      <c r="J8" s="4617"/>
      <c r="K8" s="4614"/>
      <c r="L8" s="186" t="s">
        <v>684</v>
      </c>
      <c r="M8" s="3520">
        <f ca="1">INDIRECT("'数据-取费表'!ai"&amp;$G$1)</f>
        <v>365</v>
      </c>
    </row>
    <row r="9" spans="1:37" ht="18" customHeight="1">
      <c r="A9" s="2771" t="s">
        <v>393</v>
      </c>
      <c r="B9" s="3140" t="s">
        <v>3800</v>
      </c>
      <c r="C9" s="3975">
        <f ca="1">ROUND(C7*F9,2)</f>
        <v>9.9499999999999993</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0.11</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23</v>
      </c>
      <c r="D13" s="4127" t="s">
        <v>3893</v>
      </c>
      <c r="E13" s="4128"/>
      <c r="F13" s="4126"/>
      <c r="G13" s="4123"/>
      <c r="H13" s="738" t="s">
        <v>3682</v>
      </c>
      <c r="I13" s="739" t="s">
        <v>700</v>
      </c>
      <c r="J13" s="3968">
        <f ca="1">ROUND(J14+J22+J24+J26,0)</f>
        <v>33</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13.27</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26.96</v>
      </c>
      <c r="K14" s="2814" t="s">
        <v>3445</v>
      </c>
      <c r="L14" s="925" t="str">
        <f>E14</f>
        <v/>
      </c>
      <c r="M14" s="3951" t="str">
        <f>IF(M56="非住宅","",IF(M6*M7*M8/12/(1+'数据-取费表'!F30)&gt;100000,4%,2.5%))</f>
        <v/>
      </c>
    </row>
    <row r="15" spans="1:37" s="972" customFormat="1" ht="18" customHeight="1">
      <c r="A15" s="2771" t="s">
        <v>391</v>
      </c>
      <c r="B15" s="2785" t="s">
        <v>3978</v>
      </c>
      <c r="C15" s="2773">
        <f ca="1">C18</f>
        <v>0.88</v>
      </c>
      <c r="D15" s="4610" t="s">
        <v>3977</v>
      </c>
      <c r="E15" s="4611"/>
      <c r="F15" s="4611"/>
      <c r="G15" s="971"/>
      <c r="H15" s="2771" t="s">
        <v>391</v>
      </c>
      <c r="I15" s="2785" t="s">
        <v>3978</v>
      </c>
      <c r="J15" s="2773">
        <f ca="1">J18</f>
        <v>-0.06</v>
      </c>
      <c r="K15" s="4610" t="s">
        <v>3977</v>
      </c>
      <c r="L15" s="4611"/>
      <c r="M15" s="461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8.06</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0.76</v>
      </c>
      <c r="D17" s="4101" t="s">
        <v>3864</v>
      </c>
      <c r="E17" s="2796"/>
      <c r="F17" s="2841">
        <v>0.06</v>
      </c>
      <c r="G17" s="971"/>
      <c r="H17" s="2570" t="s">
        <v>3286</v>
      </c>
      <c r="I17" s="2789" t="s">
        <v>3405</v>
      </c>
      <c r="J17" s="2815">
        <f ca="1">ROUND(J22*M16+((J24+J26)*M17),2)</f>
        <v>0.54</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0.88</v>
      </c>
      <c r="D18" s="2814" t="s">
        <v>3974</v>
      </c>
      <c r="E18" s="186" t="s">
        <v>3439</v>
      </c>
      <c r="F18" s="2841">
        <f>'数据-取费表'!B44</f>
        <v>0.12000000000000001</v>
      </c>
      <c r="G18" s="971"/>
      <c r="H18" s="2570" t="s">
        <v>3287</v>
      </c>
      <c r="I18" s="2789" t="s">
        <v>3973</v>
      </c>
      <c r="J18" s="2815">
        <f ca="1">ROUND((J16-J17)*M18,2)</f>
        <v>-0.06</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10.75</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25.38</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1.64</v>
      </c>
      <c r="D20" s="207" t="s">
        <v>717</v>
      </c>
      <c r="E20" s="186" t="s">
        <v>718</v>
      </c>
      <c r="F20" s="2842">
        <f>'数据-取费表'!B53</f>
        <v>12</v>
      </c>
      <c r="G20" s="961"/>
      <c r="H20" s="3966" t="s">
        <v>667</v>
      </c>
      <c r="I20" s="953" t="s">
        <v>3980</v>
      </c>
      <c r="J20" s="2791">
        <f ca="1">ROUND(M20*M21/10000,2)</f>
        <v>1.64</v>
      </c>
      <c r="K20" s="207" t="s">
        <v>717</v>
      </c>
      <c r="L20" s="186" t="s">
        <v>718</v>
      </c>
      <c r="M20" s="2842">
        <f>'数据-取费表'!B53</f>
        <v>12</v>
      </c>
    </row>
    <row r="21" spans="1:37" s="972" customFormat="1" ht="18" customHeight="1">
      <c r="A21" s="209"/>
      <c r="B21" s="760"/>
      <c r="C21" s="2792"/>
      <c r="D21" s="210"/>
      <c r="E21" s="186" t="s">
        <v>722</v>
      </c>
      <c r="F21" s="2837">
        <f ca="1">INDIRECT("'数据-取费表'!r"&amp;$G$1)</f>
        <v>1370.73</v>
      </c>
      <c r="G21" s="971"/>
      <c r="H21" s="209"/>
      <c r="I21" s="195"/>
      <c r="J21" s="2792"/>
      <c r="K21" s="210"/>
      <c r="L21" s="186" t="s">
        <v>722</v>
      </c>
      <c r="M21" s="2837">
        <f ca="1">INDIRECT("'数据-取费表'!r"&amp;$G$1)</f>
        <v>1370.73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6.04</v>
      </c>
      <c r="D22" s="1809" t="s">
        <v>725</v>
      </c>
      <c r="E22" s="186" t="s">
        <v>698</v>
      </c>
      <c r="F22" s="2843">
        <f ca="1">INDIRECT("'数据-取费表'!Ak"&amp;$G$1)</f>
        <v>2E-3</v>
      </c>
      <c r="G22" s="971"/>
      <c r="H22" s="3979" t="s">
        <v>396</v>
      </c>
      <c r="I22" s="56" t="s">
        <v>724</v>
      </c>
      <c r="J22" s="3980">
        <f ca="1">ROUND(J35*M22,2)</f>
        <v>6.04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3022</v>
      </c>
      <c r="G23" s="971"/>
      <c r="H23" s="209"/>
      <c r="I23" s="195"/>
      <c r="J23" s="3981"/>
      <c r="K23" s="4047"/>
      <c r="L23" s="2785" t="s">
        <v>3826</v>
      </c>
      <c r="M23" s="3520">
        <f ca="1">J35</f>
        <v>3022</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2.78</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2780</v>
      </c>
      <c r="G25" s="961"/>
      <c r="H25" s="209"/>
      <c r="I25" s="195"/>
      <c r="J25" s="3981"/>
      <c r="K25" s="4047"/>
      <c r="L25" s="4046" t="s">
        <v>3827</v>
      </c>
      <c r="M25" s="3520">
        <f ca="1">J37</f>
        <v>0</v>
      </c>
    </row>
    <row r="26" spans="1:37" s="972" customFormat="1" ht="18" customHeight="1" thickBot="1">
      <c r="A26" s="748" t="s">
        <v>670</v>
      </c>
      <c r="B26" s="749" t="s">
        <v>714</v>
      </c>
      <c r="C26" s="2793">
        <f ca="1">ROUND(C5*F26,2)</f>
        <v>0.9</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67</v>
      </c>
      <c r="D27" s="4131" t="s">
        <v>3896</v>
      </c>
      <c r="E27" s="4132"/>
      <c r="F27" s="4133"/>
      <c r="G27" s="498"/>
      <c r="H27" s="738" t="s">
        <v>387</v>
      </c>
      <c r="I27" s="753" t="s">
        <v>738</v>
      </c>
      <c r="J27" s="3968">
        <f ca="1">J5-J13</f>
        <v>-33</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1059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0.01</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1154</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4784.37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2412</v>
      </c>
      <c r="D32" s="4140" t="s">
        <v>3907</v>
      </c>
      <c r="E32" s="217" t="s">
        <v>3908</v>
      </c>
      <c r="F32" s="2845">
        <f ca="1">INDIRECT("'数据-取费表'!k"&amp;$G$1)</f>
        <v>4784.37</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0.25555555555555554</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2680</v>
      </c>
      <c r="D35" s="4043" t="s">
        <v>3415</v>
      </c>
      <c r="E35" s="1020"/>
      <c r="F35" s="3383"/>
      <c r="G35" s="961"/>
      <c r="H35" s="4044" t="s">
        <v>433</v>
      </c>
      <c r="I35" s="4045" t="s">
        <v>3448</v>
      </c>
      <c r="J35" s="2774">
        <f ca="1">C51</f>
        <v>3022</v>
      </c>
      <c r="K35" s="2813" t="s">
        <v>3444</v>
      </c>
      <c r="L35" s="55"/>
      <c r="M35" s="2751"/>
    </row>
    <row r="36" spans="1:37" ht="18" customHeight="1">
      <c r="A36" s="2771" t="s">
        <v>391</v>
      </c>
      <c r="B36" s="2736" t="s">
        <v>693</v>
      </c>
      <c r="C36" s="2676">
        <f ca="1">INDIRECT("'数据-取费表'!m"&amp;$G$1)+INDIRECT("'数据-取费表'!t"&amp;$G$1)</f>
        <v>2392</v>
      </c>
      <c r="D36" s="925" t="s">
        <v>694</v>
      </c>
      <c r="E36" s="925"/>
      <c r="F36" s="215"/>
      <c r="G36" s="961"/>
      <c r="H36" s="2821" t="s">
        <v>396</v>
      </c>
      <c r="I36" s="2826" t="s">
        <v>3435</v>
      </c>
      <c r="J36" s="2721">
        <f ca="1">ROUND(J35*(1-M36),0)</f>
        <v>3022</v>
      </c>
      <c r="K36" s="186" t="s">
        <v>3438</v>
      </c>
      <c r="L36" s="2787" t="s">
        <v>3451</v>
      </c>
      <c r="M36" s="2843">
        <f ca="1">INDIRECT("'数据-取费表'!ad"&amp;$G$1)</f>
        <v>0</v>
      </c>
    </row>
    <row r="37" spans="1:37" ht="18" customHeight="1" thickBot="1">
      <c r="A37" s="2771" t="s">
        <v>393</v>
      </c>
      <c r="B37" s="2789" t="s">
        <v>3820</v>
      </c>
      <c r="C37" s="2774">
        <f ca="1">ROUND(C36*F37,0)</f>
        <v>120</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144</v>
      </c>
      <c r="D39" s="186" t="s">
        <v>703</v>
      </c>
      <c r="E39" s="186" t="s">
        <v>3821</v>
      </c>
      <c r="F39" s="2842">
        <f>'数据-取费表'!B35</f>
        <v>300</v>
      </c>
      <c r="G39" s="961"/>
    </row>
    <row r="40" spans="1:37" ht="18" customHeight="1">
      <c r="A40" s="2771" t="s">
        <v>669</v>
      </c>
      <c r="B40" s="2789" t="s">
        <v>3289</v>
      </c>
      <c r="C40" s="2774">
        <f ca="1">ROUND(C36*F40,0)</f>
        <v>24</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54</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86+0.0006V建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137+0.001V建</v>
      </c>
      <c r="D47" s="2755" t="s">
        <v>3432</v>
      </c>
      <c r="E47" s="200"/>
      <c r="F47" s="2842"/>
      <c r="G47" s="961"/>
      <c r="H47" s="47"/>
      <c r="I47" s="47"/>
      <c r="J47" s="47"/>
      <c r="K47" s="1894"/>
      <c r="L47" s="47"/>
      <c r="M47" s="47"/>
    </row>
    <row r="48" spans="1:37" ht="18" customHeight="1">
      <c r="A48" s="2771" t="s">
        <v>391</v>
      </c>
      <c r="B48" s="186" t="s">
        <v>740</v>
      </c>
      <c r="C48" s="2774">
        <f ca="1">ROUND((C35+C42)*F48,0)</f>
        <v>137</v>
      </c>
      <c r="D48" s="206" t="s">
        <v>741</v>
      </c>
      <c r="E48" s="186" t="s">
        <v>742</v>
      </c>
      <c r="F48" s="2843">
        <f ca="1">INDIRECT("'数据-取费表'!q"&amp;$G$1)</f>
        <v>0.05</v>
      </c>
      <c r="G48" s="961"/>
      <c r="H48" s="47"/>
      <c r="I48" s="47"/>
      <c r="J48" s="47"/>
      <c r="K48" s="1894"/>
      <c r="L48" s="47"/>
      <c r="M48" s="47"/>
    </row>
    <row r="49" spans="1:18" ht="18" customHeight="1">
      <c r="A49" s="2771" t="s">
        <v>393</v>
      </c>
      <c r="B49" s="186" t="s">
        <v>746</v>
      </c>
      <c r="C49" s="3524">
        <f ca="1">ROUND(F43*F48,4)</f>
        <v>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3022</v>
      </c>
      <c r="D51" s="2813" t="s">
        <v>3444</v>
      </c>
      <c r="E51" s="2799"/>
      <c r="F51" s="2843"/>
      <c r="K51" s="977"/>
    </row>
    <row r="52" spans="1:18" s="961" customFormat="1" ht="18" customHeight="1">
      <c r="A52" s="2803" t="s">
        <v>3433</v>
      </c>
      <c r="B52" s="2802" t="s">
        <v>3435</v>
      </c>
      <c r="C52" s="2817">
        <f ca="1">ROUND(C51*(1-F52),0)</f>
        <v>242</v>
      </c>
      <c r="D52" s="2799" t="s">
        <v>3889</v>
      </c>
      <c r="E52" s="2799" t="s">
        <v>3890</v>
      </c>
      <c r="F52" s="2843">
        <f ca="1">INDIRECT("'数据-取费表'!y"&amp;$G$1)</f>
        <v>0.92</v>
      </c>
      <c r="K52" s="977"/>
    </row>
    <row r="53" spans="1:18" s="961" customFormat="1" ht="18" customHeight="1" thickBot="1">
      <c r="A53" s="2804" t="s">
        <v>3436</v>
      </c>
      <c r="B53" s="2812" t="s">
        <v>3442</v>
      </c>
      <c r="C53" s="2828">
        <f ca="1">C51-C52</f>
        <v>2780</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8" thickBot="1">
      <c r="A55" s="979" t="s">
        <v>795</v>
      </c>
      <c r="C55" s="3998">
        <f ca="1">IF(D2="含税",C83-C31,C80-C28)</f>
        <v>-1347</v>
      </c>
      <c r="D55" s="981" t="str">
        <f>C2</f>
        <v>万元</v>
      </c>
      <c r="E55" s="975"/>
      <c r="F55" s="975"/>
      <c r="I55" s="982" t="s">
        <v>796</v>
      </c>
      <c r="J55" s="983"/>
      <c r="K55" s="984"/>
      <c r="L55" s="4018">
        <f ca="1">IF(M56="住宅",0,IF(L57&gt;J60,L69,J69))</f>
        <v>170</v>
      </c>
      <c r="O55" s="4159" t="s">
        <v>1327</v>
      </c>
      <c r="P55" s="4160" t="s">
        <v>3914</v>
      </c>
      <c r="Q55" s="4161" t="s">
        <v>3915</v>
      </c>
      <c r="R55" s="4161" t="s">
        <v>3916</v>
      </c>
    </row>
    <row r="56" spans="1:18" s="961" customFormat="1" ht="13.8"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1059</v>
      </c>
      <c r="R56" s="4164" t="s">
        <v>3918</v>
      </c>
    </row>
    <row r="57" spans="1:18" s="961" customFormat="1" ht="40.200000000000003"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28.51</v>
      </c>
      <c r="O57" s="4162" t="s">
        <v>398</v>
      </c>
      <c r="P57" s="4163" t="s">
        <v>3919</v>
      </c>
      <c r="Q57" s="4165">
        <f ca="1">J69</f>
        <v>170</v>
      </c>
      <c r="R57" s="4164" t="s">
        <v>3920</v>
      </c>
    </row>
    <row r="58" spans="1:18" s="961" customFormat="1" ht="16.2"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3022</v>
      </c>
      <c r="R58" s="995" t="s">
        <v>804</v>
      </c>
    </row>
    <row r="59" spans="1:18" s="961" customFormat="1" ht="13.8" thickBot="1">
      <c r="A59" s="3991" t="s">
        <v>391</v>
      </c>
      <c r="B59" s="4621" t="s">
        <v>3799</v>
      </c>
      <c r="C59" s="4622">
        <f ca="1">ROUND(F58*F60*F59/10000,2)</f>
        <v>0</v>
      </c>
      <c r="D59" s="4614" t="s">
        <v>3474</v>
      </c>
      <c r="E59" s="716" t="s">
        <v>683</v>
      </c>
      <c r="F59" s="3526">
        <f ca="1">F7</f>
        <v>4784.37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8" thickBot="1">
      <c r="A60" s="3992"/>
      <c r="B60" s="4621"/>
      <c r="C60" s="4623"/>
      <c r="D60" s="4614"/>
      <c r="E60" s="675" t="s">
        <v>684</v>
      </c>
      <c r="F60" s="3520">
        <f ca="1">F8</f>
        <v>365</v>
      </c>
      <c r="I60" s="1006" t="s">
        <v>815</v>
      </c>
      <c r="J60" s="4008">
        <f>IF(J58="",J59,J58+J59-YEAR('数据-取费表'!B2))</f>
        <v>55</v>
      </c>
      <c r="K60" s="1007" t="s">
        <v>816</v>
      </c>
      <c r="L60" s="3996">
        <f ca="1">ROUND(-PV(INDIRECT("'数据-取费表'!h"&amp;$G$1),J60,(C27-C52*C88),0),0)</f>
        <v>933</v>
      </c>
      <c r="M60" s="1009"/>
      <c r="O60" s="1002" t="s">
        <v>401</v>
      </c>
      <c r="P60" s="994" t="s">
        <v>817</v>
      </c>
      <c r="Q60" s="3539">
        <f>J61</f>
        <v>7.4999999999999997E-2</v>
      </c>
      <c r="R60" s="995"/>
    </row>
    <row r="61" spans="1:18" s="961" customFormat="1" ht="13.8"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36.6"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18" t="s">
        <v>823</v>
      </c>
      <c r="L62" s="4619"/>
      <c r="O62" s="4162" t="s">
        <v>403</v>
      </c>
      <c r="P62" s="4166" t="s">
        <v>3924</v>
      </c>
      <c r="Q62" s="4165">
        <f ca="1">ROUND((Q56+Q57)*(1+F31),0)</f>
        <v>1340</v>
      </c>
      <c r="R62" s="4164" t="s">
        <v>3925</v>
      </c>
    </row>
    <row r="63" spans="1:18" s="961" customFormat="1" ht="13.8"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431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37.200000000000003" thickTop="1" thickBot="1">
      <c r="A65" s="199" t="s">
        <v>3682</v>
      </c>
      <c r="B65" s="652" t="s">
        <v>700</v>
      </c>
      <c r="C65" s="2817">
        <f ca="1">ROUND(C66+C74+C76+C78,0)</f>
        <v>10</v>
      </c>
      <c r="D65" s="4149" t="s">
        <v>3912</v>
      </c>
      <c r="E65" s="655"/>
      <c r="F65" s="656"/>
      <c r="I65" s="1022" t="s">
        <v>828</v>
      </c>
      <c r="J65" s="4013" t="s">
        <v>4157</v>
      </c>
      <c r="K65" s="996" t="s">
        <v>829</v>
      </c>
      <c r="L65" s="4008" t="str">
        <f ca="1">IF(L57&lt;J60,"——",L57-J62)</f>
        <v>——</v>
      </c>
      <c r="O65" s="4162" t="s">
        <v>397</v>
      </c>
      <c r="P65" s="4163" t="s">
        <v>3917</v>
      </c>
      <c r="Q65" s="4165">
        <f ca="1">C28+J31</f>
        <v>1059</v>
      </c>
      <c r="R65" s="4164" t="s">
        <v>3918</v>
      </c>
    </row>
    <row r="66" spans="1:18" s="961" customFormat="1" ht="24.6" thickBot="1">
      <c r="A66" s="537" t="s">
        <v>392</v>
      </c>
      <c r="B66" s="2766" t="s">
        <v>3982</v>
      </c>
      <c r="C66" s="2773">
        <f ca="1">ROUND(IF(AND(项目基本情况!B11="自然人",项目基本情况!B10="北京市",M56="住宅"),C58*F66,C67+C71+C72),2)</f>
        <v>1.55</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6" thickBot="1">
      <c r="A67" s="3966" t="s">
        <v>391</v>
      </c>
      <c r="B67" s="2785" t="s">
        <v>3978</v>
      </c>
      <c r="C67" s="2773">
        <f ca="1">C70</f>
        <v>-0.09</v>
      </c>
      <c r="D67" s="4610" t="s">
        <v>3977</v>
      </c>
      <c r="E67" s="4611"/>
      <c r="F67" s="4611"/>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3285</v>
      </c>
      <c r="B68" s="2789" t="s">
        <v>3404</v>
      </c>
      <c r="C68" s="2773">
        <f ca="1">ROUND(C58*F68,2)</f>
        <v>0</v>
      </c>
      <c r="D68" s="1020" t="s">
        <v>3863</v>
      </c>
      <c r="E68" s="2795" t="s">
        <v>3406</v>
      </c>
      <c r="F68" s="2841">
        <f>F16</f>
        <v>0.09</v>
      </c>
      <c r="I68" s="1028" t="s">
        <v>836</v>
      </c>
      <c r="J68" s="4016">
        <f ca="1">IF(OR(M56="住宅",J60&lt;L57,J65="是"),"——",ROUND(C51*J67,0))</f>
        <v>1336</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3286</v>
      </c>
      <c r="B69" s="2789" t="s">
        <v>3405</v>
      </c>
      <c r="C69" s="2773">
        <f ca="1">ROUND(C74*F68+((C76+C78)*F69),2)</f>
        <v>0.71</v>
      </c>
      <c r="D69" s="4101" t="s">
        <v>3864</v>
      </c>
      <c r="E69" s="2796"/>
      <c r="F69" s="2841">
        <f t="shared" ref="F69" si="0">F17</f>
        <v>0.06</v>
      </c>
      <c r="I69" s="1031" t="s">
        <v>838</v>
      </c>
      <c r="J69" s="4017">
        <f ca="1">IF(OR(M56="住宅",J60&lt;L57,J65="是"),"0",ROUND(J68/(1+J61)^J62,0))</f>
        <v>170</v>
      </c>
      <c r="K69" s="1033" t="s">
        <v>839</v>
      </c>
      <c r="L69" s="4017">
        <f ca="1">IF(OR(M56="住宅",L57&lt;J60),0,ROUND(L66*(L67/L68-1),0))</f>
        <v>0</v>
      </c>
      <c r="O69" s="1002" t="s">
        <v>401</v>
      </c>
      <c r="P69" s="994" t="s">
        <v>840</v>
      </c>
      <c r="Q69" s="3541" t="e">
        <f ca="1">L67</f>
        <v>#DIV/0!</v>
      </c>
      <c r="R69" s="995" t="s">
        <v>841</v>
      </c>
    </row>
    <row r="70" spans="1:18" s="961" customFormat="1" ht="13.8" thickBot="1">
      <c r="A70" s="2570" t="s">
        <v>3287</v>
      </c>
      <c r="B70" s="2789" t="s">
        <v>3973</v>
      </c>
      <c r="C70" s="2773">
        <f ca="1">ROUND((C68-C69)*F70,2)</f>
        <v>-0.09</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8"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1154</v>
      </c>
      <c r="R71" s="4164" t="s">
        <v>3925</v>
      </c>
    </row>
    <row r="72" spans="1:18" s="961" customFormat="1" ht="13.8" thickBot="1">
      <c r="A72" s="3966" t="s">
        <v>770</v>
      </c>
      <c r="B72" s="4211" t="s">
        <v>3980</v>
      </c>
      <c r="C72" s="2791">
        <f ca="1">IF(项目基本情况!B11="自然人","——",ROUND(F72*F73/10000,2))</f>
        <v>1.64</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722</v>
      </c>
      <c r="F73" s="3133">
        <f t="shared" ca="1" si="1"/>
        <v>1370.73</v>
      </c>
      <c r="I73" s="1035" t="s">
        <v>851</v>
      </c>
      <c r="J73" s="223">
        <v>50</v>
      </c>
      <c r="K73" s="223">
        <v>35</v>
      </c>
      <c r="L73" s="223">
        <v>60</v>
      </c>
      <c r="M73" s="1037">
        <v>0</v>
      </c>
      <c r="O73" s="986" t="s">
        <v>797</v>
      </c>
      <c r="P73" s="987" t="s">
        <v>798</v>
      </c>
      <c r="Q73" s="988" t="s">
        <v>799</v>
      </c>
      <c r="R73" s="988" t="s">
        <v>800</v>
      </c>
    </row>
    <row r="74" spans="1:18" s="961" customFormat="1" ht="13.8" thickBot="1">
      <c r="A74" s="3988" t="s">
        <v>396</v>
      </c>
      <c r="B74" s="643" t="s">
        <v>724</v>
      </c>
      <c r="C74" s="3980">
        <f ca="1">ROUND(F74*F75,2)</f>
        <v>6.04</v>
      </c>
      <c r="D74" s="3982" t="s">
        <v>725</v>
      </c>
      <c r="E74" s="3995" t="s">
        <v>3806</v>
      </c>
      <c r="F74" s="3996">
        <f ca="1">C51</f>
        <v>3022</v>
      </c>
      <c r="I74" s="1035" t="s">
        <v>852</v>
      </c>
      <c r="J74" s="223">
        <v>40</v>
      </c>
      <c r="K74" s="223">
        <v>30</v>
      </c>
      <c r="L74" s="223">
        <v>50</v>
      </c>
      <c r="M74" s="1038">
        <v>0.02</v>
      </c>
      <c r="O74" s="4162" t="s">
        <v>397</v>
      </c>
      <c r="P74" s="4163" t="s">
        <v>3917</v>
      </c>
      <c r="Q74" s="4165">
        <f ca="1">C28+J31</f>
        <v>1059</v>
      </c>
      <c r="R74" s="4164" t="s">
        <v>3918</v>
      </c>
    </row>
    <row r="75" spans="1:18" s="961" customFormat="1" ht="16.2" thickBot="1">
      <c r="A75" s="3989"/>
      <c r="B75" s="650"/>
      <c r="C75" s="3981"/>
      <c r="D75" s="3983"/>
      <c r="E75" s="644" t="s">
        <v>698</v>
      </c>
      <c r="F75" s="2843">
        <f ca="1">F22</f>
        <v>2E-3</v>
      </c>
      <c r="O75" s="4162" t="s">
        <v>398</v>
      </c>
      <c r="P75" s="4163" t="s">
        <v>3921</v>
      </c>
      <c r="Q75" s="4167">
        <f ca="1">L69</f>
        <v>0</v>
      </c>
      <c r="R75" s="4164" t="s">
        <v>3923</v>
      </c>
    </row>
    <row r="76" spans="1:18" s="961" customFormat="1" ht="13.8" thickBot="1">
      <c r="A76" s="3988" t="s">
        <v>778</v>
      </c>
      <c r="B76" s="643" t="s">
        <v>728</v>
      </c>
      <c r="C76" s="3980">
        <f ca="1">ROUND(F76*F77,2)</f>
        <v>2.78</v>
      </c>
      <c r="D76" s="3982" t="s">
        <v>3443</v>
      </c>
      <c r="E76" s="3995" t="s">
        <v>3442</v>
      </c>
      <c r="F76" s="3997">
        <f ca="1">C53</f>
        <v>2780</v>
      </c>
      <c r="O76" s="993"/>
      <c r="P76" s="994"/>
      <c r="Q76" s="3538"/>
      <c r="R76" s="995"/>
    </row>
    <row r="77" spans="1:18" s="961" customFormat="1" ht="17.399999999999999" thickBot="1">
      <c r="A77" s="3990"/>
      <c r="B77" s="650"/>
      <c r="C77" s="3981"/>
      <c r="D77" s="3983"/>
      <c r="E77" s="644" t="s">
        <v>698</v>
      </c>
      <c r="F77" s="2843">
        <f ca="1">F24</f>
        <v>1E-3</v>
      </c>
      <c r="O77" s="1002" t="s">
        <v>399</v>
      </c>
      <c r="P77" s="994" t="s">
        <v>835</v>
      </c>
      <c r="Q77" s="3542">
        <f ca="1">L60</f>
        <v>933</v>
      </c>
      <c r="R77" s="995" t="s">
        <v>855</v>
      </c>
    </row>
    <row r="78" spans="1:18" s="961" customFormat="1" ht="13.8" thickBot="1">
      <c r="A78" s="3990" t="s">
        <v>779</v>
      </c>
      <c r="B78" s="644" t="s">
        <v>714</v>
      </c>
      <c r="C78" s="2773">
        <f ca="1">ROUND(C57*F78,2)</f>
        <v>0</v>
      </c>
      <c r="D78" s="658" t="s">
        <v>3870</v>
      </c>
      <c r="E78" s="644" t="s">
        <v>698</v>
      </c>
      <c r="F78" s="2843">
        <f ca="1">F26</f>
        <v>0.01</v>
      </c>
      <c r="O78" s="1002"/>
      <c r="P78" s="994"/>
      <c r="Q78" s="3542"/>
      <c r="R78" s="995"/>
    </row>
    <row r="79" spans="1:18" s="961" customFormat="1" ht="24.6" thickBot="1">
      <c r="A79" s="651" t="s">
        <v>387</v>
      </c>
      <c r="B79" s="661" t="s">
        <v>738</v>
      </c>
      <c r="C79" s="2817">
        <f ca="1">C57-C65</f>
        <v>-10</v>
      </c>
      <c r="D79" s="4150" t="s">
        <v>3896</v>
      </c>
      <c r="E79" s="4151"/>
      <c r="F79" s="4152"/>
      <c r="O79" s="1002" t="s">
        <v>400</v>
      </c>
      <c r="P79" s="1040" t="s">
        <v>856</v>
      </c>
      <c r="Q79" s="3542">
        <f ca="1">ROUND(Q80-Q81*Q82,0)</f>
        <v>50</v>
      </c>
      <c r="R79" s="995" t="s">
        <v>408</v>
      </c>
    </row>
    <row r="80" spans="1:18" s="961" customFormat="1" ht="13.8" thickBot="1">
      <c r="A80" s="3307" t="s">
        <v>388</v>
      </c>
      <c r="B80" s="642" t="s">
        <v>760</v>
      </c>
      <c r="C80" s="3965">
        <f ca="1">ROUND(C79*(1-((1+F82)/(1+F80))^F81)/(F80-F82),0)</f>
        <v>-177</v>
      </c>
      <c r="D80" s="4153" t="s">
        <v>3898</v>
      </c>
      <c r="E80" s="652" t="s">
        <v>3899</v>
      </c>
      <c r="F80" s="2843">
        <f ca="1">F28</f>
        <v>5.5E-2</v>
      </c>
      <c r="O80" s="1002" t="s">
        <v>405</v>
      </c>
      <c r="P80" s="1040" t="s">
        <v>857</v>
      </c>
      <c r="Q80" s="3542">
        <f ca="1">C27</f>
        <v>67</v>
      </c>
      <c r="R80" s="995" t="s">
        <v>804</v>
      </c>
    </row>
    <row r="81" spans="1:18" s="961" customFormat="1" ht="13.8" thickBot="1">
      <c r="A81" s="3308"/>
      <c r="B81" s="646"/>
      <c r="C81" s="3517"/>
      <c r="D81" s="4154" t="s">
        <v>3903</v>
      </c>
      <c r="E81" s="652" t="s">
        <v>3902</v>
      </c>
      <c r="F81" s="2844">
        <f ca="1">F29</f>
        <v>28.51</v>
      </c>
      <c r="O81" s="1002" t="s">
        <v>406</v>
      </c>
      <c r="P81" s="1040" t="s">
        <v>858</v>
      </c>
      <c r="Q81" s="3542">
        <f ca="1">C52</f>
        <v>242</v>
      </c>
      <c r="R81" s="995" t="s">
        <v>804</v>
      </c>
    </row>
    <row r="82" spans="1:18" s="961" customFormat="1" ht="13.8" thickBot="1">
      <c r="A82" s="3309"/>
      <c r="B82" s="2860"/>
      <c r="C82" s="2860"/>
      <c r="D82" s="4155"/>
      <c r="E82" s="652" t="s">
        <v>3904</v>
      </c>
      <c r="F82" s="2838">
        <v>0.02</v>
      </c>
      <c r="O82" s="1002" t="s">
        <v>407</v>
      </c>
      <c r="P82" s="1040" t="s">
        <v>859</v>
      </c>
      <c r="Q82" s="3539">
        <f ca="1">C88</f>
        <v>7.0000000000000007E-2</v>
      </c>
      <c r="R82" s="995"/>
    </row>
    <row r="83" spans="1:18" s="961" customFormat="1" ht="13.8" thickBot="1">
      <c r="A83" s="648" t="s">
        <v>389</v>
      </c>
      <c r="B83" s="2816" t="s">
        <v>3447</v>
      </c>
      <c r="C83" s="3968">
        <f ca="1">ROUND(C80*(1+F31),0)</f>
        <v>-193</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-403</v>
      </c>
      <c r="D84" s="4158" t="s">
        <v>3907</v>
      </c>
      <c r="E84" s="666" t="s">
        <v>3908</v>
      </c>
      <c r="F84" s="2845">
        <f ca="1">F32</f>
        <v>4784.37</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建筑物剩余耐用年限下的土地年期修正系数Kn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3924</v>
      </c>
      <c r="Q86" s="4165">
        <f ca="1">ROUND((Q74+Q75)*(1+F31),0)</f>
        <v>1154</v>
      </c>
      <c r="R86" s="4164" t="s">
        <v>3925</v>
      </c>
    </row>
    <row r="87" spans="1:18">
      <c r="A87" s="961"/>
      <c r="B87" s="222" t="s">
        <v>781</v>
      </c>
      <c r="C87" s="2908">
        <f ca="1">ROUND(C53*C88,0)</f>
        <v>195</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-1.9100000000000001</v>
      </c>
    </row>
    <row r="92" spans="1:18">
      <c r="B92" s="222" t="s">
        <v>786</v>
      </c>
      <c r="C92" s="2909">
        <f ca="1">ROUND(C87/C27,3)</f>
        <v>2.91</v>
      </c>
    </row>
    <row r="93" spans="1:18">
      <c r="B93" s="165" t="s">
        <v>787</v>
      </c>
      <c r="C93" s="133"/>
    </row>
    <row r="94" spans="1:18">
      <c r="B94" s="168" t="s">
        <v>788</v>
      </c>
      <c r="C94" s="2910">
        <f ca="1">1-C95</f>
        <v>-1.262</v>
      </c>
    </row>
    <row r="95" spans="1:18">
      <c r="B95" s="168" t="s">
        <v>789</v>
      </c>
      <c r="C95" s="2909">
        <f ca="1">ROUND(C53/(C28+J31+L55),3)</f>
        <v>2.262</v>
      </c>
    </row>
  </sheetData>
  <sheetProtection password="CEE9" sheet="1" objects="1" scenarios="1"/>
  <mergeCells count="15">
    <mergeCell ref="K62:L62"/>
    <mergeCell ref="D67:F67"/>
    <mergeCell ref="J7:J8"/>
    <mergeCell ref="K7:K8"/>
    <mergeCell ref="D15:F15"/>
    <mergeCell ref="K15:M15"/>
    <mergeCell ref="H7:H8"/>
    <mergeCell ref="I7:I8"/>
    <mergeCell ref="B59:B60"/>
    <mergeCell ref="C59:C60"/>
    <mergeCell ref="D59:D60"/>
    <mergeCell ref="A7:A8"/>
    <mergeCell ref="B7:B8"/>
    <mergeCell ref="C7:C8"/>
    <mergeCell ref="D7:D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K19" xr:uid="{D5BFB994-6612-4A6C-B755-D7FF96966BCF}">
      <formula1>"按不含税租金收入（有效毛租金收入）计税,按房产原值计税"</formula1>
    </dataValidation>
    <dataValidation type="list" allowBlank="1" showInputMessage="1" showErrorMessage="1" sqref="D71 D19" xr:uid="{E80FB8A3-872B-44B4-87CD-A8D49DF3B81A}">
      <formula1>"按不含税租金收入（有效毛租金收入）计税,按房产原值计税,按票据"</formula1>
    </dataValidation>
    <dataValidation type="list" allowBlank="1" showInputMessage="1" showErrorMessage="1" sqref="C1" xr:uid="{CFC0373F-D543-4504-AB3F-11F3C883D27A}">
      <formula1>项目类型</formula1>
    </dataValidation>
    <dataValidation type="list" allowBlank="1" showInputMessage="1" showErrorMessage="1" sqref="J56" xr:uid="{592A4E79-FCAC-455B-BE01-484CEC0F7640}">
      <formula1>"钢,钢混,砖混"</formula1>
    </dataValidation>
    <dataValidation type="list" allowBlank="1" showInputMessage="1" showErrorMessage="1" sqref="J57" xr:uid="{E999B774-747C-4A75-84C1-876515D4C051}">
      <formula1>"非生产用房,生产用房,受腐蚀的生产用房"</formula1>
    </dataValidation>
    <dataValidation type="list" allowBlank="1" showInputMessage="1" showErrorMessage="1" sqref="J65" xr:uid="{01B31F23-8DE8-4F36-BDE2-C51D990C925F}">
      <formula1>估价范围判定</formula1>
    </dataValidation>
    <dataValidation type="list" allowBlank="1" showInputMessage="1" showErrorMessage="1" sqref="L64" xr:uid="{BEF0401E-FE40-49BA-8BFC-98AFFB3E76BD}">
      <formula1>"比较法,基准地价,收益还原"</formula1>
    </dataValidation>
    <dataValidation type="list" allowBlank="1" showInputMessage="1" showErrorMessage="1" sqref="M10 F10 F62" xr:uid="{382691CA-5F80-4542-976A-848A30113ED6}">
      <formula1>"押一,押二,押三,自定义"</formula1>
    </dataValidation>
    <dataValidation type="list" allowBlank="1" showInputMessage="1" showErrorMessage="1" sqref="D1" xr:uid="{C26B7369-A33F-4393-813D-7602FB620EB6}">
      <formula1>"在建（套用方法）,土地（套用方法）,——"</formula1>
    </dataValidation>
    <dataValidation type="list" allowBlank="1" showInputMessage="1" showErrorMessage="1" sqref="D2" xr:uid="{2046C15A-5E36-40EB-8090-947453C808AB}">
      <formula1>"含税,不含税"</formula1>
    </dataValidation>
    <dataValidation type="list" allowBlank="1" showInputMessage="1" showErrorMessage="1" sqref="D31" xr:uid="{BE189981-412B-400F-B656-C88233EE343C}">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49" t="s">
        <v>883</v>
      </c>
    </row>
    <row r="3" spans="1:1" ht="17.399999999999999">
      <c r="A3" s="1050" t="str">
        <f>项目基本情况!B5&amp;"："</f>
        <v>：</v>
      </c>
    </row>
    <row r="4" spans="1:1" ht="17.399999999999999">
      <c r="A4" s="1051" t="str">
        <f>"受贵公司委托，我公司对"&amp;项目基本情况!S1&amp;"进行了预评估。"</f>
        <v>受贵公司委托，我公司对北京市房地产抵押价值进行了预评估。</v>
      </c>
    </row>
    <row r="5" spans="1:1" ht="17.399999999999999">
      <c r="A5" s="1052" t="s">
        <v>884</v>
      </c>
    </row>
    <row r="6" spans="1:1" ht="17.399999999999999">
      <c r="A6" s="1053" t="s">
        <v>885</v>
      </c>
    </row>
    <row r="7" spans="1:1" ht="52.2">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估价对象为北京市房地产，为所有。根据《国有土地使用证》[]，估价对象（分摊）出让国有建设用地使用权面积为16447.62平方米，建筑面积为57408.26平方米。</v>
      </c>
    </row>
    <row r="8" spans="1:1" ht="54.6">
      <c r="A8" s="1054" t="s">
        <v>886</v>
      </c>
    </row>
    <row r="9" spans="1:1" ht="17.399999999999999">
      <c r="A9" s="1053" t="s">
        <v>887</v>
      </c>
    </row>
    <row r="10" spans="1:1" ht="52.2">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估价对象为北京市房地产,为开发建设的，该项目尚在开发建设中。根据《国有土地使用证》[]，估价对象（分摊）出让国有建设用地使用权面积为16447.62平方米，规划建筑面积为57408.26平方米。</v>
      </c>
    </row>
    <row r="11" spans="1:1" ht="72">
      <c r="A11" s="1054" t="s">
        <v>888</v>
      </c>
    </row>
    <row r="12" spans="1:1" ht="17.399999999999999">
      <c r="A12" s="1052" t="s">
        <v>889</v>
      </c>
    </row>
    <row r="13" spans="1:1" ht="38.25" customHeight="1">
      <c r="A13" s="10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0" t="s">
        <v>890</v>
      </c>
    </row>
    <row r="15" spans="1:1" ht="17.399999999999999">
      <c r="A15" s="1055" t="str">
        <f>TEXT(项目基本情况!D3,"yyyy年m月d日;;")&amp;IF(项目基本情况!D3=项目基本情况!B3,"（评估专业人员实地查勘之日）","")</f>
        <v>2026年1月27日（评估专业人员实地查勘之日）</v>
      </c>
    </row>
    <row r="16" spans="1:1" ht="17.399999999999999">
      <c r="A16" s="1050" t="s">
        <v>891</v>
      </c>
    </row>
    <row r="17" spans="1:1" ht="69.599999999999994">
      <c r="A17" s="1051" t="s">
        <v>892</v>
      </c>
    </row>
    <row r="18" spans="1:1" ht="69.59999999999999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051" t="str">
        <f>IF(项目基本情况!B9="房地产市场价值","——",IF(项目基本情况!E9="——","",定义!C57))</f>
        <v/>
      </c>
    </row>
    <row r="23" spans="1:1" ht="17.399999999999999">
      <c r="A23" s="1050" t="s">
        <v>881</v>
      </c>
    </row>
    <row r="24" spans="1:1" ht="17.399999999999999">
      <c r="A24" s="1056" t="str">
        <f>"本次评估采用的主估价方法为"&amp;结果表!K4&amp;"和"&amp;结果表!L4&amp;"。"</f>
        <v>本次评估采用的主估价方法为比较法和收益法。</v>
      </c>
    </row>
    <row r="25" spans="1:1" ht="17.399999999999999">
      <c r="A25" s="1056"/>
    </row>
    <row r="26" spans="1:1" ht="17.399999999999999">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F46" zoomScaleNormal="100" zoomScaleSheetLayoutView="100" workbookViewId="0">
      <selection activeCell="J65" sqref="J6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3535"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4011</v>
      </c>
      <c r="D1" s="940" t="s">
        <v>41</v>
      </c>
      <c r="E1" s="941" t="s">
        <v>665</v>
      </c>
      <c r="F1" s="722">
        <f ca="1">J62</f>
        <v>28.51</v>
      </c>
      <c r="G1" s="955">
        <f>MATCH(C1,'数据-取费表'!A6:A16,0)+5</f>
        <v>8</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f ca="1">ROUND(D3/10000,4)</f>
        <v>52.482799999999997</v>
      </c>
      <c r="C2" s="958" t="s">
        <v>791</v>
      </c>
      <c r="D2" s="3429" t="s">
        <v>3994</v>
      </c>
      <c r="E2" s="963"/>
      <c r="F2" s="964"/>
      <c r="G2" s="1999"/>
      <c r="H2" s="1989"/>
      <c r="I2" s="1989"/>
      <c r="J2" s="1989"/>
      <c r="K2" s="1990"/>
      <c r="L2" s="1989"/>
      <c r="M2" s="1989"/>
    </row>
    <row r="3" spans="1:37" ht="18" customHeight="1" thickBot="1">
      <c r="A3" s="965" t="s">
        <v>792</v>
      </c>
      <c r="B3" s="966">
        <f ca="1">IF(ISERROR(D3/F32),0,ROUND(D3/F32,0))</f>
        <v>2689</v>
      </c>
      <c r="C3" s="958" t="s">
        <v>793</v>
      </c>
      <c r="D3" s="958">
        <f ca="1">IF(D2="含税",ROUND((C28+J31+L55)*(1+F31),0),C28+J31+L55)</f>
        <v>524828</v>
      </c>
      <c r="E3" s="963"/>
      <c r="F3" s="964"/>
      <c r="G3" s="1999"/>
      <c r="H3" s="467" t="s">
        <v>861</v>
      </c>
      <c r="I3" s="959"/>
      <c r="J3" s="959"/>
      <c r="K3" s="960"/>
      <c r="L3" s="959"/>
      <c r="M3" s="959"/>
    </row>
    <row r="4" spans="1:37" s="4189" customFormat="1" ht="18" customHeight="1">
      <c r="A4" s="2797" t="s">
        <v>3885</v>
      </c>
      <c r="B4" s="2798" t="s">
        <v>3886</v>
      </c>
      <c r="C4" s="3684" t="s">
        <v>3963</v>
      </c>
      <c r="D4" s="2798" t="s">
        <v>3887</v>
      </c>
      <c r="E4" s="4121" t="s">
        <v>3888</v>
      </c>
      <c r="F4" s="4188"/>
      <c r="G4" s="4177"/>
      <c r="H4" s="2797" t="s">
        <v>3885</v>
      </c>
      <c r="I4" s="2798" t="s">
        <v>3886</v>
      </c>
      <c r="J4" s="3684" t="s">
        <v>3964</v>
      </c>
      <c r="K4" s="2798" t="s">
        <v>3887</v>
      </c>
      <c r="L4" s="4190" t="s">
        <v>3888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3402</v>
      </c>
      <c r="C5" s="3517">
        <f ca="1">C6+C10+C12</f>
        <v>32098</v>
      </c>
      <c r="D5" s="4124" t="s">
        <v>3891</v>
      </c>
      <c r="E5" s="4125"/>
      <c r="F5" s="4126"/>
      <c r="G5" s="4123"/>
      <c r="H5" s="183">
        <v>1</v>
      </c>
      <c r="I5" s="184" t="s">
        <v>3928</v>
      </c>
      <c r="J5" s="3517">
        <f ca="1">J6+J10+J12</f>
        <v>0</v>
      </c>
      <c r="K5" s="4124" t="s">
        <v>3891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3801</v>
      </c>
      <c r="C6" s="3529">
        <f ca="1">C7-C9</f>
        <v>32058</v>
      </c>
      <c r="D6" s="4043" t="s">
        <v>3805</v>
      </c>
      <c r="E6" s="2802" t="s">
        <v>3929</v>
      </c>
      <c r="F6" s="3133">
        <f ca="1">INDIRECT("'数据-取费表'!u"&amp;$G$1)</f>
        <v>0.5</v>
      </c>
      <c r="G6" s="4123"/>
      <c r="H6" s="4170" t="s">
        <v>433</v>
      </c>
      <c r="I6" s="4171" t="s">
        <v>3801</v>
      </c>
      <c r="J6" s="2817">
        <f ca="1">J7-J9</f>
        <v>0</v>
      </c>
      <c r="K6" s="4043" t="s">
        <v>3805</v>
      </c>
      <c r="L6" s="2802" t="s">
        <v>3929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612" t="s">
        <v>391</v>
      </c>
      <c r="B7" s="4615" t="s">
        <v>3799</v>
      </c>
      <c r="C7" s="4625">
        <f ca="1">ROUND(F6*F7*F8,0)</f>
        <v>35620</v>
      </c>
      <c r="D7" s="4614" t="s">
        <v>3474</v>
      </c>
      <c r="E7" s="736" t="s">
        <v>683</v>
      </c>
      <c r="F7" s="3520">
        <f ca="1">IF(INDIRECT("'数据-取费表'!ah"&amp;$G$1)="",INDIRECT("'数据-取费表'!k"&amp;$G$1),INDIRECT("'数据-取费表'!ah"&amp;$G$1))</f>
        <v>195.18</v>
      </c>
      <c r="G7" s="961"/>
      <c r="H7" s="4612" t="s">
        <v>391</v>
      </c>
      <c r="I7" s="4615" t="s">
        <v>3799</v>
      </c>
      <c r="J7" s="4624">
        <f ca="1">ROUND(M6*M8*M7,0)</f>
        <v>0</v>
      </c>
      <c r="K7" s="4614" t="s">
        <v>3474</v>
      </c>
      <c r="L7" s="186" t="s">
        <v>683</v>
      </c>
      <c r="M7" s="3552">
        <f ca="1">F7</f>
        <v>195.18</v>
      </c>
    </row>
    <row r="8" spans="1:37" ht="18" customHeight="1">
      <c r="A8" s="4613"/>
      <c r="B8" s="4616"/>
      <c r="C8" s="4625"/>
      <c r="D8" s="4614"/>
      <c r="E8" s="186" t="s">
        <v>684</v>
      </c>
      <c r="F8" s="3520">
        <f ca="1">INDIRECT("'数据-取费表'!ai"&amp;$G$1)</f>
        <v>365</v>
      </c>
      <c r="G8" s="961"/>
      <c r="H8" s="4613"/>
      <c r="I8" s="4616"/>
      <c r="J8" s="4624"/>
      <c r="K8" s="4614"/>
      <c r="L8" s="186" t="s">
        <v>684</v>
      </c>
      <c r="M8" s="3552">
        <f ca="1">INDIRECT("'数据-取费表'!ai"&amp;$G$1)</f>
        <v>365</v>
      </c>
    </row>
    <row r="9" spans="1:37" ht="18" customHeight="1">
      <c r="A9" s="2771" t="s">
        <v>3401</v>
      </c>
      <c r="B9" s="3140" t="s">
        <v>3800</v>
      </c>
      <c r="C9" s="3517">
        <f ca="1">ROUND(C7*F9,0)</f>
        <v>3562</v>
      </c>
      <c r="D9" s="2787" t="s">
        <v>3804</v>
      </c>
      <c r="E9" s="186" t="s">
        <v>685</v>
      </c>
      <c r="F9" s="2843">
        <f ca="1">INDIRECT("'数据-取费表'!w"&amp;$G$1)</f>
        <v>0.1</v>
      </c>
      <c r="G9" s="961"/>
      <c r="H9" s="2771" t="s">
        <v>3401</v>
      </c>
      <c r="I9" s="3140" t="s">
        <v>3800</v>
      </c>
      <c r="J9" s="2817">
        <f ca="1">ROUND(J7*M9,0)</f>
        <v>0</v>
      </c>
      <c r="K9" s="2787" t="s">
        <v>3804</v>
      </c>
      <c r="L9" s="197" t="s">
        <v>685</v>
      </c>
      <c r="M9" s="3543">
        <f ca="1">INDIRECT("'数据-取费表'!ab"&amp;$G$1)</f>
        <v>0</v>
      </c>
    </row>
    <row r="10" spans="1:37" ht="18" customHeight="1">
      <c r="A10" s="729" t="s">
        <v>396</v>
      </c>
      <c r="B10" s="943" t="s">
        <v>686</v>
      </c>
      <c r="C10" s="2817">
        <f ca="1">ROUND(IF(F10="押一",C6/12*F11,IF(F10="押二",C6/12*2*F11,IF(F10="押三",C6/12*3*F11,C11*F11))),0)</f>
        <v>40</v>
      </c>
      <c r="D10" s="59" t="s">
        <v>2025</v>
      </c>
      <c r="E10" s="197" t="s">
        <v>687</v>
      </c>
      <c r="F10" s="771" t="s">
        <v>4153</v>
      </c>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3682</v>
      </c>
      <c r="B13" s="739" t="s">
        <v>3930</v>
      </c>
      <c r="C13" s="3968">
        <f ca="1">ROUND(C14+C22+C24+C26,0)</f>
        <v>8746</v>
      </c>
      <c r="D13" s="4127" t="s">
        <v>3931</v>
      </c>
      <c r="E13" s="4128"/>
      <c r="F13" s="4126"/>
      <c r="G13" s="4123"/>
      <c r="H13" s="738" t="s">
        <v>3682</v>
      </c>
      <c r="I13" s="739" t="s">
        <v>3930</v>
      </c>
      <c r="J13" s="3968">
        <f ca="1">ROUND(J14+J22+J24+J26,0)</f>
        <v>13458</v>
      </c>
      <c r="K13" s="4129" t="s">
        <v>3932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3981</v>
      </c>
      <c r="C14" s="2774">
        <f ca="1">ROUND(IF(AND(项目基本情况!B11="自然人",项目基本情况!B10="北京市",M56="住宅"),C6*F14,C15+C19+C20),2)</f>
        <v>4827</v>
      </c>
      <c r="D14" s="926" t="s">
        <v>3446</v>
      </c>
      <c r="E14" s="925" t="str">
        <f>IF(M56="非住宅","","综合税率")</f>
        <v/>
      </c>
      <c r="F14" s="3951" t="str">
        <f>IF(M56="非住宅","",IF(F6*F7*F8/12/(1+'数据-取费表'!F30)&gt;100000,4%,2.5%))</f>
        <v/>
      </c>
      <c r="G14" s="961"/>
      <c r="H14" s="676" t="s">
        <v>392</v>
      </c>
      <c r="I14" s="2785" t="s">
        <v>3986</v>
      </c>
      <c r="J14" s="2774">
        <f ca="1">ROUND(IF(AND(项目基本情况!B11="自然人",项目基本情况!B10="北京市",M56="住宅"),J6*M14/(1+'数据-取费表'!C43),J15+J19+J20),0)</f>
        <v>10994</v>
      </c>
      <c r="K14" s="2814" t="s">
        <v>3445</v>
      </c>
      <c r="L14" s="925" t="str">
        <f>E14</f>
        <v/>
      </c>
      <c r="M14" s="3951" t="str">
        <f>IF(M56="非住宅","",IF(M6*M7*M8/12/(1+'数据-取费表'!F30)&gt;100000,4%,2.5%))</f>
        <v/>
      </c>
    </row>
    <row r="15" spans="1:37" s="972" customFormat="1" ht="18" customHeight="1">
      <c r="A15" s="2771" t="s">
        <v>391</v>
      </c>
      <c r="B15" s="2785" t="s">
        <v>3978</v>
      </c>
      <c r="C15" s="2774">
        <f ca="1">C18</f>
        <v>309</v>
      </c>
      <c r="D15" s="4610" t="s">
        <v>3977</v>
      </c>
      <c r="E15" s="4611"/>
      <c r="F15" s="4611"/>
      <c r="G15" s="971"/>
      <c r="H15" s="2771" t="s">
        <v>391</v>
      </c>
      <c r="I15" s="2785" t="s">
        <v>3978</v>
      </c>
      <c r="J15" s="2774">
        <f ca="1">J18</f>
        <v>-27</v>
      </c>
      <c r="K15" s="4610" t="s">
        <v>3977</v>
      </c>
      <c r="L15" s="4611"/>
      <c r="M15" s="4611"/>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21">
        <f ca="1">ROUND(C6*F16,0)</f>
        <v>2885</v>
      </c>
      <c r="D16" s="1020" t="s">
        <v>3865</v>
      </c>
      <c r="E16" s="2795" t="s">
        <v>3406</v>
      </c>
      <c r="F16" s="2841">
        <v>0.09</v>
      </c>
      <c r="G16" s="961"/>
      <c r="H16" s="2570" t="s">
        <v>3285</v>
      </c>
      <c r="I16" s="2789" t="s">
        <v>3404</v>
      </c>
      <c r="J16" s="2721">
        <f ca="1">ROUND(J6*M16,0)</f>
        <v>0</v>
      </c>
      <c r="K16" s="4101" t="s">
        <v>3866</v>
      </c>
      <c r="L16" s="2795" t="s">
        <v>3406</v>
      </c>
      <c r="M16" s="3546">
        <v>0.09</v>
      </c>
    </row>
    <row r="17" spans="1:37" s="972" customFormat="1" ht="18" customHeight="1">
      <c r="A17" s="2570" t="s">
        <v>3286</v>
      </c>
      <c r="B17" s="2789" t="s">
        <v>3405</v>
      </c>
      <c r="C17" s="3129">
        <f ca="1">ROUND(C22*F16+((C24+C26)*F17),0)</f>
        <v>309</v>
      </c>
      <c r="D17" s="4101" t="s">
        <v>3868</v>
      </c>
      <c r="E17" s="2796"/>
      <c r="F17" s="2841">
        <v>0.06</v>
      </c>
      <c r="G17" s="971"/>
      <c r="H17" s="2570" t="s">
        <v>3286</v>
      </c>
      <c r="I17" s="2789" t="s">
        <v>3405</v>
      </c>
      <c r="J17" s="3129">
        <f ca="1">ROUND(J22*M16+((J24+J26)*M17),0)</f>
        <v>222</v>
      </c>
      <c r="K17" s="4103" t="s">
        <v>3867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3129">
        <f ca="1">ROUND((C16-C17)*F18,0)</f>
        <v>309</v>
      </c>
      <c r="D18" s="2814" t="s">
        <v>3974</v>
      </c>
      <c r="E18" s="186" t="s">
        <v>3439</v>
      </c>
      <c r="F18" s="2841">
        <f>'数据-取费表'!B44</f>
        <v>0.12000000000000001</v>
      </c>
      <c r="G18" s="971"/>
      <c r="H18" s="2570" t="s">
        <v>3975</v>
      </c>
      <c r="I18" s="2789" t="s">
        <v>3973</v>
      </c>
      <c r="J18" s="3129">
        <f ca="1">ROUND((J16-J17)*M18,0)</f>
        <v>-27</v>
      </c>
      <c r="K18" s="2814" t="s">
        <v>3974</v>
      </c>
      <c r="L18" s="186" t="s">
        <v>3439</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4">
        <f ca="1">IF(AND(项目基本情况!B11="自然人",M56="住宅"),"——",IF(D19="按不含税租金收入（有效毛租金收入）计税",ROUND(C6*F19,0),IF(D19="按房产原值计税",ROUND(C51*F19*0.7,0),INDIRECT("'数据-取费表'!Aj"&amp;$G$1))))</f>
        <v>3847</v>
      </c>
      <c r="D19" s="2788" t="s">
        <v>4154</v>
      </c>
      <c r="E19" s="186" t="s">
        <v>698</v>
      </c>
      <c r="F19" s="2841">
        <f>IF(D19="按票据","——",IF(D19="按不含税租金收入（有效毛租金收入）计税",'数据-取费表'!B52,'数据-取费表'!B51))</f>
        <v>0.12</v>
      </c>
      <c r="G19" s="971"/>
      <c r="H19" s="2771" t="s">
        <v>393</v>
      </c>
      <c r="I19" s="2785" t="s">
        <v>3984</v>
      </c>
      <c r="J19" s="2774">
        <f ca="1">IF(K19="按不含税租金收入（有效毛租金收入）计税",ROUND(J6*M19,0),ROUND(C51*M19*0.7,0))</f>
        <v>10350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3980</v>
      </c>
      <c r="C20" s="3130">
        <f ca="1">IF(AND(项目基本情况!B11="自然人",M56="住宅"),"——",ROUND(F20*F21,0))</f>
        <v>671</v>
      </c>
      <c r="D20" s="207" t="s">
        <v>717</v>
      </c>
      <c r="E20" s="186" t="s">
        <v>718</v>
      </c>
      <c r="F20" s="3528">
        <f>'数据-取费表'!B53</f>
        <v>12</v>
      </c>
      <c r="G20" s="961"/>
      <c r="H20" s="3966" t="s">
        <v>667</v>
      </c>
      <c r="I20" s="4046" t="s">
        <v>3980</v>
      </c>
      <c r="J20" s="3130">
        <f ca="1">ROUND(M20*M21,0)</f>
        <v>671</v>
      </c>
      <c r="K20" s="207" t="s">
        <v>717</v>
      </c>
      <c r="L20" s="186" t="s">
        <v>718</v>
      </c>
      <c r="M20" s="3550">
        <f>'数据-取费表'!B53</f>
        <v>12</v>
      </c>
    </row>
    <row r="21" spans="1:37" s="972" customFormat="1" ht="18" customHeight="1">
      <c r="A21" s="209"/>
      <c r="B21" s="760"/>
      <c r="C21" s="3131"/>
      <c r="D21" s="210"/>
      <c r="E21" s="186" t="s">
        <v>722</v>
      </c>
      <c r="F21" s="3133">
        <f ca="1">INDIRECT("'数据-取费表'!r"&amp;$G$1)</f>
        <v>55.92</v>
      </c>
      <c r="G21" s="971"/>
      <c r="H21" s="209"/>
      <c r="I21" s="195"/>
      <c r="J21" s="3131"/>
      <c r="K21" s="210"/>
      <c r="L21" s="186" t="s">
        <v>722</v>
      </c>
      <c r="M21" s="3551">
        <f ca="1">INDIRECT("'数据-取费表'!r"&amp;$G$1)</f>
        <v>55.92</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2464</v>
      </c>
      <c r="D22" s="1809" t="s">
        <v>725</v>
      </c>
      <c r="E22" s="186" t="s">
        <v>698</v>
      </c>
      <c r="F22" s="2843">
        <f ca="1">INDIRECT("'数据-取费表'!Ak"&amp;$G$1)</f>
        <v>2E-3</v>
      </c>
      <c r="G22" s="971"/>
      <c r="H22" s="3979" t="s">
        <v>396</v>
      </c>
      <c r="I22" s="56" t="s">
        <v>724</v>
      </c>
      <c r="J22" s="3999">
        <f ca="1">ROUND(J35*M22,0)</f>
        <v>2464</v>
      </c>
      <c r="K22" s="1809" t="s">
        <v>725</v>
      </c>
      <c r="L22" s="186" t="s">
        <v>698</v>
      </c>
      <c r="M22" s="4022">
        <f ca="1">INDIRECT("'数据-取费表'!Ak"&amp;$G$1)</f>
        <v>2E-3</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3826</v>
      </c>
      <c r="F23" s="3520">
        <f ca="1">C51</f>
        <v>1232120</v>
      </c>
      <c r="G23" s="971"/>
      <c r="H23" s="209"/>
      <c r="I23" s="195"/>
      <c r="J23" s="4000"/>
      <c r="K23" s="4047"/>
      <c r="L23" s="2785" t="s">
        <v>3826</v>
      </c>
      <c r="M23" s="3552">
        <f ca="1">J35</f>
        <v>1232120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1134</v>
      </c>
      <c r="D24" s="1809" t="s">
        <v>3443</v>
      </c>
      <c r="E24" s="186" t="s">
        <v>698</v>
      </c>
      <c r="F24" s="2843">
        <f ca="1">INDIRECT("'数据-取费表'!Al"&amp;$G$1)</f>
        <v>1E-3</v>
      </c>
      <c r="G24" s="961"/>
      <c r="H24" s="3979" t="s">
        <v>431</v>
      </c>
      <c r="I24" s="56" t="s">
        <v>728</v>
      </c>
      <c r="J24" s="3999">
        <f ca="1">ROUND(J37*M24,0)</f>
        <v>0</v>
      </c>
      <c r="K24" s="1809" t="s">
        <v>729</v>
      </c>
      <c r="L24" s="186" t="s">
        <v>698</v>
      </c>
      <c r="M24" s="4022">
        <f ca="1">INDIRECT("'数据-取费表'!Al"&amp;$G$1)</f>
        <v>1E-3</v>
      </c>
    </row>
    <row r="25" spans="1:37" ht="18" customHeight="1">
      <c r="A25" s="209"/>
      <c r="B25" s="195"/>
      <c r="C25" s="4000"/>
      <c r="D25" s="4047"/>
      <c r="E25" s="4046" t="s">
        <v>3827</v>
      </c>
      <c r="F25" s="3520">
        <f ca="1">C53</f>
        <v>1133550</v>
      </c>
      <c r="G25" s="961"/>
      <c r="H25" s="209"/>
      <c r="I25" s="195"/>
      <c r="J25" s="4000"/>
      <c r="K25" s="4047"/>
      <c r="L25" s="4046" t="s">
        <v>3827</v>
      </c>
      <c r="M25" s="3552">
        <f ca="1">J37</f>
        <v>0</v>
      </c>
    </row>
    <row r="26" spans="1:37" s="972" customFormat="1" ht="18" customHeight="1" thickBot="1">
      <c r="A26" s="748" t="s">
        <v>670</v>
      </c>
      <c r="B26" s="749" t="s">
        <v>714</v>
      </c>
      <c r="C26" s="3132">
        <f ca="1">ROUND(C5*F26,0)</f>
        <v>321</v>
      </c>
      <c r="D26" s="751" t="s">
        <v>3872</v>
      </c>
      <c r="E26" s="749" t="s">
        <v>698</v>
      </c>
      <c r="F26" s="2907">
        <f ca="1">INDIRECT("'数据-取费表'!Am"&amp;$G$1)</f>
        <v>0.01</v>
      </c>
      <c r="G26" s="971"/>
      <c r="H26" s="748" t="s">
        <v>670</v>
      </c>
      <c r="I26" s="749" t="s">
        <v>714</v>
      </c>
      <c r="J26" s="3132">
        <f ca="1">ROUND(J5*M26,0)</f>
        <v>0</v>
      </c>
      <c r="K26" s="751" t="s">
        <v>3872</v>
      </c>
      <c r="L26" s="749" t="s">
        <v>698</v>
      </c>
      <c r="M26" s="3547">
        <f ca="1">INDIRECT("'数据-取费表'!Am"&amp;$G$1)</f>
        <v>0.01</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3297</v>
      </c>
      <c r="B27" s="753" t="s">
        <v>3933</v>
      </c>
      <c r="C27" s="3968">
        <f ca="1">C5-C13</f>
        <v>23352</v>
      </c>
      <c r="D27" s="4131" t="s">
        <v>3913</v>
      </c>
      <c r="E27" s="4132"/>
      <c r="F27" s="4133"/>
      <c r="G27" s="498"/>
      <c r="H27" s="738" t="s">
        <v>3297</v>
      </c>
      <c r="I27" s="753" t="s">
        <v>3933</v>
      </c>
      <c r="J27" s="3968">
        <f ca="1">J5-J13</f>
        <v>-13458</v>
      </c>
      <c r="K27" s="4131" t="s">
        <v>3913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3965">
        <f ca="1">ROUND(C27*(1-((1+F30)/(1+F28))^F29)/(F28-F30),0)</f>
        <v>412212</v>
      </c>
      <c r="D28" s="4135" t="s">
        <v>3934</v>
      </c>
      <c r="E28" s="2799" t="s">
        <v>3899</v>
      </c>
      <c r="F28" s="2843">
        <f ca="1">INDIRECT("'数据-取费表'!I"&amp;$G$1)</f>
        <v>5.5E-2</v>
      </c>
      <c r="G28" s="4123"/>
      <c r="H28" s="183" t="s">
        <v>3684</v>
      </c>
      <c r="I28" s="4033" t="s">
        <v>3818</v>
      </c>
      <c r="J28" s="4049">
        <f ca="1">IF(J5&lt;&gt;0,ROUND(J27*(1-((1+M30)/(1+M28))^M29)/(M28-M30),0),0)</f>
        <v>0</v>
      </c>
      <c r="K28" s="4135" t="s">
        <v>3934</v>
      </c>
      <c r="L28" s="4136" t="s">
        <v>3899</v>
      </c>
      <c r="M28" s="3543">
        <f ca="1">INDIRECT("'数据-取费表'!I"&amp;$G$1)</f>
        <v>5.5E-2</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3902</v>
      </c>
      <c r="F29" s="2844">
        <f ca="1">IF(INDIRECT("'数据-取费表'!af"&amp;$G$1)=0,INDIRECT("'数据-取费表'!ae"&amp;$G$1),INDIRECT("'数据-取费表'!af"&amp;$G$1))</f>
        <v>28.51</v>
      </c>
      <c r="G29" s="4123"/>
      <c r="H29" s="188"/>
      <c r="I29" s="189"/>
      <c r="J29" s="4050"/>
      <c r="K29" s="4137"/>
      <c r="L29" s="2799" t="s">
        <v>3902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753"/>
      <c r="L30" s="2799" t="s">
        <v>3904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449311</v>
      </c>
      <c r="D31" s="4138" t="s">
        <v>3688</v>
      </c>
      <c r="E31" s="4139" t="str">
        <f>IF(D31="其他类型公式—收益价值×（1+9%）","销项税率","征收率")</f>
        <v>销项税率</v>
      </c>
      <c r="F31" s="4173">
        <f>IF(D31="其他类型公式—收益价值×（1+9%）",9%,3%)</f>
        <v>0.09</v>
      </c>
      <c r="G31" s="498"/>
      <c r="H31" s="199" t="s">
        <v>3685</v>
      </c>
      <c r="I31" s="2799" t="s">
        <v>3906</v>
      </c>
      <c r="J31" s="2817">
        <f ca="1">ROUND(J28/(1+F28)^F29,0)</f>
        <v>0</v>
      </c>
      <c r="K31" s="2755" t="s">
        <v>3935</v>
      </c>
      <c r="L31" s="2799"/>
      <c r="M31" s="3548">
        <f ca="1">INDIRECT("'数据-取费表'!k"&amp;$G$1)</f>
        <v>195.18</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ROUND(C31/F32,0)</f>
        <v>2302</v>
      </c>
      <c r="D32" s="4140" t="s">
        <v>3907</v>
      </c>
      <c r="E32" s="217" t="s">
        <v>3908</v>
      </c>
      <c r="F32" s="2845">
        <f ca="1">INDIRECT("'数据-取费表'!k"&amp;$G$1)</f>
        <v>195.18</v>
      </c>
      <c r="G32" s="498"/>
      <c r="H32" s="3945" t="s">
        <v>3687</v>
      </c>
      <c r="I32" s="3946" t="s">
        <v>3909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0.27247803601470499</v>
      </c>
      <c r="G33" s="961"/>
    </row>
    <row r="34" spans="1:37" s="118" customFormat="1" ht="18" customHeight="1" thickBot="1">
      <c r="A34" s="4116" t="s">
        <v>3936</v>
      </c>
      <c r="B34" s="4117" t="s">
        <v>3937</v>
      </c>
      <c r="C34" s="4118" t="s">
        <v>3824</v>
      </c>
      <c r="D34" s="4117" t="s">
        <v>3938</v>
      </c>
      <c r="E34" s="4119" t="s">
        <v>3939</v>
      </c>
      <c r="F34" s="4120"/>
      <c r="G34" s="4123"/>
      <c r="H34" s="4116" t="s">
        <v>3936</v>
      </c>
      <c r="I34" s="4117" t="s">
        <v>3937</v>
      </c>
      <c r="J34" s="4118" t="s">
        <v>3824</v>
      </c>
      <c r="K34" s="4117" t="s">
        <v>3938</v>
      </c>
      <c r="L34" s="4119" t="s">
        <v>3939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3407</v>
      </c>
      <c r="B35" s="2798" t="s">
        <v>3408</v>
      </c>
      <c r="C35" s="3522">
        <f ca="1">SUM(C36:C41)</f>
        <v>1093008</v>
      </c>
      <c r="D35" s="2810" t="s">
        <v>3415</v>
      </c>
      <c r="E35" s="2806"/>
      <c r="F35" s="2807"/>
      <c r="G35" s="961"/>
      <c r="H35" s="2820" t="s">
        <v>3407</v>
      </c>
      <c r="I35" s="2823" t="s">
        <v>3448</v>
      </c>
      <c r="J35" s="2824">
        <f ca="1">C51</f>
        <v>1232120</v>
      </c>
      <c r="K35" s="3306" t="s">
        <v>3444</v>
      </c>
      <c r="L35" s="2825"/>
      <c r="M35" s="3139"/>
    </row>
    <row r="36" spans="1:37" ht="18" customHeight="1">
      <c r="A36" s="2771" t="s">
        <v>391</v>
      </c>
      <c r="B36" s="2736" t="s">
        <v>693</v>
      </c>
      <c r="C36" s="2676">
        <f ca="1">ROUND(INDIRECT("'数据-取费表'!l"&amp;$G$1)*F32+'数据-取费表'!L14*INDIRECT("'数据-取费表'!S"&amp;$G$1),0)</f>
        <v>975900</v>
      </c>
      <c r="D36" s="925" t="s">
        <v>694</v>
      </c>
      <c r="E36" s="925"/>
      <c r="F36" s="215"/>
      <c r="G36" s="961"/>
      <c r="H36" s="2821" t="s">
        <v>396</v>
      </c>
      <c r="I36" s="2826" t="s">
        <v>3435</v>
      </c>
      <c r="J36" s="2721">
        <f ca="1">ROUND(J35*(1-M36),0)</f>
        <v>1232120</v>
      </c>
      <c r="K36" s="186" t="s">
        <v>3438</v>
      </c>
      <c r="L36" s="2787" t="s">
        <v>3451</v>
      </c>
      <c r="M36" s="2843">
        <f ca="1">INDIRECT("'数据-取费表'!ad"&amp;$G$1)</f>
        <v>0</v>
      </c>
    </row>
    <row r="37" spans="1:37" ht="18" customHeight="1" thickBot="1">
      <c r="A37" s="2771" t="s">
        <v>3401</v>
      </c>
      <c r="B37" s="2736" t="s">
        <v>696</v>
      </c>
      <c r="C37" s="2774">
        <f ca="1">ROUND(C36*F37,0)</f>
        <v>48795</v>
      </c>
      <c r="D37" s="186" t="s">
        <v>697</v>
      </c>
      <c r="E37" s="186" t="s">
        <v>698</v>
      </c>
      <c r="F37" s="2841">
        <f>'数据-取费表'!B33</f>
        <v>0.05</v>
      </c>
      <c r="G37" s="961"/>
      <c r="H37" s="2822" t="s">
        <v>3426</v>
      </c>
      <c r="I37" s="2827" t="s">
        <v>3437</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ROUND(F39*(F32+INDIRECT("'数据-取费表'!S"&amp;$G$1)),0)</f>
        <v>58554</v>
      </c>
      <c r="D39" s="186" t="s">
        <v>703</v>
      </c>
      <c r="E39" s="186" t="s">
        <v>3879</v>
      </c>
      <c r="F39" s="3532">
        <f>'数据-取费表'!B35</f>
        <v>300</v>
      </c>
      <c r="G39" s="961"/>
    </row>
    <row r="40" spans="1:37" ht="18" customHeight="1">
      <c r="A40" s="2771" t="s">
        <v>669</v>
      </c>
      <c r="B40" s="2789" t="s">
        <v>3289</v>
      </c>
      <c r="C40" s="2774">
        <f ca="1">ROUND(C36*F40,0)</f>
        <v>9759</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21860</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3429</v>
      </c>
      <c r="F43" s="2843">
        <f>'数据-取费表'!B39</f>
        <v>0.02</v>
      </c>
      <c r="G43" s="961"/>
      <c r="H43" s="47"/>
      <c r="I43" s="47"/>
      <c r="J43" s="47"/>
      <c r="K43" s="1894"/>
      <c r="L43" s="47"/>
      <c r="M43" s="47"/>
    </row>
    <row r="44" spans="1:37" ht="18" customHeight="1">
      <c r="A44" s="199" t="s">
        <v>3430</v>
      </c>
      <c r="B44" s="2802" t="s">
        <v>3367</v>
      </c>
      <c r="C44" s="3523" t="str">
        <f ca="1">C45&amp;"+"&amp;C46&amp;"V建"</f>
        <v>34895+0.0006V建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34895</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55743+0.001V建</v>
      </c>
      <c r="D47" s="2755" t="s">
        <v>3432</v>
      </c>
      <c r="E47" s="200"/>
      <c r="F47" s="2842"/>
      <c r="G47" s="961"/>
      <c r="H47" s="47"/>
      <c r="I47" s="47"/>
      <c r="J47" s="47"/>
      <c r="K47" s="1894"/>
      <c r="L47" s="47"/>
      <c r="M47" s="47"/>
    </row>
    <row r="48" spans="1:37" ht="18" customHeight="1">
      <c r="A48" s="2771" t="s">
        <v>391</v>
      </c>
      <c r="B48" s="186" t="s">
        <v>740</v>
      </c>
      <c r="C48" s="2774">
        <f ca="1">ROUND((C35+C42)*F48,0)</f>
        <v>55743</v>
      </c>
      <c r="D48" s="206" t="s">
        <v>741</v>
      </c>
      <c r="E48" s="186" t="s">
        <v>742</v>
      </c>
      <c r="F48" s="2843">
        <f ca="1">INDIRECT("'数据-取费表'!q"&amp;$G$1)</f>
        <v>0.05</v>
      </c>
      <c r="G48" s="961"/>
      <c r="H48" s="47"/>
      <c r="I48" s="47"/>
      <c r="J48" s="47"/>
      <c r="K48" s="1894"/>
      <c r="L48" s="47"/>
      <c r="M48" s="47"/>
    </row>
    <row r="49" spans="1:37" ht="18" customHeight="1">
      <c r="A49" s="2771" t="s">
        <v>393</v>
      </c>
      <c r="B49" s="186" t="s">
        <v>746</v>
      </c>
      <c r="C49" s="3521">
        <f ca="1">ROUND(F43*F48,4)</f>
        <v>1E-3</v>
      </c>
      <c r="D49" s="206" t="s">
        <v>747</v>
      </c>
      <c r="E49" s="186"/>
      <c r="F49" s="2841"/>
      <c r="G49" s="961"/>
      <c r="H49" s="47"/>
      <c r="I49" s="47"/>
      <c r="J49" s="47"/>
      <c r="K49" s="1894"/>
      <c r="L49" s="47"/>
      <c r="M49" s="47"/>
    </row>
    <row r="50" spans="1:37" s="118" customFormat="1" ht="18" customHeight="1">
      <c r="A50" s="199" t="s">
        <v>3941</v>
      </c>
      <c r="B50" s="2799" t="s">
        <v>3419</v>
      </c>
      <c r="C50" s="2817">
        <f>ROUND(F50/(1+'数据-取费表'!C43),4)</f>
        <v>0</v>
      </c>
      <c r="D50" s="4104" t="s">
        <v>3878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3942</v>
      </c>
      <c r="B51" s="2799" t="s">
        <v>3943</v>
      </c>
      <c r="C51" s="2817">
        <f ca="1">ROUND((C35+C42+C45+C48)/(1-F43-C46-C49-C50),0)</f>
        <v>1232120</v>
      </c>
      <c r="D51" s="2813" t="s">
        <v>3444</v>
      </c>
      <c r="E51" s="2799"/>
      <c r="F51" s="2843"/>
      <c r="K51" s="4177"/>
      <c r="Q51" s="4169"/>
    </row>
    <row r="52" spans="1:37" s="4123" customFormat="1" ht="18" customHeight="1">
      <c r="A52" s="2803" t="s">
        <v>3433</v>
      </c>
      <c r="B52" s="2802" t="s">
        <v>3435</v>
      </c>
      <c r="C52" s="2817">
        <f ca="1">ROUND(C51*(1-F52),0)</f>
        <v>98570</v>
      </c>
      <c r="D52" s="2799" t="s">
        <v>3944</v>
      </c>
      <c r="E52" s="2799" t="s">
        <v>3945</v>
      </c>
      <c r="F52" s="2843">
        <f ca="1">INDIRECT("'数据-取费表'!y"&amp;$G$1)</f>
        <v>0.92</v>
      </c>
      <c r="K52" s="4177"/>
      <c r="Q52" s="4169"/>
    </row>
    <row r="53" spans="1:37" s="4123" customFormat="1" ht="18" customHeight="1" thickBot="1">
      <c r="A53" s="2804" t="s">
        <v>3940</v>
      </c>
      <c r="B53" s="2812" t="s">
        <v>3442</v>
      </c>
      <c r="C53" s="2828">
        <f ca="1">C51-C52</f>
        <v>1133550</v>
      </c>
      <c r="D53" s="2808" t="s">
        <v>3946</v>
      </c>
      <c r="E53" s="217"/>
      <c r="F53" s="2809"/>
      <c r="K53" s="4177"/>
      <c r="Q53" s="4169"/>
    </row>
    <row r="54" spans="1:37" s="961" customFormat="1" ht="18" customHeight="1" thickBot="1">
      <c r="A54" s="975"/>
      <c r="B54" s="975"/>
      <c r="C54" s="976"/>
      <c r="D54" s="975"/>
      <c r="E54" s="975"/>
      <c r="F54" s="975"/>
      <c r="I54" s="2830" t="s">
        <v>3452</v>
      </c>
      <c r="J54" s="494"/>
      <c r="O54" s="1998" t="s">
        <v>794</v>
      </c>
      <c r="P54" s="1034"/>
      <c r="Q54" s="3537"/>
      <c r="R54" s="1034"/>
    </row>
    <row r="55" spans="1:37" s="961" customFormat="1" ht="13.8" thickBot="1">
      <c r="A55" s="2538" t="s">
        <v>3976</v>
      </c>
      <c r="C55" s="2834">
        <f ca="1">IF(D2="含税",C83-C31,C80-C28)</f>
        <v>-514987</v>
      </c>
      <c r="D55" s="981" t="str">
        <f>C2</f>
        <v>万元</v>
      </c>
      <c r="E55" s="975"/>
      <c r="F55" s="975"/>
      <c r="I55" s="982" t="s">
        <v>796</v>
      </c>
      <c r="J55" s="983"/>
      <c r="K55" s="984"/>
      <c r="L55" s="4018">
        <f ca="1">IF(M56="住宅",0,IF(L57&gt;J60,L69,J69))</f>
        <v>69282</v>
      </c>
      <c r="O55" s="4159" t="s">
        <v>1327</v>
      </c>
      <c r="P55" s="4160" t="s">
        <v>3914</v>
      </c>
      <c r="Q55" s="4183" t="s">
        <v>3915</v>
      </c>
      <c r="R55" s="4161" t="s">
        <v>3916</v>
      </c>
    </row>
    <row r="56" spans="1:37" s="961" customFormat="1" ht="13.8" thickBot="1">
      <c r="A56" s="4144" t="s">
        <v>3885</v>
      </c>
      <c r="B56" s="4145" t="s">
        <v>3886</v>
      </c>
      <c r="C56" s="4118" t="s">
        <v>3964</v>
      </c>
      <c r="D56" s="4145" t="s">
        <v>3887</v>
      </c>
      <c r="E56" s="4146" t="s">
        <v>3888</v>
      </c>
      <c r="F56" s="4178"/>
      <c r="G56" s="490"/>
      <c r="I56" s="989" t="s">
        <v>801</v>
      </c>
      <c r="J56" s="990" t="s">
        <v>4155</v>
      </c>
      <c r="K56" s="991" t="s">
        <v>802</v>
      </c>
      <c r="L56" s="4019">
        <f ca="1">INDIRECT("'数据-取费表'!d"&amp;$G$1)</f>
        <v>50</v>
      </c>
      <c r="M56" s="957" t="str">
        <f>IF(ISNUMBER(FIND("住宅",C1)),"住宅","非住宅")</f>
        <v>非住宅</v>
      </c>
      <c r="O56" s="4162" t="s">
        <v>397</v>
      </c>
      <c r="P56" s="4166" t="s">
        <v>3957</v>
      </c>
      <c r="Q56" s="4167">
        <f ca="1">C28+J31</f>
        <v>412212</v>
      </c>
      <c r="R56" s="4164" t="s">
        <v>3918</v>
      </c>
    </row>
    <row r="57" spans="1:37" s="961" customFormat="1" ht="40.200000000000003" thickBot="1">
      <c r="A57" s="670" t="s">
        <v>432</v>
      </c>
      <c r="B57" s="184" t="s">
        <v>3910</v>
      </c>
      <c r="C57" s="4147">
        <f ca="1">C58+C62+C64</f>
        <v>0</v>
      </c>
      <c r="D57" s="4124" t="s">
        <v>3947</v>
      </c>
      <c r="E57" s="4148"/>
      <c r="F57" s="4179"/>
      <c r="G57" s="490"/>
      <c r="H57" s="491"/>
      <c r="I57" s="996" t="s">
        <v>805</v>
      </c>
      <c r="J57" s="997" t="s">
        <v>4156</v>
      </c>
      <c r="K57" s="998" t="s">
        <v>806</v>
      </c>
      <c r="L57" s="4008">
        <f ca="1">INDIRECT("'数据-取费表'!f"&amp;$G$1)</f>
        <v>28.51</v>
      </c>
      <c r="O57" s="4162" t="s">
        <v>398</v>
      </c>
      <c r="P57" s="4163" t="s">
        <v>3919</v>
      </c>
      <c r="Q57" s="4167">
        <f ca="1">J69</f>
        <v>69282</v>
      </c>
      <c r="R57" s="4164" t="s">
        <v>3920</v>
      </c>
    </row>
    <row r="58" spans="1:37" s="961" customFormat="1" ht="15" customHeight="1" thickBot="1">
      <c r="A58" s="3984" t="s">
        <v>3814</v>
      </c>
      <c r="B58" s="2786" t="s">
        <v>3801</v>
      </c>
      <c r="C58" s="2831">
        <f ca="1">C59-C61</f>
        <v>0</v>
      </c>
      <c r="D58" s="2787" t="s">
        <v>3805</v>
      </c>
      <c r="E58" s="2811" t="s">
        <v>3441</v>
      </c>
      <c r="F58" s="2835"/>
      <c r="H58" s="491"/>
      <c r="I58" s="996" t="s">
        <v>809</v>
      </c>
      <c r="J58" s="4006">
        <v>2021</v>
      </c>
      <c r="K58" s="998" t="s">
        <v>810</v>
      </c>
      <c r="L58" s="4020"/>
      <c r="O58" s="1002" t="s">
        <v>399</v>
      </c>
      <c r="P58" s="4185" t="s">
        <v>3958</v>
      </c>
      <c r="Q58" s="3538">
        <f ca="1">C51</f>
        <v>1232120</v>
      </c>
      <c r="R58" s="995" t="s">
        <v>804</v>
      </c>
    </row>
    <row r="59" spans="1:37" s="961" customFormat="1" ht="15" customHeight="1" thickBot="1">
      <c r="A59" s="3970" t="s">
        <v>3802</v>
      </c>
      <c r="B59" s="4615" t="s">
        <v>3799</v>
      </c>
      <c r="C59" s="3965">
        <f ca="1">ROUND(F58*F60*F59,0)</f>
        <v>0</v>
      </c>
      <c r="D59" s="4614" t="s">
        <v>3474</v>
      </c>
      <c r="E59" s="716" t="s">
        <v>683</v>
      </c>
      <c r="F59" s="2836">
        <f ca="1">F7</f>
        <v>195.18</v>
      </c>
      <c r="H59" s="491"/>
      <c r="I59" s="996" t="s">
        <v>812</v>
      </c>
      <c r="J59" s="4024">
        <f>SUMPRODUCT((I72:I74=J56)*(J71:L71=J57)*(J72:L74))</f>
        <v>60</v>
      </c>
      <c r="K59" s="998" t="s">
        <v>813</v>
      </c>
      <c r="L59" s="4020"/>
      <c r="M59" s="1004"/>
      <c r="O59" s="1002" t="s">
        <v>400</v>
      </c>
      <c r="P59" s="994" t="s">
        <v>814</v>
      </c>
      <c r="Q59" s="3539">
        <f ca="1">J67</f>
        <v>0.442</v>
      </c>
      <c r="R59" s="995"/>
    </row>
    <row r="60" spans="1:37" s="961" customFormat="1" ht="15" customHeight="1" thickBot="1">
      <c r="A60" s="3971"/>
      <c r="B60" s="4616"/>
      <c r="C60" s="3972"/>
      <c r="D60" s="4614"/>
      <c r="E60" s="675" t="s">
        <v>684</v>
      </c>
      <c r="F60" s="2837">
        <f ca="1">F8</f>
        <v>365</v>
      </c>
      <c r="I60" s="1006" t="s">
        <v>815</v>
      </c>
      <c r="J60" s="4008">
        <f>IF(J58="",J59,J58+J59-YEAR('数据-取费表'!B2))</f>
        <v>55</v>
      </c>
      <c r="K60" s="1007" t="s">
        <v>816</v>
      </c>
      <c r="L60" s="3996">
        <f ca="1">ROUND(-PV(INDIRECT("'数据-取费表'!h"&amp;$G$1),J60,(C27-C52*C88),0),0)</f>
        <v>306560</v>
      </c>
      <c r="M60" s="1009"/>
      <c r="O60" s="1002" t="s">
        <v>401</v>
      </c>
      <c r="P60" s="994" t="s">
        <v>817</v>
      </c>
      <c r="Q60" s="3539">
        <f>J61</f>
        <v>7.4999999999999997E-2</v>
      </c>
      <c r="R60" s="995"/>
    </row>
    <row r="61" spans="1:37" s="961" customFormat="1" ht="15" customHeight="1" thickBot="1">
      <c r="A61" s="3969" t="s">
        <v>3803</v>
      </c>
      <c r="B61" s="3140" t="s">
        <v>3800</v>
      </c>
      <c r="C61" s="2832">
        <f ca="1">ROUND(C59*F61,0)</f>
        <v>0</v>
      </c>
      <c r="D61" s="2787" t="s">
        <v>3804</v>
      </c>
      <c r="E61" s="675" t="s">
        <v>685</v>
      </c>
      <c r="F61" s="2838"/>
      <c r="I61" s="1010" t="s">
        <v>818</v>
      </c>
      <c r="J61" s="4009">
        <v>7.4999999999999997E-2</v>
      </c>
      <c r="K61" s="1010" t="s">
        <v>819</v>
      </c>
      <c r="L61" s="4023"/>
      <c r="O61" s="1002" t="s">
        <v>402</v>
      </c>
      <c r="P61" s="994" t="s">
        <v>820</v>
      </c>
      <c r="Q61" s="3538">
        <f ca="1">J62</f>
        <v>28.51</v>
      </c>
      <c r="R61" s="995" t="s">
        <v>821</v>
      </c>
    </row>
    <row r="62" spans="1:37" s="961" customFormat="1" ht="36.6" thickBot="1">
      <c r="A62" s="3994" t="s">
        <v>3449</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28.51</v>
      </c>
      <c r="K62" s="4618" t="s">
        <v>823</v>
      </c>
      <c r="L62" s="4619"/>
      <c r="O62" s="4162" t="s">
        <v>403</v>
      </c>
      <c r="P62" s="4166" t="s">
        <v>3959</v>
      </c>
      <c r="Q62" s="4167">
        <f ca="1">ROUND((Q56+Q57)*(1+F31),0)</f>
        <v>524828</v>
      </c>
      <c r="R62" s="4164" t="s">
        <v>3961</v>
      </c>
    </row>
    <row r="63" spans="1:37" s="961" customFormat="1" ht="24.6"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5"/>
      <c r="K63" s="1015"/>
      <c r="L63" s="1015"/>
      <c r="O63" s="978" t="s">
        <v>825</v>
      </c>
      <c r="P63" s="958"/>
      <c r="Q63" s="3540"/>
      <c r="R63" s="958"/>
    </row>
    <row r="64" spans="1:37" s="961" customFormat="1" ht="13.8" thickBot="1">
      <c r="A64" s="742" t="s">
        <v>431</v>
      </c>
      <c r="B64" s="946" t="s">
        <v>689</v>
      </c>
      <c r="C64" s="2818"/>
      <c r="D64" s="59"/>
      <c r="E64" s="951"/>
      <c r="F64" s="1013"/>
      <c r="I64" s="1016" t="s">
        <v>826</v>
      </c>
      <c r="J64" s="1017">
        <f ca="1">ROUND(IF(J56="钢混",J66/J59,1-(1-2%)*(J59-J66)/J59),3)</f>
        <v>0.442</v>
      </c>
      <c r="K64" s="1018" t="s">
        <v>827</v>
      </c>
      <c r="L64" s="1019"/>
      <c r="O64" s="4159" t="s">
        <v>1327</v>
      </c>
      <c r="P64" s="4160" t="s">
        <v>3914</v>
      </c>
      <c r="Q64" s="4183" t="s">
        <v>3915</v>
      </c>
      <c r="R64" s="4161" t="s">
        <v>3916</v>
      </c>
    </row>
    <row r="65" spans="1:18" s="961" customFormat="1" ht="37.200000000000003" thickTop="1" thickBot="1">
      <c r="A65" s="199" t="s">
        <v>3948</v>
      </c>
      <c r="B65" s="652" t="s">
        <v>3930</v>
      </c>
      <c r="C65" s="2817">
        <f ca="1">ROUND(C66+C74+C76+C78,0)</f>
        <v>4234</v>
      </c>
      <c r="D65" s="4149" t="s">
        <v>3949</v>
      </c>
      <c r="E65" s="4180"/>
      <c r="F65" s="656"/>
      <c r="I65" s="1022" t="s">
        <v>828</v>
      </c>
      <c r="J65" s="1023" t="s">
        <v>4157</v>
      </c>
      <c r="K65" s="996" t="s">
        <v>829</v>
      </c>
      <c r="L65" s="4008" t="str">
        <f ca="1">IF(L57&lt;J60,"——",L57-J62)</f>
        <v>——</v>
      </c>
      <c r="O65" s="4162" t="s">
        <v>397</v>
      </c>
      <c r="P65" s="4166" t="s">
        <v>3957</v>
      </c>
      <c r="Q65" s="4167">
        <f ca="1">C28+J31</f>
        <v>412212</v>
      </c>
      <c r="R65" s="4164" t="s">
        <v>3918</v>
      </c>
    </row>
    <row r="66" spans="1:18" s="961" customFormat="1" ht="24.6" thickBot="1">
      <c r="A66" s="537" t="s">
        <v>392</v>
      </c>
      <c r="B66" s="2766" t="s">
        <v>3986</v>
      </c>
      <c r="C66" s="2774">
        <f ca="1">ROUND(IF(AND(项目基本情况!B11="自然人",项目基本情况!B10="北京市",M56="住宅"),C58*F66,C67+C71+C72),0)</f>
        <v>636</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6" thickBot="1">
      <c r="A67" s="2771" t="s">
        <v>391</v>
      </c>
      <c r="B67" s="2785" t="s">
        <v>3978</v>
      </c>
      <c r="C67" s="2774">
        <f ca="1">C70</f>
        <v>-35</v>
      </c>
      <c r="D67" s="4610" t="s">
        <v>3977</v>
      </c>
      <c r="E67" s="4611"/>
      <c r="F67" s="4611"/>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3285</v>
      </c>
      <c r="B68" s="2789" t="s">
        <v>3404</v>
      </c>
      <c r="C68" s="2774">
        <f ca="1">ROUND(C58*F68,0)</f>
        <v>0</v>
      </c>
      <c r="D68" s="1020" t="s">
        <v>3874</v>
      </c>
      <c r="E68" s="2795" t="s">
        <v>3406</v>
      </c>
      <c r="F68" s="2841">
        <f>F16</f>
        <v>0.09</v>
      </c>
      <c r="I68" s="1028" t="s">
        <v>836</v>
      </c>
      <c r="J68" s="4016">
        <f ca="1">IF(OR(M56="住宅",J60&lt;L57,J65="是"),"——",ROUND(C51*J67,0))</f>
        <v>544597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3286</v>
      </c>
      <c r="B69" s="2789" t="s">
        <v>3405</v>
      </c>
      <c r="C69" s="2774">
        <f ca="1">ROUND(C74*F68+((C76+C78)*F69),0)</f>
        <v>290</v>
      </c>
      <c r="D69" s="4101" t="s">
        <v>3868</v>
      </c>
      <c r="E69" s="2796"/>
      <c r="F69" s="2841">
        <f>F17</f>
        <v>0.06</v>
      </c>
      <c r="I69" s="1031" t="s">
        <v>838</v>
      </c>
      <c r="J69" s="4017">
        <f ca="1">IF(OR(M56="住宅",J60&lt;L57,J65="是"),"0",ROUND(J68/(1+J61)^J62,0))</f>
        <v>69282</v>
      </c>
      <c r="K69" s="1033" t="s">
        <v>839</v>
      </c>
      <c r="L69" s="4017">
        <f ca="1">IF(OR(M56="住宅",L57&lt;J60),0,ROUND(L66*(L67/L68-1),0))</f>
        <v>0</v>
      </c>
      <c r="O69" s="1002" t="s">
        <v>401</v>
      </c>
      <c r="P69" s="994" t="s">
        <v>840</v>
      </c>
      <c r="Q69" s="3541" t="e">
        <f ca="1">L67</f>
        <v>#DIV/0!</v>
      </c>
      <c r="R69" s="995" t="s">
        <v>841</v>
      </c>
    </row>
    <row r="70" spans="1:18" s="961" customFormat="1" ht="13.8" thickBot="1">
      <c r="A70" s="2570" t="s">
        <v>3975</v>
      </c>
      <c r="B70" s="2789" t="s">
        <v>3973</v>
      </c>
      <c r="C70" s="2774">
        <f ca="1">ROUND((C68-C69)*F70,0)</f>
        <v>-35</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13.8" thickBot="1">
      <c r="A71" s="2771" t="s">
        <v>767</v>
      </c>
      <c r="B71" s="2766" t="s">
        <v>3984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0.12</v>
      </c>
      <c r="I71" s="1035" t="s">
        <v>843</v>
      </c>
      <c r="J71" s="1036" t="s">
        <v>844</v>
      </c>
      <c r="K71" s="1036" t="s">
        <v>845</v>
      </c>
      <c r="L71" s="1036" t="s">
        <v>846</v>
      </c>
      <c r="M71" s="1037" t="s">
        <v>847</v>
      </c>
      <c r="O71" s="4162" t="s">
        <v>403</v>
      </c>
      <c r="P71" s="4166" t="s">
        <v>3960</v>
      </c>
      <c r="Q71" s="4167">
        <f ca="1">ROUND((Q65+Q66)*(1+F31),0)</f>
        <v>449311</v>
      </c>
      <c r="R71" s="4164" t="s">
        <v>3961</v>
      </c>
    </row>
    <row r="72" spans="1:18" s="961" customFormat="1" ht="13.8" thickBot="1">
      <c r="A72" s="3966" t="s">
        <v>770</v>
      </c>
      <c r="B72" s="4212" t="s">
        <v>3980</v>
      </c>
      <c r="C72" s="3130">
        <f ca="1">IF(项目基本情况!B11="自然人","——",ROUND(F72*F73,0))</f>
        <v>671</v>
      </c>
      <c r="D72" s="659" t="s">
        <v>772</v>
      </c>
      <c r="E72" s="644" t="s">
        <v>718</v>
      </c>
      <c r="F72" s="3528">
        <f t="shared" si="0"/>
        <v>12</v>
      </c>
      <c r="I72" s="3533" t="s">
        <v>849</v>
      </c>
      <c r="J72" s="223">
        <v>70</v>
      </c>
      <c r="K72" s="223">
        <v>50</v>
      </c>
      <c r="L72" s="223">
        <v>80</v>
      </c>
      <c r="M72" s="1038">
        <v>0.02</v>
      </c>
      <c r="O72" s="978" t="s">
        <v>850</v>
      </c>
      <c r="P72" s="958"/>
      <c r="Q72" s="3540"/>
      <c r="R72" s="958"/>
    </row>
    <row r="73" spans="1:18" s="961" customFormat="1" ht="13.8" thickBot="1">
      <c r="A73" s="3967"/>
      <c r="B73" s="650"/>
      <c r="C73" s="3131"/>
      <c r="D73" s="660"/>
      <c r="E73" s="644" t="s">
        <v>722</v>
      </c>
      <c r="F73" s="3133">
        <f t="shared" ca="1" si="0"/>
        <v>55.92</v>
      </c>
      <c r="I73" s="3533" t="s">
        <v>851</v>
      </c>
      <c r="J73" s="223">
        <v>50</v>
      </c>
      <c r="K73" s="223">
        <v>35</v>
      </c>
      <c r="L73" s="223">
        <v>60</v>
      </c>
      <c r="M73" s="1037">
        <v>0</v>
      </c>
      <c r="O73" s="4159" t="s">
        <v>1327</v>
      </c>
      <c r="P73" s="4160" t="s">
        <v>3914</v>
      </c>
      <c r="Q73" s="4183" t="s">
        <v>3915</v>
      </c>
      <c r="R73" s="4161" t="s">
        <v>3916</v>
      </c>
    </row>
    <row r="74" spans="1:18" s="961" customFormat="1" ht="13.8" thickBot="1">
      <c r="A74" s="3988" t="s">
        <v>775</v>
      </c>
      <c r="B74" s="643" t="s">
        <v>776</v>
      </c>
      <c r="C74" s="3999">
        <f ca="1">ROUND(F74*F75,0)</f>
        <v>2464</v>
      </c>
      <c r="D74" s="3982" t="s">
        <v>725</v>
      </c>
      <c r="E74" s="2766" t="s">
        <v>3813</v>
      </c>
      <c r="F74" s="2833">
        <f ca="1">C51</f>
        <v>1232120</v>
      </c>
      <c r="I74" s="3533" t="s">
        <v>852</v>
      </c>
      <c r="J74" s="223">
        <v>40</v>
      </c>
      <c r="K74" s="223">
        <v>30</v>
      </c>
      <c r="L74" s="223">
        <v>50</v>
      </c>
      <c r="M74" s="1038">
        <v>0.02</v>
      </c>
      <c r="O74" s="4162" t="s">
        <v>397</v>
      </c>
      <c r="P74" s="4163" t="s">
        <v>3917</v>
      </c>
      <c r="Q74" s="4165">
        <f ca="1">C28+J31</f>
        <v>412212</v>
      </c>
      <c r="R74" s="4164" t="s">
        <v>3918</v>
      </c>
    </row>
    <row r="75" spans="1:18" s="961" customFormat="1" ht="16.2" thickBot="1">
      <c r="A75" s="3990"/>
      <c r="B75" s="650"/>
      <c r="C75" s="4000"/>
      <c r="D75" s="3983"/>
      <c r="E75" s="644" t="s">
        <v>698</v>
      </c>
      <c r="F75" s="2843">
        <f ca="1">F22</f>
        <v>2E-3</v>
      </c>
      <c r="O75" s="4162" t="s">
        <v>398</v>
      </c>
      <c r="P75" s="4163" t="s">
        <v>3921</v>
      </c>
      <c r="Q75" s="4184">
        <f ca="1">L69</f>
        <v>0</v>
      </c>
      <c r="R75" s="4164" t="s">
        <v>3923</v>
      </c>
    </row>
    <row r="76" spans="1:18" s="961" customFormat="1" ht="13.8" thickBot="1">
      <c r="A76" s="3988" t="s">
        <v>778</v>
      </c>
      <c r="B76" s="643" t="s">
        <v>728</v>
      </c>
      <c r="C76" s="3999">
        <f ca="1">ROUND(F76*F77,0)</f>
        <v>1134</v>
      </c>
      <c r="D76" s="3982" t="s">
        <v>3443</v>
      </c>
      <c r="E76" s="2766" t="s">
        <v>3442</v>
      </c>
      <c r="F76" s="2586">
        <f ca="1">C53</f>
        <v>1133550</v>
      </c>
      <c r="O76" s="993"/>
      <c r="P76" s="994"/>
      <c r="Q76" s="3541"/>
      <c r="R76" s="995"/>
    </row>
    <row r="77" spans="1:18" s="961" customFormat="1" ht="17.399999999999999" thickBot="1">
      <c r="A77" s="3990"/>
      <c r="B77" s="650"/>
      <c r="C77" s="4000"/>
      <c r="D77" s="3983"/>
      <c r="E77" s="644" t="s">
        <v>698</v>
      </c>
      <c r="F77" s="2843">
        <f ca="1">F24</f>
        <v>1E-3</v>
      </c>
      <c r="O77" s="1002" t="s">
        <v>399</v>
      </c>
      <c r="P77" s="994" t="s">
        <v>835</v>
      </c>
      <c r="Q77" s="3542">
        <f ca="1">L60</f>
        <v>306560</v>
      </c>
      <c r="R77" s="995" t="s">
        <v>855</v>
      </c>
    </row>
    <row r="78" spans="1:18" s="4123" customFormat="1" ht="13.8" thickBot="1">
      <c r="A78" s="537" t="s">
        <v>779</v>
      </c>
      <c r="B78" s="644" t="s">
        <v>714</v>
      </c>
      <c r="C78" s="2774">
        <f ca="1">ROUND(C57*F78,0)</f>
        <v>0</v>
      </c>
      <c r="D78" s="658" t="s">
        <v>3872</v>
      </c>
      <c r="E78" s="644" t="s">
        <v>698</v>
      </c>
      <c r="F78" s="2843">
        <f ca="1">F26</f>
        <v>0.01</v>
      </c>
      <c r="G78" s="961"/>
      <c r="H78" s="961"/>
      <c r="O78" s="1002"/>
      <c r="P78" s="994"/>
      <c r="Q78" s="3542"/>
      <c r="R78" s="995"/>
    </row>
    <row r="79" spans="1:18" s="4123" customFormat="1" ht="24.6" thickBot="1">
      <c r="A79" s="651" t="s">
        <v>3950</v>
      </c>
      <c r="B79" s="661" t="s">
        <v>3895</v>
      </c>
      <c r="C79" s="2817">
        <f ca="1">C57-C65</f>
        <v>-4234</v>
      </c>
      <c r="D79" s="4150" t="s">
        <v>3896</v>
      </c>
      <c r="E79" s="4151"/>
      <c r="F79" s="4152"/>
      <c r="O79" s="1002" t="s">
        <v>400</v>
      </c>
      <c r="P79" s="1040" t="s">
        <v>3951</v>
      </c>
      <c r="Q79" s="3542">
        <f ca="1">ROUND(Q80-Q81*Q82,0)</f>
        <v>16452</v>
      </c>
      <c r="R79" s="995" t="s">
        <v>408</v>
      </c>
    </row>
    <row r="80" spans="1:18" s="4123" customFormat="1" ht="13.8" thickBot="1">
      <c r="A80" s="3307" t="s">
        <v>388</v>
      </c>
      <c r="B80" s="642" t="s">
        <v>3897</v>
      </c>
      <c r="C80" s="3965">
        <f ca="1">ROUND(C79*(1-((1+F82)/(1+F80))^F81)/(F80-F82),0)</f>
        <v>-60253</v>
      </c>
      <c r="D80" s="4153" t="s">
        <v>3898</v>
      </c>
      <c r="E80" s="652" t="s">
        <v>3899</v>
      </c>
      <c r="F80" s="2843">
        <f ca="1">F28</f>
        <v>5.5E-2</v>
      </c>
      <c r="O80" s="1002" t="s">
        <v>405</v>
      </c>
      <c r="P80" s="1040" t="s">
        <v>3952</v>
      </c>
      <c r="Q80" s="3542">
        <f ca="1">C27</f>
        <v>23352</v>
      </c>
      <c r="R80" s="995" t="s">
        <v>804</v>
      </c>
    </row>
    <row r="81" spans="1:18" s="4123" customFormat="1" ht="13.8" thickBot="1">
      <c r="A81" s="3308"/>
      <c r="B81" s="646"/>
      <c r="C81" s="3517"/>
      <c r="D81" s="4154" t="s">
        <v>3903</v>
      </c>
      <c r="E81" s="652" t="s">
        <v>3902</v>
      </c>
      <c r="F81" s="2844">
        <f ca="1">F29</f>
        <v>28.51</v>
      </c>
      <c r="O81" s="1002" t="s">
        <v>406</v>
      </c>
      <c r="P81" s="1040" t="s">
        <v>3953</v>
      </c>
      <c r="Q81" s="3542">
        <f ca="1">C52</f>
        <v>98570</v>
      </c>
      <c r="R81" s="995" t="s">
        <v>804</v>
      </c>
    </row>
    <row r="82" spans="1:18" s="4123" customFormat="1" ht="13.8" thickBot="1">
      <c r="A82" s="4181"/>
      <c r="B82" s="4182"/>
      <c r="C82" s="4182"/>
      <c r="D82" s="4155"/>
      <c r="E82" s="652" t="s">
        <v>3904</v>
      </c>
      <c r="F82" s="2838"/>
      <c r="O82" s="1002" t="s">
        <v>407</v>
      </c>
      <c r="P82" s="1040" t="s">
        <v>3954</v>
      </c>
      <c r="Q82" s="3539">
        <f ca="1">C88</f>
        <v>7.0000000000000007E-2</v>
      </c>
      <c r="R82" s="995"/>
    </row>
    <row r="83" spans="1:18" s="4123" customFormat="1" ht="13.8" thickBot="1">
      <c r="A83" s="648"/>
      <c r="B83" s="2816" t="s">
        <v>3956</v>
      </c>
      <c r="C83" s="3968">
        <f ca="1">ROUND(C80*(1+F31),0)</f>
        <v>-65676</v>
      </c>
      <c r="D83" s="4156" t="str">
        <f>D31</f>
        <v>其他类型公式—收益价值×（1+9%）</v>
      </c>
      <c r="E83" s="1044"/>
      <c r="F83" s="4157"/>
      <c r="O83" s="1002" t="s">
        <v>401</v>
      </c>
      <c r="P83" s="994" t="s">
        <v>3955</v>
      </c>
      <c r="Q83" s="3539">
        <f>L61</f>
        <v>0</v>
      </c>
      <c r="R83" s="995"/>
    </row>
    <row r="84" spans="1:18" ht="16.2" thickBot="1">
      <c r="A84" s="665" t="s">
        <v>389</v>
      </c>
      <c r="B84" s="666" t="s">
        <v>762</v>
      </c>
      <c r="C84" s="2828">
        <f ca="1">ROUND(C83/F84,0)</f>
        <v>-336</v>
      </c>
      <c r="D84" s="4158" t="s">
        <v>3907</v>
      </c>
      <c r="E84" s="666" t="s">
        <v>3908</v>
      </c>
      <c r="F84" s="2845">
        <f ca="1">F32</f>
        <v>195.18</v>
      </c>
      <c r="G84" s="4123"/>
      <c r="H84" s="4123"/>
      <c r="O84" s="1002" t="s">
        <v>402</v>
      </c>
      <c r="P84" s="994" t="s">
        <v>840</v>
      </c>
      <c r="Q84" s="3541" t="e">
        <f ca="1">L67</f>
        <v>#DIV/0!</v>
      </c>
      <c r="R84" s="995" t="s">
        <v>841</v>
      </c>
    </row>
    <row r="85" spans="1:18" ht="13.8" thickBot="1">
      <c r="A85" s="961"/>
      <c r="B85" s="494"/>
      <c r="C85" s="494"/>
      <c r="D85" s="961"/>
      <c r="E85" s="961"/>
      <c r="F85" s="961"/>
      <c r="O85" s="1002" t="s">
        <v>409</v>
      </c>
      <c r="P85" s="994" t="str">
        <f>K68</f>
        <v>建筑物剩余耐用年限下的土地年期修正系数Kn</v>
      </c>
      <c r="Q85" s="3541" t="e">
        <f ca="1">L68</f>
        <v>#DIV/0!</v>
      </c>
      <c r="R85" s="995" t="s">
        <v>842</v>
      </c>
    </row>
    <row r="86" spans="1:18" ht="13.8" thickBot="1">
      <c r="A86" s="961"/>
      <c r="B86" s="168" t="s">
        <v>860</v>
      </c>
      <c r="C86" s="1042"/>
      <c r="D86" s="961"/>
      <c r="E86" s="961"/>
      <c r="F86" s="961"/>
      <c r="K86" s="977"/>
      <c r="L86" s="961"/>
      <c r="O86" s="4162" t="s">
        <v>403</v>
      </c>
      <c r="P86" s="4166" t="s">
        <v>3960</v>
      </c>
      <c r="Q86" s="4165">
        <f ca="1">ROUND((Q74+Q75)*(1+F31),0)</f>
        <v>449311</v>
      </c>
      <c r="R86" s="4164" t="s">
        <v>3961</v>
      </c>
    </row>
    <row r="87" spans="1:18">
      <c r="A87" s="961"/>
      <c r="B87" s="222" t="s">
        <v>781</v>
      </c>
      <c r="C87" s="2908">
        <f ca="1">ROUND(C53*C88,0)</f>
        <v>79349</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-2.3980000000000001</v>
      </c>
    </row>
    <row r="92" spans="1:18">
      <c r="B92" s="222" t="s">
        <v>786</v>
      </c>
      <c r="C92" s="2909">
        <f ca="1">ROUND(C87/C27,3)</f>
        <v>3.3980000000000001</v>
      </c>
    </row>
    <row r="93" spans="1:18">
      <c r="B93" s="165" t="s">
        <v>787</v>
      </c>
      <c r="C93" s="133"/>
    </row>
    <row r="94" spans="1:18">
      <c r="B94" s="168" t="s">
        <v>788</v>
      </c>
      <c r="C94" s="2910">
        <f ca="1">1-C95</f>
        <v>-1.3540000000000001</v>
      </c>
    </row>
    <row r="95" spans="1:18">
      <c r="B95" s="168" t="s">
        <v>789</v>
      </c>
      <c r="C95" s="2909">
        <f ca="1">ROUND(C53/(C28+J31+L55),3)</f>
        <v>2.3540000000000001</v>
      </c>
    </row>
  </sheetData>
  <sheetProtection password="CEE9" sheet="1" objects="1" scenarios="1"/>
  <mergeCells count="14">
    <mergeCell ref="B59:B60"/>
    <mergeCell ref="D59:D60"/>
    <mergeCell ref="D15:F15"/>
    <mergeCell ref="K15:M15"/>
    <mergeCell ref="A7:A8"/>
    <mergeCell ref="B7:B8"/>
    <mergeCell ref="C7:C8"/>
    <mergeCell ref="D7:D8"/>
    <mergeCell ref="H7:H8"/>
    <mergeCell ref="D67:F67"/>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956"/>
      <c r="D1" s="940" t="s">
        <v>41</v>
      </c>
      <c r="E1" s="941" t="s">
        <v>665</v>
      </c>
      <c r="F1" s="722">
        <f ca="1">J53</f>
        <v>0</v>
      </c>
      <c r="G1" s="955">
        <f>MATCH(C1,'数据-取费表'!A6:A16,0)+5</f>
        <v>10</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626" t="s">
        <v>680</v>
      </c>
      <c r="C6" s="734">
        <f ca="1">ROUND(F6*F8*F7*(1-F9),0)</f>
        <v>0</v>
      </c>
      <c r="D6" s="56" t="s">
        <v>2018</v>
      </c>
      <c r="E6" s="186" t="s">
        <v>682</v>
      </c>
      <c r="F6" s="187">
        <f ca="1">INDIRECT("'数据-取费表'!u"&amp;$G$1)</f>
        <v>0</v>
      </c>
      <c r="G6" s="961"/>
      <c r="H6" s="729" t="s">
        <v>392</v>
      </c>
      <c r="I6" s="4626" t="s">
        <v>680</v>
      </c>
      <c r="J6" s="185">
        <f ca="1">ROUND(M6*M8*M7*(1-M9),0)</f>
        <v>0</v>
      </c>
      <c r="K6" s="953" t="s">
        <v>2019</v>
      </c>
      <c r="L6" s="186" t="s">
        <v>682</v>
      </c>
      <c r="M6" s="187">
        <f ca="1">INDIRECT("'数据-取费表'!z"&amp;$G$1)</f>
        <v>0</v>
      </c>
    </row>
    <row r="7" spans="1:37" ht="18" customHeight="1">
      <c r="A7" s="733"/>
      <c r="B7" s="4627"/>
      <c r="C7" s="735"/>
      <c r="D7" s="191"/>
      <c r="E7" s="736" t="s">
        <v>683</v>
      </c>
      <c r="F7" s="187">
        <f ca="1">IF(INDIRECT("'数据-取费表'!ah"&amp;$G$1)="",INDIRECT("'数据-取费表'!k"&amp;$G$1),INDIRECT("'数据-取费表'!ah"&amp;$G$1))</f>
        <v>0</v>
      </c>
      <c r="G7" s="961"/>
      <c r="H7" s="188"/>
      <c r="I7" s="4627"/>
      <c r="J7" s="190"/>
      <c r="K7" s="191"/>
      <c r="L7" s="186" t="s">
        <v>683</v>
      </c>
      <c r="M7" s="187">
        <f ca="1">F7</f>
        <v>0</v>
      </c>
    </row>
    <row r="8" spans="1:37" ht="18" customHeight="1">
      <c r="A8" s="188"/>
      <c r="B8" s="4627"/>
      <c r="C8" s="190"/>
      <c r="D8" s="191"/>
      <c r="E8" s="186" t="s">
        <v>684</v>
      </c>
      <c r="F8" s="187">
        <f ca="1">INDIRECT("'数据-取费表'!ai"&amp;$G$1)</f>
        <v>0</v>
      </c>
      <c r="G8" s="961"/>
      <c r="H8" s="188"/>
      <c r="I8" s="4627"/>
      <c r="J8" s="190"/>
      <c r="K8" s="191"/>
      <c r="L8" s="186" t="s">
        <v>684</v>
      </c>
      <c r="M8" s="187">
        <f ca="1">INDIRECT("'数据-取费表'!ai"&amp;$G$1)</f>
        <v>0</v>
      </c>
    </row>
    <row r="9" spans="1:37" ht="18" customHeight="1">
      <c r="A9" s="188"/>
      <c r="B9" s="4628"/>
      <c r="C9" s="190"/>
      <c r="D9" s="191"/>
      <c r="E9" s="186" t="s">
        <v>685</v>
      </c>
      <c r="F9" s="196">
        <f ca="1">INDIRECT("'数据-取费表'!w"&amp;$G$1)</f>
        <v>0</v>
      </c>
      <c r="G9" s="961"/>
      <c r="H9" s="188"/>
      <c r="I9" s="4628"/>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3218</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12</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2197</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3218</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12</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3234</v>
      </c>
      <c r="B45" s="975"/>
      <c r="C45" s="1045" t="e">
        <f ca="1">ROUND((C68-C40)/10000,4)</f>
        <v>#DIV/0!</v>
      </c>
      <c r="D45" s="2539" t="s">
        <v>3235</v>
      </c>
      <c r="E45" s="975"/>
      <c r="F45" s="975"/>
      <c r="O45" s="978" t="s">
        <v>794</v>
      </c>
      <c r="P45" s="1034"/>
      <c r="Q45" s="1034"/>
      <c r="R45" s="1034"/>
    </row>
    <row r="46" spans="1:18" s="961" customFormat="1" ht="13.8"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8"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40.200000000000003"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8"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8"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8"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8"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618" t="s">
        <v>823</v>
      </c>
      <c r="L53" s="4619"/>
      <c r="O53" s="993" t="s">
        <v>403</v>
      </c>
      <c r="P53" s="994" t="s">
        <v>824</v>
      </c>
      <c r="Q53" s="995" t="e">
        <f ca="1">Q47+Q48</f>
        <v>#DIV/0!</v>
      </c>
      <c r="R53" s="995" t="s">
        <v>404</v>
      </c>
    </row>
    <row r="54" spans="1:18" s="961" customFormat="1" ht="13.8"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8"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6"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6"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6"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2"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8" thickBot="1">
      <c r="A61" s="676" t="s">
        <v>767</v>
      </c>
      <c r="B61" s="644" t="s">
        <v>768</v>
      </c>
      <c r="C61" s="12">
        <f ca="1">IF(项目基本情况!B11="自然人","——",IF(D61="按租金收入计税",ROUND(C49*F61/(1+'数据-取费表'!C43),0),IF(D61="按房产原值计税",ROUND(C57*F61*0.7,0),INDIRECT("'数据-取费表'!Aj"&amp;$G$1))))</f>
        <v>0</v>
      </c>
      <c r="D61" s="947" t="s">
        <v>3218</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8" thickBot="1">
      <c r="A62" s="676" t="s">
        <v>770</v>
      </c>
      <c r="B62" s="643" t="s">
        <v>771</v>
      </c>
      <c r="C62" s="13">
        <f ca="1">IF(项目基本情况!B11="自然人","——",ROUND(F62*F63,0))</f>
        <v>0</v>
      </c>
      <c r="D62" s="659" t="s">
        <v>772</v>
      </c>
      <c r="E62" s="644" t="s">
        <v>773</v>
      </c>
      <c r="F62" s="208">
        <f t="shared" si="0"/>
        <v>12</v>
      </c>
      <c r="I62" s="1035" t="s">
        <v>843</v>
      </c>
      <c r="J62" s="1036" t="s">
        <v>844</v>
      </c>
      <c r="K62" s="1036" t="s">
        <v>845</v>
      </c>
      <c r="L62" s="1036" t="s">
        <v>846</v>
      </c>
      <c r="M62" s="1037" t="s">
        <v>847</v>
      </c>
      <c r="O62" s="993" t="s">
        <v>403</v>
      </c>
      <c r="P62" s="994" t="s">
        <v>848</v>
      </c>
      <c r="Q62" s="995" t="e">
        <f ca="1">Q56+Q57</f>
        <v>#DIV/0!</v>
      </c>
      <c r="R62" s="995" t="s">
        <v>404</v>
      </c>
    </row>
    <row r="63" spans="1:18" s="961" customFormat="1" ht="13.8"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8"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8"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2"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24.6" thickBot="1">
      <c r="A67" s="651" t="s">
        <v>388</v>
      </c>
      <c r="B67" s="661" t="s">
        <v>738</v>
      </c>
      <c r="C67" s="200">
        <f ca="1">C48-C58</f>
        <v>0</v>
      </c>
      <c r="D67" s="657" t="s">
        <v>739</v>
      </c>
      <c r="E67" s="662"/>
      <c r="F67" s="663"/>
      <c r="O67" s="1002" t="s">
        <v>399</v>
      </c>
      <c r="P67" s="994" t="s">
        <v>835</v>
      </c>
      <c r="Q67" s="1039">
        <f ca="1">L51</f>
        <v>0</v>
      </c>
      <c r="R67" s="995" t="s">
        <v>855</v>
      </c>
    </row>
    <row r="68" spans="1:18" s="961" customFormat="1" ht="16.2"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8" thickBot="1">
      <c r="A69" s="645"/>
      <c r="B69" s="646"/>
      <c r="C69" s="190"/>
      <c r="D69" s="664" t="s">
        <v>748</v>
      </c>
      <c r="E69" s="644" t="s">
        <v>749</v>
      </c>
      <c r="F69" s="215">
        <f ca="1">F41</f>
        <v>0</v>
      </c>
      <c r="O69" s="1002" t="s">
        <v>405</v>
      </c>
      <c r="P69" s="1040" t="s">
        <v>857</v>
      </c>
      <c r="Q69" s="995">
        <f ca="1">C39</f>
        <v>0</v>
      </c>
      <c r="R69" s="995" t="s">
        <v>804</v>
      </c>
    </row>
    <row r="70" spans="1:18" s="961" customFormat="1" ht="13.8" thickBot="1">
      <c r="A70" s="648"/>
      <c r="B70" s="649"/>
      <c r="C70" s="194"/>
      <c r="D70" s="660"/>
      <c r="E70" s="644" t="s">
        <v>752</v>
      </c>
      <c r="F70" s="714"/>
      <c r="O70" s="1002" t="s">
        <v>406</v>
      </c>
      <c r="P70" s="1040" t="s">
        <v>858</v>
      </c>
      <c r="Q70" s="995">
        <f ca="1">C13</f>
        <v>0</v>
      </c>
      <c r="R70" s="995" t="s">
        <v>804</v>
      </c>
    </row>
    <row r="71" spans="1:18" s="961" customFormat="1" ht="13.8"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8" thickBot="1">
      <c r="B72" s="494"/>
      <c r="C72" s="494"/>
      <c r="O72" s="1002" t="s">
        <v>401</v>
      </c>
      <c r="P72" s="994" t="s">
        <v>837</v>
      </c>
      <c r="Q72" s="1005">
        <f>L52</f>
        <v>0</v>
      </c>
      <c r="R72" s="995"/>
    </row>
    <row r="73" spans="1:18" ht="16.2" thickBot="1">
      <c r="A73" s="961"/>
      <c r="B73" s="494"/>
      <c r="C73" s="494"/>
      <c r="D73" s="961"/>
      <c r="E73" s="961"/>
      <c r="F73" s="961"/>
      <c r="O73" s="1002" t="s">
        <v>402</v>
      </c>
      <c r="P73" s="994" t="s">
        <v>840</v>
      </c>
      <c r="Q73" s="995" t="e">
        <f ca="1">L58</f>
        <v>#DIV/0!</v>
      </c>
      <c r="R73" s="995" t="s">
        <v>841</v>
      </c>
    </row>
    <row r="74" spans="1:18" ht="13.8"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8"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100" customWidth="1"/>
    <col min="2" max="2" width="8.88671875" style="2100"/>
    <col min="3" max="5" width="12.88671875" style="2100" customWidth="1"/>
    <col min="6" max="6" width="47.44140625" style="2100" customWidth="1"/>
    <col min="7" max="7" width="13" style="2094" customWidth="1"/>
    <col min="8" max="8" width="8.88671875" style="2094"/>
    <col min="9" max="9" width="8.88671875" style="2095"/>
    <col min="10" max="10" width="5.77734375" style="2212" customWidth="1"/>
    <col min="11" max="11" width="11.77734375" style="2212" customWidth="1"/>
    <col min="12" max="13" width="10.77734375" style="2212" customWidth="1"/>
    <col min="14" max="14" width="10" style="2212" customWidth="1"/>
    <col min="15" max="16" width="10.44140625" style="2212" bestFit="1"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095"/>
    <col min="23" max="256" width="8.88671875" style="2100"/>
    <col min="257" max="257" width="9.44140625" style="2100" customWidth="1"/>
    <col min="258" max="258" width="8.88671875" style="2100"/>
    <col min="259" max="261" width="12.88671875" style="2100" customWidth="1"/>
    <col min="262" max="262" width="47.44140625" style="2100" customWidth="1"/>
    <col min="263" max="263" width="13" style="2100" customWidth="1"/>
    <col min="264" max="265" width="8.88671875" style="2100"/>
    <col min="266" max="266" width="5.77734375" style="2100" customWidth="1"/>
    <col min="267" max="267" width="11.77734375" style="2100" customWidth="1"/>
    <col min="268" max="269" width="10.77734375" style="2100" customWidth="1"/>
    <col min="270" max="270" width="10" style="2100" customWidth="1"/>
    <col min="271" max="272" width="10.44140625" style="2100" bestFit="1" customWidth="1"/>
    <col min="273" max="273" width="10" style="2100" customWidth="1"/>
    <col min="274" max="274" width="10.109375" style="2100" customWidth="1"/>
    <col min="275" max="275" width="10" style="2100" customWidth="1"/>
    <col min="276" max="276" width="26.109375" style="2100" customWidth="1"/>
    <col min="277" max="512" width="8.88671875" style="2100"/>
    <col min="513" max="513" width="9.44140625" style="2100" customWidth="1"/>
    <col min="514" max="514" width="8.88671875" style="2100"/>
    <col min="515" max="517" width="12.88671875" style="2100" customWidth="1"/>
    <col min="518" max="518" width="47.44140625" style="2100" customWidth="1"/>
    <col min="519" max="519" width="13" style="2100" customWidth="1"/>
    <col min="520" max="521" width="8.88671875" style="2100"/>
    <col min="522" max="522" width="5.77734375" style="2100" customWidth="1"/>
    <col min="523" max="523" width="11.77734375" style="2100" customWidth="1"/>
    <col min="524" max="525" width="10.77734375" style="2100" customWidth="1"/>
    <col min="526" max="526" width="10" style="2100" customWidth="1"/>
    <col min="527" max="528" width="10.44140625" style="2100" bestFit="1" customWidth="1"/>
    <col min="529" max="529" width="10" style="2100" customWidth="1"/>
    <col min="530" max="530" width="10.109375" style="2100" customWidth="1"/>
    <col min="531" max="531" width="10" style="2100" customWidth="1"/>
    <col min="532" max="532" width="26.109375" style="2100" customWidth="1"/>
    <col min="533" max="768" width="8.88671875" style="2100"/>
    <col min="769" max="769" width="9.44140625" style="2100" customWidth="1"/>
    <col min="770" max="770" width="8.88671875" style="2100"/>
    <col min="771" max="773" width="12.88671875" style="2100" customWidth="1"/>
    <col min="774" max="774" width="47.44140625" style="2100" customWidth="1"/>
    <col min="775" max="775" width="13" style="2100" customWidth="1"/>
    <col min="776" max="777" width="8.88671875" style="2100"/>
    <col min="778" max="778" width="5.77734375" style="2100" customWidth="1"/>
    <col min="779" max="779" width="11.77734375" style="2100" customWidth="1"/>
    <col min="780" max="781" width="10.77734375" style="2100" customWidth="1"/>
    <col min="782" max="782" width="10" style="2100" customWidth="1"/>
    <col min="783" max="784" width="10.44140625" style="2100" bestFit="1" customWidth="1"/>
    <col min="785" max="785" width="10" style="2100" customWidth="1"/>
    <col min="786" max="786" width="10.109375" style="2100" customWidth="1"/>
    <col min="787" max="787" width="10" style="2100" customWidth="1"/>
    <col min="788" max="788" width="26.109375" style="2100" customWidth="1"/>
    <col min="789" max="1024" width="8.88671875" style="2100"/>
    <col min="1025" max="1025" width="9.44140625" style="2100" customWidth="1"/>
    <col min="1026" max="1026" width="8.88671875" style="2100"/>
    <col min="1027" max="1029" width="12.88671875" style="2100" customWidth="1"/>
    <col min="1030" max="1030" width="47.44140625" style="2100" customWidth="1"/>
    <col min="1031" max="1031" width="13" style="2100" customWidth="1"/>
    <col min="1032" max="1033" width="8.88671875" style="2100"/>
    <col min="1034" max="1034" width="5.77734375" style="2100" customWidth="1"/>
    <col min="1035" max="1035" width="11.77734375" style="2100" customWidth="1"/>
    <col min="1036" max="1037" width="10.77734375" style="2100" customWidth="1"/>
    <col min="1038" max="1038" width="10" style="2100" customWidth="1"/>
    <col min="1039" max="1040" width="10.44140625" style="2100" bestFit="1" customWidth="1"/>
    <col min="1041" max="1041" width="10" style="2100" customWidth="1"/>
    <col min="1042" max="1042" width="10.109375" style="2100" customWidth="1"/>
    <col min="1043" max="1043" width="10" style="2100" customWidth="1"/>
    <col min="1044" max="1044" width="26.109375" style="2100" customWidth="1"/>
    <col min="1045" max="1280" width="8.88671875" style="2100"/>
    <col min="1281" max="1281" width="9.44140625" style="2100" customWidth="1"/>
    <col min="1282" max="1282" width="8.88671875" style="2100"/>
    <col min="1283" max="1285" width="12.88671875" style="2100" customWidth="1"/>
    <col min="1286" max="1286" width="47.44140625" style="2100" customWidth="1"/>
    <col min="1287" max="1287" width="13" style="2100" customWidth="1"/>
    <col min="1288" max="1289" width="8.88671875" style="2100"/>
    <col min="1290" max="1290" width="5.77734375" style="2100" customWidth="1"/>
    <col min="1291" max="1291" width="11.77734375" style="2100" customWidth="1"/>
    <col min="1292" max="1293" width="10.77734375" style="2100" customWidth="1"/>
    <col min="1294" max="1294" width="10" style="2100" customWidth="1"/>
    <col min="1295" max="1296" width="10.44140625" style="2100" bestFit="1" customWidth="1"/>
    <col min="1297" max="1297" width="10" style="2100" customWidth="1"/>
    <col min="1298" max="1298" width="10.109375" style="2100" customWidth="1"/>
    <col min="1299" max="1299" width="10" style="2100" customWidth="1"/>
    <col min="1300" max="1300" width="26.109375" style="2100" customWidth="1"/>
    <col min="1301" max="1536" width="8.88671875" style="2100"/>
    <col min="1537" max="1537" width="9.44140625" style="2100" customWidth="1"/>
    <col min="1538" max="1538" width="8.88671875" style="2100"/>
    <col min="1539" max="1541" width="12.88671875" style="2100" customWidth="1"/>
    <col min="1542" max="1542" width="47.44140625" style="2100" customWidth="1"/>
    <col min="1543" max="1543" width="13" style="2100" customWidth="1"/>
    <col min="1544" max="1545" width="8.88671875" style="2100"/>
    <col min="1546" max="1546" width="5.77734375" style="2100" customWidth="1"/>
    <col min="1547" max="1547" width="11.77734375" style="2100" customWidth="1"/>
    <col min="1548" max="1549" width="10.77734375" style="2100" customWidth="1"/>
    <col min="1550" max="1550" width="10" style="2100" customWidth="1"/>
    <col min="1551" max="1552" width="10.44140625" style="2100" bestFit="1" customWidth="1"/>
    <col min="1553" max="1553" width="10" style="2100" customWidth="1"/>
    <col min="1554" max="1554" width="10.109375" style="2100" customWidth="1"/>
    <col min="1555" max="1555" width="10" style="2100" customWidth="1"/>
    <col min="1556" max="1556" width="26.109375" style="2100" customWidth="1"/>
    <col min="1557" max="1792" width="8.88671875" style="2100"/>
    <col min="1793" max="1793" width="9.44140625" style="2100" customWidth="1"/>
    <col min="1794" max="1794" width="8.88671875" style="2100"/>
    <col min="1795" max="1797" width="12.88671875" style="2100" customWidth="1"/>
    <col min="1798" max="1798" width="47.44140625" style="2100" customWidth="1"/>
    <col min="1799" max="1799" width="13" style="2100" customWidth="1"/>
    <col min="1800" max="1801" width="8.88671875" style="2100"/>
    <col min="1802" max="1802" width="5.77734375" style="2100" customWidth="1"/>
    <col min="1803" max="1803" width="11.77734375" style="2100" customWidth="1"/>
    <col min="1804" max="1805" width="10.77734375" style="2100" customWidth="1"/>
    <col min="1806" max="1806" width="10" style="2100" customWidth="1"/>
    <col min="1807" max="1808" width="10.44140625" style="2100" bestFit="1" customWidth="1"/>
    <col min="1809" max="1809" width="10" style="2100" customWidth="1"/>
    <col min="1810" max="1810" width="10.109375" style="2100" customWidth="1"/>
    <col min="1811" max="1811" width="10" style="2100" customWidth="1"/>
    <col min="1812" max="1812" width="26.109375" style="2100" customWidth="1"/>
    <col min="1813" max="2048" width="8.88671875" style="2100"/>
    <col min="2049" max="2049" width="9.44140625" style="2100" customWidth="1"/>
    <col min="2050" max="2050" width="8.88671875" style="2100"/>
    <col min="2051" max="2053" width="12.88671875" style="2100" customWidth="1"/>
    <col min="2054" max="2054" width="47.44140625" style="2100" customWidth="1"/>
    <col min="2055" max="2055" width="13" style="2100" customWidth="1"/>
    <col min="2056" max="2057" width="8.88671875" style="2100"/>
    <col min="2058" max="2058" width="5.77734375" style="2100" customWidth="1"/>
    <col min="2059" max="2059" width="11.77734375" style="2100" customWidth="1"/>
    <col min="2060" max="2061" width="10.77734375" style="2100" customWidth="1"/>
    <col min="2062" max="2062" width="10" style="2100" customWidth="1"/>
    <col min="2063" max="2064" width="10.44140625" style="2100" bestFit="1" customWidth="1"/>
    <col min="2065" max="2065" width="10" style="2100" customWidth="1"/>
    <col min="2066" max="2066" width="10.109375" style="2100" customWidth="1"/>
    <col min="2067" max="2067" width="10" style="2100" customWidth="1"/>
    <col min="2068" max="2068" width="26.109375" style="2100" customWidth="1"/>
    <col min="2069" max="2304" width="8.88671875" style="2100"/>
    <col min="2305" max="2305" width="9.44140625" style="2100" customWidth="1"/>
    <col min="2306" max="2306" width="8.88671875" style="2100"/>
    <col min="2307" max="2309" width="12.88671875" style="2100" customWidth="1"/>
    <col min="2310" max="2310" width="47.44140625" style="2100" customWidth="1"/>
    <col min="2311" max="2311" width="13" style="2100" customWidth="1"/>
    <col min="2312" max="2313" width="8.88671875" style="2100"/>
    <col min="2314" max="2314" width="5.77734375" style="2100" customWidth="1"/>
    <col min="2315" max="2315" width="11.77734375" style="2100" customWidth="1"/>
    <col min="2316" max="2317" width="10.77734375" style="2100" customWidth="1"/>
    <col min="2318" max="2318" width="10" style="2100" customWidth="1"/>
    <col min="2319" max="2320" width="10.44140625" style="2100" bestFit="1" customWidth="1"/>
    <col min="2321" max="2321" width="10" style="2100" customWidth="1"/>
    <col min="2322" max="2322" width="10.109375" style="2100" customWidth="1"/>
    <col min="2323" max="2323" width="10" style="2100" customWidth="1"/>
    <col min="2324" max="2324" width="26.109375" style="2100" customWidth="1"/>
    <col min="2325" max="2560" width="8.88671875" style="2100"/>
    <col min="2561" max="2561" width="9.44140625" style="2100" customWidth="1"/>
    <col min="2562" max="2562" width="8.88671875" style="2100"/>
    <col min="2563" max="2565" width="12.88671875" style="2100" customWidth="1"/>
    <col min="2566" max="2566" width="47.44140625" style="2100" customWidth="1"/>
    <col min="2567" max="2567" width="13" style="2100" customWidth="1"/>
    <col min="2568" max="2569" width="8.88671875" style="2100"/>
    <col min="2570" max="2570" width="5.77734375" style="2100" customWidth="1"/>
    <col min="2571" max="2571" width="11.77734375" style="2100" customWidth="1"/>
    <col min="2572" max="2573" width="10.77734375" style="2100" customWidth="1"/>
    <col min="2574" max="2574" width="10" style="2100" customWidth="1"/>
    <col min="2575" max="2576" width="10.44140625" style="2100" bestFit="1" customWidth="1"/>
    <col min="2577" max="2577" width="10" style="2100" customWidth="1"/>
    <col min="2578" max="2578" width="10.109375" style="2100" customWidth="1"/>
    <col min="2579" max="2579" width="10" style="2100" customWidth="1"/>
    <col min="2580" max="2580" width="26.109375" style="2100" customWidth="1"/>
    <col min="2581" max="2816" width="8.88671875" style="2100"/>
    <col min="2817" max="2817" width="9.44140625" style="2100" customWidth="1"/>
    <col min="2818" max="2818" width="8.88671875" style="2100"/>
    <col min="2819" max="2821" width="12.88671875" style="2100" customWidth="1"/>
    <col min="2822" max="2822" width="47.44140625" style="2100" customWidth="1"/>
    <col min="2823" max="2823" width="13" style="2100" customWidth="1"/>
    <col min="2824" max="2825" width="8.88671875" style="2100"/>
    <col min="2826" max="2826" width="5.77734375" style="2100" customWidth="1"/>
    <col min="2827" max="2827" width="11.77734375" style="2100" customWidth="1"/>
    <col min="2828" max="2829" width="10.77734375" style="2100" customWidth="1"/>
    <col min="2830" max="2830" width="10" style="2100" customWidth="1"/>
    <col min="2831" max="2832" width="10.44140625" style="2100" bestFit="1" customWidth="1"/>
    <col min="2833" max="2833" width="10" style="2100" customWidth="1"/>
    <col min="2834" max="2834" width="10.109375" style="2100" customWidth="1"/>
    <col min="2835" max="2835" width="10" style="2100" customWidth="1"/>
    <col min="2836" max="2836" width="26.109375" style="2100" customWidth="1"/>
    <col min="2837" max="3072" width="8.88671875" style="2100"/>
    <col min="3073" max="3073" width="9.44140625" style="2100" customWidth="1"/>
    <col min="3074" max="3074" width="8.88671875" style="2100"/>
    <col min="3075" max="3077" width="12.88671875" style="2100" customWidth="1"/>
    <col min="3078" max="3078" width="47.44140625" style="2100" customWidth="1"/>
    <col min="3079" max="3079" width="13" style="2100" customWidth="1"/>
    <col min="3080" max="3081" width="8.88671875" style="2100"/>
    <col min="3082" max="3082" width="5.77734375" style="2100" customWidth="1"/>
    <col min="3083" max="3083" width="11.77734375" style="2100" customWidth="1"/>
    <col min="3084" max="3085" width="10.77734375" style="2100" customWidth="1"/>
    <col min="3086" max="3086" width="10" style="2100" customWidth="1"/>
    <col min="3087" max="3088" width="10.44140625" style="2100" bestFit="1" customWidth="1"/>
    <col min="3089" max="3089" width="10" style="2100" customWidth="1"/>
    <col min="3090" max="3090" width="10.109375" style="2100" customWidth="1"/>
    <col min="3091" max="3091" width="10" style="2100" customWidth="1"/>
    <col min="3092" max="3092" width="26.109375" style="2100" customWidth="1"/>
    <col min="3093" max="3328" width="8.88671875" style="2100"/>
    <col min="3329" max="3329" width="9.44140625" style="2100" customWidth="1"/>
    <col min="3330" max="3330" width="8.88671875" style="2100"/>
    <col min="3331" max="3333" width="12.88671875" style="2100" customWidth="1"/>
    <col min="3334" max="3334" width="47.44140625" style="2100" customWidth="1"/>
    <col min="3335" max="3335" width="13" style="2100" customWidth="1"/>
    <col min="3336" max="3337" width="8.88671875" style="2100"/>
    <col min="3338" max="3338" width="5.77734375" style="2100" customWidth="1"/>
    <col min="3339" max="3339" width="11.77734375" style="2100" customWidth="1"/>
    <col min="3340" max="3341" width="10.77734375" style="2100" customWidth="1"/>
    <col min="3342" max="3342" width="10" style="2100" customWidth="1"/>
    <col min="3343" max="3344" width="10.44140625" style="2100" bestFit="1" customWidth="1"/>
    <col min="3345" max="3345" width="10" style="2100" customWidth="1"/>
    <col min="3346" max="3346" width="10.109375" style="2100" customWidth="1"/>
    <col min="3347" max="3347" width="10" style="2100" customWidth="1"/>
    <col min="3348" max="3348" width="26.109375" style="2100" customWidth="1"/>
    <col min="3349" max="3584" width="8.88671875" style="2100"/>
    <col min="3585" max="3585" width="9.44140625" style="2100" customWidth="1"/>
    <col min="3586" max="3586" width="8.88671875" style="2100"/>
    <col min="3587" max="3589" width="12.88671875" style="2100" customWidth="1"/>
    <col min="3590" max="3590" width="47.44140625" style="2100" customWidth="1"/>
    <col min="3591" max="3591" width="13" style="2100" customWidth="1"/>
    <col min="3592" max="3593" width="8.88671875" style="2100"/>
    <col min="3594" max="3594" width="5.77734375" style="2100" customWidth="1"/>
    <col min="3595" max="3595" width="11.77734375" style="2100" customWidth="1"/>
    <col min="3596" max="3597" width="10.77734375" style="2100" customWidth="1"/>
    <col min="3598" max="3598" width="10" style="2100" customWidth="1"/>
    <col min="3599" max="3600" width="10.44140625" style="2100" bestFit="1" customWidth="1"/>
    <col min="3601" max="3601" width="10" style="2100" customWidth="1"/>
    <col min="3602" max="3602" width="10.109375" style="2100" customWidth="1"/>
    <col min="3603" max="3603" width="10" style="2100" customWidth="1"/>
    <col min="3604" max="3604" width="26.109375" style="2100" customWidth="1"/>
    <col min="3605" max="3840" width="8.88671875" style="2100"/>
    <col min="3841" max="3841" width="9.44140625" style="2100" customWidth="1"/>
    <col min="3842" max="3842" width="8.88671875" style="2100"/>
    <col min="3843" max="3845" width="12.88671875" style="2100" customWidth="1"/>
    <col min="3846" max="3846" width="47.44140625" style="2100" customWidth="1"/>
    <col min="3847" max="3847" width="13" style="2100" customWidth="1"/>
    <col min="3848" max="3849" width="8.88671875" style="2100"/>
    <col min="3850" max="3850" width="5.77734375" style="2100" customWidth="1"/>
    <col min="3851" max="3851" width="11.77734375" style="2100" customWidth="1"/>
    <col min="3852" max="3853" width="10.77734375" style="2100" customWidth="1"/>
    <col min="3854" max="3854" width="10" style="2100" customWidth="1"/>
    <col min="3855" max="3856" width="10.44140625" style="2100" bestFit="1" customWidth="1"/>
    <col min="3857" max="3857" width="10" style="2100" customWidth="1"/>
    <col min="3858" max="3858" width="10.109375" style="2100" customWidth="1"/>
    <col min="3859" max="3859" width="10" style="2100" customWidth="1"/>
    <col min="3860" max="3860" width="26.109375" style="2100" customWidth="1"/>
    <col min="3861" max="4096" width="8.88671875" style="2100"/>
    <col min="4097" max="4097" width="9.44140625" style="2100" customWidth="1"/>
    <col min="4098" max="4098" width="8.88671875" style="2100"/>
    <col min="4099" max="4101" width="12.88671875" style="2100" customWidth="1"/>
    <col min="4102" max="4102" width="47.44140625" style="2100" customWidth="1"/>
    <col min="4103" max="4103" width="13" style="2100" customWidth="1"/>
    <col min="4104" max="4105" width="8.88671875" style="2100"/>
    <col min="4106" max="4106" width="5.77734375" style="2100" customWidth="1"/>
    <col min="4107" max="4107" width="11.77734375" style="2100" customWidth="1"/>
    <col min="4108" max="4109" width="10.77734375" style="2100" customWidth="1"/>
    <col min="4110" max="4110" width="10" style="2100" customWidth="1"/>
    <col min="4111" max="4112" width="10.44140625" style="2100" bestFit="1" customWidth="1"/>
    <col min="4113" max="4113" width="10" style="2100" customWidth="1"/>
    <col min="4114" max="4114" width="10.109375" style="2100" customWidth="1"/>
    <col min="4115" max="4115" width="10" style="2100" customWidth="1"/>
    <col min="4116" max="4116" width="26.109375" style="2100" customWidth="1"/>
    <col min="4117" max="4352" width="8.88671875" style="2100"/>
    <col min="4353" max="4353" width="9.44140625" style="2100" customWidth="1"/>
    <col min="4354" max="4354" width="8.88671875" style="2100"/>
    <col min="4355" max="4357" width="12.88671875" style="2100" customWidth="1"/>
    <col min="4358" max="4358" width="47.44140625" style="2100" customWidth="1"/>
    <col min="4359" max="4359" width="13" style="2100" customWidth="1"/>
    <col min="4360" max="4361" width="8.88671875" style="2100"/>
    <col min="4362" max="4362" width="5.77734375" style="2100" customWidth="1"/>
    <col min="4363" max="4363" width="11.77734375" style="2100" customWidth="1"/>
    <col min="4364" max="4365" width="10.77734375" style="2100" customWidth="1"/>
    <col min="4366" max="4366" width="10" style="2100" customWidth="1"/>
    <col min="4367" max="4368" width="10.44140625" style="2100" bestFit="1" customWidth="1"/>
    <col min="4369" max="4369" width="10" style="2100" customWidth="1"/>
    <col min="4370" max="4370" width="10.109375" style="2100" customWidth="1"/>
    <col min="4371" max="4371" width="10" style="2100" customWidth="1"/>
    <col min="4372" max="4372" width="26.109375" style="2100" customWidth="1"/>
    <col min="4373" max="4608" width="8.88671875" style="2100"/>
    <col min="4609" max="4609" width="9.44140625" style="2100" customWidth="1"/>
    <col min="4610" max="4610" width="8.88671875" style="2100"/>
    <col min="4611" max="4613" width="12.88671875" style="2100" customWidth="1"/>
    <col min="4614" max="4614" width="47.44140625" style="2100" customWidth="1"/>
    <col min="4615" max="4615" width="13" style="2100" customWidth="1"/>
    <col min="4616" max="4617" width="8.88671875" style="2100"/>
    <col min="4618" max="4618" width="5.77734375" style="2100" customWidth="1"/>
    <col min="4619" max="4619" width="11.77734375" style="2100" customWidth="1"/>
    <col min="4620" max="4621" width="10.77734375" style="2100" customWidth="1"/>
    <col min="4622" max="4622" width="10" style="2100" customWidth="1"/>
    <col min="4623" max="4624" width="10.44140625" style="2100" bestFit="1" customWidth="1"/>
    <col min="4625" max="4625" width="10" style="2100" customWidth="1"/>
    <col min="4626" max="4626" width="10.109375" style="2100" customWidth="1"/>
    <col min="4627" max="4627" width="10" style="2100" customWidth="1"/>
    <col min="4628" max="4628" width="26.109375" style="2100" customWidth="1"/>
    <col min="4629" max="4864" width="8.88671875" style="2100"/>
    <col min="4865" max="4865" width="9.44140625" style="2100" customWidth="1"/>
    <col min="4866" max="4866" width="8.88671875" style="2100"/>
    <col min="4867" max="4869" width="12.88671875" style="2100" customWidth="1"/>
    <col min="4870" max="4870" width="47.44140625" style="2100" customWidth="1"/>
    <col min="4871" max="4871" width="13" style="2100" customWidth="1"/>
    <col min="4872" max="4873" width="8.88671875" style="2100"/>
    <col min="4874" max="4874" width="5.77734375" style="2100" customWidth="1"/>
    <col min="4875" max="4875" width="11.77734375" style="2100" customWidth="1"/>
    <col min="4876" max="4877" width="10.77734375" style="2100" customWidth="1"/>
    <col min="4878" max="4878" width="10" style="2100" customWidth="1"/>
    <col min="4879" max="4880" width="10.44140625" style="2100" bestFit="1" customWidth="1"/>
    <col min="4881" max="4881" width="10" style="2100" customWidth="1"/>
    <col min="4882" max="4882" width="10.109375" style="2100" customWidth="1"/>
    <col min="4883" max="4883" width="10" style="2100" customWidth="1"/>
    <col min="4884" max="4884" width="26.109375" style="2100" customWidth="1"/>
    <col min="4885" max="5120" width="8.88671875" style="2100"/>
    <col min="5121" max="5121" width="9.44140625" style="2100" customWidth="1"/>
    <col min="5122" max="5122" width="8.88671875" style="2100"/>
    <col min="5123" max="5125" width="12.88671875" style="2100" customWidth="1"/>
    <col min="5126" max="5126" width="47.44140625" style="2100" customWidth="1"/>
    <col min="5127" max="5127" width="13" style="2100" customWidth="1"/>
    <col min="5128" max="5129" width="8.88671875" style="2100"/>
    <col min="5130" max="5130" width="5.77734375" style="2100" customWidth="1"/>
    <col min="5131" max="5131" width="11.77734375" style="2100" customWidth="1"/>
    <col min="5132" max="5133" width="10.77734375" style="2100" customWidth="1"/>
    <col min="5134" max="5134" width="10" style="2100" customWidth="1"/>
    <col min="5135" max="5136" width="10.44140625" style="2100" bestFit="1" customWidth="1"/>
    <col min="5137" max="5137" width="10" style="2100" customWidth="1"/>
    <col min="5138" max="5138" width="10.109375" style="2100" customWidth="1"/>
    <col min="5139" max="5139" width="10" style="2100" customWidth="1"/>
    <col min="5140" max="5140" width="26.109375" style="2100" customWidth="1"/>
    <col min="5141" max="5376" width="8.88671875" style="2100"/>
    <col min="5377" max="5377" width="9.44140625" style="2100" customWidth="1"/>
    <col min="5378" max="5378" width="8.88671875" style="2100"/>
    <col min="5379" max="5381" width="12.88671875" style="2100" customWidth="1"/>
    <col min="5382" max="5382" width="47.44140625" style="2100" customWidth="1"/>
    <col min="5383" max="5383" width="13" style="2100" customWidth="1"/>
    <col min="5384" max="5385" width="8.88671875" style="2100"/>
    <col min="5386" max="5386" width="5.77734375" style="2100" customWidth="1"/>
    <col min="5387" max="5387" width="11.77734375" style="2100" customWidth="1"/>
    <col min="5388" max="5389" width="10.77734375" style="2100" customWidth="1"/>
    <col min="5390" max="5390" width="10" style="2100" customWidth="1"/>
    <col min="5391" max="5392" width="10.44140625" style="2100" bestFit="1" customWidth="1"/>
    <col min="5393" max="5393" width="10" style="2100" customWidth="1"/>
    <col min="5394" max="5394" width="10.109375" style="2100" customWidth="1"/>
    <col min="5395" max="5395" width="10" style="2100" customWidth="1"/>
    <col min="5396" max="5396" width="26.109375" style="2100" customWidth="1"/>
    <col min="5397" max="5632" width="8.88671875" style="2100"/>
    <col min="5633" max="5633" width="9.44140625" style="2100" customWidth="1"/>
    <col min="5634" max="5634" width="8.88671875" style="2100"/>
    <col min="5635" max="5637" width="12.88671875" style="2100" customWidth="1"/>
    <col min="5638" max="5638" width="47.44140625" style="2100" customWidth="1"/>
    <col min="5639" max="5639" width="13" style="2100" customWidth="1"/>
    <col min="5640" max="5641" width="8.88671875" style="2100"/>
    <col min="5642" max="5642" width="5.77734375" style="2100" customWidth="1"/>
    <col min="5643" max="5643" width="11.77734375" style="2100" customWidth="1"/>
    <col min="5644" max="5645" width="10.77734375" style="2100" customWidth="1"/>
    <col min="5646" max="5646" width="10" style="2100" customWidth="1"/>
    <col min="5647" max="5648" width="10.44140625" style="2100" bestFit="1" customWidth="1"/>
    <col min="5649" max="5649" width="10" style="2100" customWidth="1"/>
    <col min="5650" max="5650" width="10.109375" style="2100" customWidth="1"/>
    <col min="5651" max="5651" width="10" style="2100" customWidth="1"/>
    <col min="5652" max="5652" width="26.109375" style="2100" customWidth="1"/>
    <col min="5653" max="5888" width="8.88671875" style="2100"/>
    <col min="5889" max="5889" width="9.44140625" style="2100" customWidth="1"/>
    <col min="5890" max="5890" width="8.88671875" style="2100"/>
    <col min="5891" max="5893" width="12.88671875" style="2100" customWidth="1"/>
    <col min="5894" max="5894" width="47.44140625" style="2100" customWidth="1"/>
    <col min="5895" max="5895" width="13" style="2100" customWidth="1"/>
    <col min="5896" max="5897" width="8.88671875" style="2100"/>
    <col min="5898" max="5898" width="5.77734375" style="2100" customWidth="1"/>
    <col min="5899" max="5899" width="11.77734375" style="2100" customWidth="1"/>
    <col min="5900" max="5901" width="10.77734375" style="2100" customWidth="1"/>
    <col min="5902" max="5902" width="10" style="2100" customWidth="1"/>
    <col min="5903" max="5904" width="10.44140625" style="2100" bestFit="1" customWidth="1"/>
    <col min="5905" max="5905" width="10" style="2100" customWidth="1"/>
    <col min="5906" max="5906" width="10.109375" style="2100" customWidth="1"/>
    <col min="5907" max="5907" width="10" style="2100" customWidth="1"/>
    <col min="5908" max="5908" width="26.109375" style="2100" customWidth="1"/>
    <col min="5909" max="6144" width="8.88671875" style="2100"/>
    <col min="6145" max="6145" width="9.44140625" style="2100" customWidth="1"/>
    <col min="6146" max="6146" width="8.88671875" style="2100"/>
    <col min="6147" max="6149" width="12.88671875" style="2100" customWidth="1"/>
    <col min="6150" max="6150" width="47.44140625" style="2100" customWidth="1"/>
    <col min="6151" max="6151" width="13" style="2100" customWidth="1"/>
    <col min="6152" max="6153" width="8.88671875" style="2100"/>
    <col min="6154" max="6154" width="5.77734375" style="2100" customWidth="1"/>
    <col min="6155" max="6155" width="11.77734375" style="2100" customWidth="1"/>
    <col min="6156" max="6157" width="10.77734375" style="2100" customWidth="1"/>
    <col min="6158" max="6158" width="10" style="2100" customWidth="1"/>
    <col min="6159" max="6160" width="10.44140625" style="2100" bestFit="1" customWidth="1"/>
    <col min="6161" max="6161" width="10" style="2100" customWidth="1"/>
    <col min="6162" max="6162" width="10.109375" style="2100" customWidth="1"/>
    <col min="6163" max="6163" width="10" style="2100" customWidth="1"/>
    <col min="6164" max="6164" width="26.109375" style="2100" customWidth="1"/>
    <col min="6165" max="6400" width="8.88671875" style="2100"/>
    <col min="6401" max="6401" width="9.44140625" style="2100" customWidth="1"/>
    <col min="6402" max="6402" width="8.88671875" style="2100"/>
    <col min="6403" max="6405" width="12.88671875" style="2100" customWidth="1"/>
    <col min="6406" max="6406" width="47.44140625" style="2100" customWidth="1"/>
    <col min="6407" max="6407" width="13" style="2100" customWidth="1"/>
    <col min="6408" max="6409" width="8.88671875" style="2100"/>
    <col min="6410" max="6410" width="5.77734375" style="2100" customWidth="1"/>
    <col min="6411" max="6411" width="11.77734375" style="2100" customWidth="1"/>
    <col min="6412" max="6413" width="10.77734375" style="2100" customWidth="1"/>
    <col min="6414" max="6414" width="10" style="2100" customWidth="1"/>
    <col min="6415" max="6416" width="10.44140625" style="2100" bestFit="1" customWidth="1"/>
    <col min="6417" max="6417" width="10" style="2100" customWidth="1"/>
    <col min="6418" max="6418" width="10.109375" style="2100" customWidth="1"/>
    <col min="6419" max="6419" width="10" style="2100" customWidth="1"/>
    <col min="6420" max="6420" width="26.109375" style="2100" customWidth="1"/>
    <col min="6421" max="6656" width="8.88671875" style="2100"/>
    <col min="6657" max="6657" width="9.44140625" style="2100" customWidth="1"/>
    <col min="6658" max="6658" width="8.88671875" style="2100"/>
    <col min="6659" max="6661" width="12.88671875" style="2100" customWidth="1"/>
    <col min="6662" max="6662" width="47.44140625" style="2100" customWidth="1"/>
    <col min="6663" max="6663" width="13" style="2100" customWidth="1"/>
    <col min="6664" max="6665" width="8.88671875" style="2100"/>
    <col min="6666" max="6666" width="5.77734375" style="2100" customWidth="1"/>
    <col min="6667" max="6667" width="11.77734375" style="2100" customWidth="1"/>
    <col min="6668" max="6669" width="10.77734375" style="2100" customWidth="1"/>
    <col min="6670" max="6670" width="10" style="2100" customWidth="1"/>
    <col min="6671" max="6672" width="10.44140625" style="2100" bestFit="1" customWidth="1"/>
    <col min="6673" max="6673" width="10" style="2100" customWidth="1"/>
    <col min="6674" max="6674" width="10.109375" style="2100" customWidth="1"/>
    <col min="6675" max="6675" width="10" style="2100" customWidth="1"/>
    <col min="6676" max="6676" width="26.109375" style="2100" customWidth="1"/>
    <col min="6677" max="6912" width="8.88671875" style="2100"/>
    <col min="6913" max="6913" width="9.44140625" style="2100" customWidth="1"/>
    <col min="6914" max="6914" width="8.88671875" style="2100"/>
    <col min="6915" max="6917" width="12.88671875" style="2100" customWidth="1"/>
    <col min="6918" max="6918" width="47.44140625" style="2100" customWidth="1"/>
    <col min="6919" max="6919" width="13" style="2100" customWidth="1"/>
    <col min="6920" max="6921" width="8.88671875" style="2100"/>
    <col min="6922" max="6922" width="5.77734375" style="2100" customWidth="1"/>
    <col min="6923" max="6923" width="11.77734375" style="2100" customWidth="1"/>
    <col min="6924" max="6925" width="10.77734375" style="2100" customWidth="1"/>
    <col min="6926" max="6926" width="10" style="2100" customWidth="1"/>
    <col min="6927" max="6928" width="10.44140625" style="2100" bestFit="1" customWidth="1"/>
    <col min="6929" max="6929" width="10" style="2100" customWidth="1"/>
    <col min="6930" max="6930" width="10.109375" style="2100" customWidth="1"/>
    <col min="6931" max="6931" width="10" style="2100" customWidth="1"/>
    <col min="6932" max="6932" width="26.109375" style="2100" customWidth="1"/>
    <col min="6933" max="7168" width="8.88671875" style="2100"/>
    <col min="7169" max="7169" width="9.44140625" style="2100" customWidth="1"/>
    <col min="7170" max="7170" width="8.88671875" style="2100"/>
    <col min="7171" max="7173" width="12.88671875" style="2100" customWidth="1"/>
    <col min="7174" max="7174" width="47.44140625" style="2100" customWidth="1"/>
    <col min="7175" max="7175" width="13" style="2100" customWidth="1"/>
    <col min="7176" max="7177" width="8.88671875" style="2100"/>
    <col min="7178" max="7178" width="5.77734375" style="2100" customWidth="1"/>
    <col min="7179" max="7179" width="11.77734375" style="2100" customWidth="1"/>
    <col min="7180" max="7181" width="10.77734375" style="2100" customWidth="1"/>
    <col min="7182" max="7182" width="10" style="2100" customWidth="1"/>
    <col min="7183" max="7184" width="10.44140625" style="2100" bestFit="1" customWidth="1"/>
    <col min="7185" max="7185" width="10" style="2100" customWidth="1"/>
    <col min="7186" max="7186" width="10.109375" style="2100" customWidth="1"/>
    <col min="7187" max="7187" width="10" style="2100" customWidth="1"/>
    <col min="7188" max="7188" width="26.109375" style="2100" customWidth="1"/>
    <col min="7189" max="7424" width="8.88671875" style="2100"/>
    <col min="7425" max="7425" width="9.44140625" style="2100" customWidth="1"/>
    <col min="7426" max="7426" width="8.88671875" style="2100"/>
    <col min="7427" max="7429" width="12.88671875" style="2100" customWidth="1"/>
    <col min="7430" max="7430" width="47.44140625" style="2100" customWidth="1"/>
    <col min="7431" max="7431" width="13" style="2100" customWidth="1"/>
    <col min="7432" max="7433" width="8.88671875" style="2100"/>
    <col min="7434" max="7434" width="5.77734375" style="2100" customWidth="1"/>
    <col min="7435" max="7435" width="11.77734375" style="2100" customWidth="1"/>
    <col min="7436" max="7437" width="10.77734375" style="2100" customWidth="1"/>
    <col min="7438" max="7438" width="10" style="2100" customWidth="1"/>
    <col min="7439" max="7440" width="10.44140625" style="2100" bestFit="1" customWidth="1"/>
    <col min="7441" max="7441" width="10" style="2100" customWidth="1"/>
    <col min="7442" max="7442" width="10.109375" style="2100" customWidth="1"/>
    <col min="7443" max="7443" width="10" style="2100" customWidth="1"/>
    <col min="7444" max="7444" width="26.109375" style="2100" customWidth="1"/>
    <col min="7445" max="7680" width="8.88671875" style="2100"/>
    <col min="7681" max="7681" width="9.44140625" style="2100" customWidth="1"/>
    <col min="7682" max="7682" width="8.88671875" style="2100"/>
    <col min="7683" max="7685" width="12.88671875" style="2100" customWidth="1"/>
    <col min="7686" max="7686" width="47.44140625" style="2100" customWidth="1"/>
    <col min="7687" max="7687" width="13" style="2100" customWidth="1"/>
    <col min="7688" max="7689" width="8.88671875" style="2100"/>
    <col min="7690" max="7690" width="5.77734375" style="2100" customWidth="1"/>
    <col min="7691" max="7691" width="11.77734375" style="2100" customWidth="1"/>
    <col min="7692" max="7693" width="10.77734375" style="2100" customWidth="1"/>
    <col min="7694" max="7694" width="10" style="2100" customWidth="1"/>
    <col min="7695" max="7696" width="10.44140625" style="2100" bestFit="1" customWidth="1"/>
    <col min="7697" max="7697" width="10" style="2100" customWidth="1"/>
    <col min="7698" max="7698" width="10.109375" style="2100" customWidth="1"/>
    <col min="7699" max="7699" width="10" style="2100" customWidth="1"/>
    <col min="7700" max="7700" width="26.109375" style="2100" customWidth="1"/>
    <col min="7701" max="7936" width="8.88671875" style="2100"/>
    <col min="7937" max="7937" width="9.44140625" style="2100" customWidth="1"/>
    <col min="7938" max="7938" width="8.88671875" style="2100"/>
    <col min="7939" max="7941" width="12.88671875" style="2100" customWidth="1"/>
    <col min="7942" max="7942" width="47.44140625" style="2100" customWidth="1"/>
    <col min="7943" max="7943" width="13" style="2100" customWidth="1"/>
    <col min="7944" max="7945" width="8.88671875" style="2100"/>
    <col min="7946" max="7946" width="5.77734375" style="2100" customWidth="1"/>
    <col min="7947" max="7947" width="11.77734375" style="2100" customWidth="1"/>
    <col min="7948" max="7949" width="10.77734375" style="2100" customWidth="1"/>
    <col min="7950" max="7950" width="10" style="2100" customWidth="1"/>
    <col min="7951" max="7952" width="10.44140625" style="2100" bestFit="1" customWidth="1"/>
    <col min="7953" max="7953" width="10" style="2100" customWidth="1"/>
    <col min="7954" max="7954" width="10.109375" style="2100" customWidth="1"/>
    <col min="7955" max="7955" width="10" style="2100" customWidth="1"/>
    <col min="7956" max="7956" width="26.109375" style="2100" customWidth="1"/>
    <col min="7957" max="8192" width="8.88671875" style="2100"/>
    <col min="8193" max="8193" width="9.44140625" style="2100" customWidth="1"/>
    <col min="8194" max="8194" width="8.88671875" style="2100"/>
    <col min="8195" max="8197" width="12.88671875" style="2100" customWidth="1"/>
    <col min="8198" max="8198" width="47.44140625" style="2100" customWidth="1"/>
    <col min="8199" max="8199" width="13" style="2100" customWidth="1"/>
    <col min="8200" max="8201" width="8.88671875" style="2100"/>
    <col min="8202" max="8202" width="5.77734375" style="2100" customWidth="1"/>
    <col min="8203" max="8203" width="11.77734375" style="2100" customWidth="1"/>
    <col min="8204" max="8205" width="10.77734375" style="2100" customWidth="1"/>
    <col min="8206" max="8206" width="10" style="2100" customWidth="1"/>
    <col min="8207" max="8208" width="10.44140625" style="2100" bestFit="1" customWidth="1"/>
    <col min="8209" max="8209" width="10" style="2100" customWidth="1"/>
    <col min="8210" max="8210" width="10.109375" style="2100" customWidth="1"/>
    <col min="8211" max="8211" width="10" style="2100" customWidth="1"/>
    <col min="8212" max="8212" width="26.109375" style="2100" customWidth="1"/>
    <col min="8213" max="8448" width="8.88671875" style="2100"/>
    <col min="8449" max="8449" width="9.44140625" style="2100" customWidth="1"/>
    <col min="8450" max="8450" width="8.88671875" style="2100"/>
    <col min="8451" max="8453" width="12.88671875" style="2100" customWidth="1"/>
    <col min="8454" max="8454" width="47.44140625" style="2100" customWidth="1"/>
    <col min="8455" max="8455" width="13" style="2100" customWidth="1"/>
    <col min="8456" max="8457" width="8.88671875" style="2100"/>
    <col min="8458" max="8458" width="5.77734375" style="2100" customWidth="1"/>
    <col min="8459" max="8459" width="11.77734375" style="2100" customWidth="1"/>
    <col min="8460" max="8461" width="10.77734375" style="2100" customWidth="1"/>
    <col min="8462" max="8462" width="10" style="2100" customWidth="1"/>
    <col min="8463" max="8464" width="10.44140625" style="2100" bestFit="1" customWidth="1"/>
    <col min="8465" max="8465" width="10" style="2100" customWidth="1"/>
    <col min="8466" max="8466" width="10.109375" style="2100" customWidth="1"/>
    <col min="8467" max="8467" width="10" style="2100" customWidth="1"/>
    <col min="8468" max="8468" width="26.109375" style="2100" customWidth="1"/>
    <col min="8469" max="8704" width="8.88671875" style="2100"/>
    <col min="8705" max="8705" width="9.44140625" style="2100" customWidth="1"/>
    <col min="8706" max="8706" width="8.88671875" style="2100"/>
    <col min="8707" max="8709" width="12.88671875" style="2100" customWidth="1"/>
    <col min="8710" max="8710" width="47.44140625" style="2100" customWidth="1"/>
    <col min="8711" max="8711" width="13" style="2100" customWidth="1"/>
    <col min="8712" max="8713" width="8.88671875" style="2100"/>
    <col min="8714" max="8714" width="5.77734375" style="2100" customWidth="1"/>
    <col min="8715" max="8715" width="11.77734375" style="2100" customWidth="1"/>
    <col min="8716" max="8717" width="10.77734375" style="2100" customWidth="1"/>
    <col min="8718" max="8718" width="10" style="2100" customWidth="1"/>
    <col min="8719" max="8720" width="10.44140625" style="2100" bestFit="1" customWidth="1"/>
    <col min="8721" max="8721" width="10" style="2100" customWidth="1"/>
    <col min="8722" max="8722" width="10.109375" style="2100" customWidth="1"/>
    <col min="8723" max="8723" width="10" style="2100" customWidth="1"/>
    <col min="8724" max="8724" width="26.109375" style="2100" customWidth="1"/>
    <col min="8725" max="8960" width="8.88671875" style="2100"/>
    <col min="8961" max="8961" width="9.44140625" style="2100" customWidth="1"/>
    <col min="8962" max="8962" width="8.88671875" style="2100"/>
    <col min="8963" max="8965" width="12.88671875" style="2100" customWidth="1"/>
    <col min="8966" max="8966" width="47.44140625" style="2100" customWidth="1"/>
    <col min="8967" max="8967" width="13" style="2100" customWidth="1"/>
    <col min="8968" max="8969" width="8.88671875" style="2100"/>
    <col min="8970" max="8970" width="5.77734375" style="2100" customWidth="1"/>
    <col min="8971" max="8971" width="11.77734375" style="2100" customWidth="1"/>
    <col min="8972" max="8973" width="10.77734375" style="2100" customWidth="1"/>
    <col min="8974" max="8974" width="10" style="2100" customWidth="1"/>
    <col min="8975" max="8976" width="10.44140625" style="2100" bestFit="1" customWidth="1"/>
    <col min="8977" max="8977" width="10" style="2100" customWidth="1"/>
    <col min="8978" max="8978" width="10.109375" style="2100" customWidth="1"/>
    <col min="8979" max="8979" width="10" style="2100" customWidth="1"/>
    <col min="8980" max="8980" width="26.109375" style="2100" customWidth="1"/>
    <col min="8981" max="9216" width="8.88671875" style="2100"/>
    <col min="9217" max="9217" width="9.44140625" style="2100" customWidth="1"/>
    <col min="9218" max="9218" width="8.88671875" style="2100"/>
    <col min="9219" max="9221" width="12.88671875" style="2100" customWidth="1"/>
    <col min="9222" max="9222" width="47.44140625" style="2100" customWidth="1"/>
    <col min="9223" max="9223" width="13" style="2100" customWidth="1"/>
    <col min="9224" max="9225" width="8.88671875" style="2100"/>
    <col min="9226" max="9226" width="5.77734375" style="2100" customWidth="1"/>
    <col min="9227" max="9227" width="11.77734375" style="2100" customWidth="1"/>
    <col min="9228" max="9229" width="10.77734375" style="2100" customWidth="1"/>
    <col min="9230" max="9230" width="10" style="2100" customWidth="1"/>
    <col min="9231" max="9232" width="10.44140625" style="2100" bestFit="1" customWidth="1"/>
    <col min="9233" max="9233" width="10" style="2100" customWidth="1"/>
    <col min="9234" max="9234" width="10.109375" style="2100" customWidth="1"/>
    <col min="9235" max="9235" width="10" style="2100" customWidth="1"/>
    <col min="9236" max="9236" width="26.109375" style="2100" customWidth="1"/>
    <col min="9237" max="9472" width="8.88671875" style="2100"/>
    <col min="9473" max="9473" width="9.44140625" style="2100" customWidth="1"/>
    <col min="9474" max="9474" width="8.88671875" style="2100"/>
    <col min="9475" max="9477" width="12.88671875" style="2100" customWidth="1"/>
    <col min="9478" max="9478" width="47.44140625" style="2100" customWidth="1"/>
    <col min="9479" max="9479" width="13" style="2100" customWidth="1"/>
    <col min="9480" max="9481" width="8.88671875" style="2100"/>
    <col min="9482" max="9482" width="5.77734375" style="2100" customWidth="1"/>
    <col min="9483" max="9483" width="11.77734375" style="2100" customWidth="1"/>
    <col min="9484" max="9485" width="10.77734375" style="2100" customWidth="1"/>
    <col min="9486" max="9486" width="10" style="2100" customWidth="1"/>
    <col min="9487" max="9488" width="10.44140625" style="2100" bestFit="1" customWidth="1"/>
    <col min="9489" max="9489" width="10" style="2100" customWidth="1"/>
    <col min="9490" max="9490" width="10.109375" style="2100" customWidth="1"/>
    <col min="9491" max="9491" width="10" style="2100" customWidth="1"/>
    <col min="9492" max="9492" width="26.109375" style="2100" customWidth="1"/>
    <col min="9493" max="9728" width="8.88671875" style="2100"/>
    <col min="9729" max="9729" width="9.44140625" style="2100" customWidth="1"/>
    <col min="9730" max="9730" width="8.88671875" style="2100"/>
    <col min="9731" max="9733" width="12.88671875" style="2100" customWidth="1"/>
    <col min="9734" max="9734" width="47.44140625" style="2100" customWidth="1"/>
    <col min="9735" max="9735" width="13" style="2100" customWidth="1"/>
    <col min="9736" max="9737" width="8.88671875" style="2100"/>
    <col min="9738" max="9738" width="5.77734375" style="2100" customWidth="1"/>
    <col min="9739" max="9739" width="11.77734375" style="2100" customWidth="1"/>
    <col min="9740" max="9741" width="10.77734375" style="2100" customWidth="1"/>
    <col min="9742" max="9742" width="10" style="2100" customWidth="1"/>
    <col min="9743" max="9744" width="10.44140625" style="2100" bestFit="1" customWidth="1"/>
    <col min="9745" max="9745" width="10" style="2100" customWidth="1"/>
    <col min="9746" max="9746" width="10.109375" style="2100" customWidth="1"/>
    <col min="9747" max="9747" width="10" style="2100" customWidth="1"/>
    <col min="9748" max="9748" width="26.109375" style="2100" customWidth="1"/>
    <col min="9749" max="9984" width="8.88671875" style="2100"/>
    <col min="9985" max="9985" width="9.44140625" style="2100" customWidth="1"/>
    <col min="9986" max="9986" width="8.88671875" style="2100"/>
    <col min="9987" max="9989" width="12.88671875" style="2100" customWidth="1"/>
    <col min="9990" max="9990" width="47.44140625" style="2100" customWidth="1"/>
    <col min="9991" max="9991" width="13" style="2100" customWidth="1"/>
    <col min="9992" max="9993" width="8.88671875" style="2100"/>
    <col min="9994" max="9994" width="5.77734375" style="2100" customWidth="1"/>
    <col min="9995" max="9995" width="11.77734375" style="2100" customWidth="1"/>
    <col min="9996" max="9997" width="10.77734375" style="2100" customWidth="1"/>
    <col min="9998" max="9998" width="10" style="2100" customWidth="1"/>
    <col min="9999" max="10000" width="10.44140625" style="2100" bestFit="1" customWidth="1"/>
    <col min="10001" max="10001" width="10" style="2100" customWidth="1"/>
    <col min="10002" max="10002" width="10.109375" style="2100" customWidth="1"/>
    <col min="10003" max="10003" width="10" style="2100" customWidth="1"/>
    <col min="10004" max="10004" width="26.109375" style="2100" customWidth="1"/>
    <col min="10005" max="10240" width="8.88671875" style="2100"/>
    <col min="10241" max="10241" width="9.44140625" style="2100" customWidth="1"/>
    <col min="10242" max="10242" width="8.88671875" style="2100"/>
    <col min="10243" max="10245" width="12.88671875" style="2100" customWidth="1"/>
    <col min="10246" max="10246" width="47.44140625" style="2100" customWidth="1"/>
    <col min="10247" max="10247" width="13" style="2100" customWidth="1"/>
    <col min="10248" max="10249" width="8.88671875" style="2100"/>
    <col min="10250" max="10250" width="5.77734375" style="2100" customWidth="1"/>
    <col min="10251" max="10251" width="11.77734375" style="2100" customWidth="1"/>
    <col min="10252" max="10253" width="10.77734375" style="2100" customWidth="1"/>
    <col min="10254" max="10254" width="10" style="2100" customWidth="1"/>
    <col min="10255" max="10256" width="10.44140625" style="2100" bestFit="1" customWidth="1"/>
    <col min="10257" max="10257" width="10" style="2100" customWidth="1"/>
    <col min="10258" max="10258" width="10.109375" style="2100" customWidth="1"/>
    <col min="10259" max="10259" width="10" style="2100" customWidth="1"/>
    <col min="10260" max="10260" width="26.109375" style="2100" customWidth="1"/>
    <col min="10261" max="10496" width="8.88671875" style="2100"/>
    <col min="10497" max="10497" width="9.44140625" style="2100" customWidth="1"/>
    <col min="10498" max="10498" width="8.88671875" style="2100"/>
    <col min="10499" max="10501" width="12.88671875" style="2100" customWidth="1"/>
    <col min="10502" max="10502" width="47.44140625" style="2100" customWidth="1"/>
    <col min="10503" max="10503" width="13" style="2100" customWidth="1"/>
    <col min="10504" max="10505" width="8.88671875" style="2100"/>
    <col min="10506" max="10506" width="5.77734375" style="2100" customWidth="1"/>
    <col min="10507" max="10507" width="11.77734375" style="2100" customWidth="1"/>
    <col min="10508" max="10509" width="10.77734375" style="2100" customWidth="1"/>
    <col min="10510" max="10510" width="10" style="2100" customWidth="1"/>
    <col min="10511" max="10512" width="10.44140625" style="2100" bestFit="1" customWidth="1"/>
    <col min="10513" max="10513" width="10" style="2100" customWidth="1"/>
    <col min="10514" max="10514" width="10.109375" style="2100" customWidth="1"/>
    <col min="10515" max="10515" width="10" style="2100" customWidth="1"/>
    <col min="10516" max="10516" width="26.109375" style="2100" customWidth="1"/>
    <col min="10517" max="10752" width="8.88671875" style="2100"/>
    <col min="10753" max="10753" width="9.44140625" style="2100" customWidth="1"/>
    <col min="10754" max="10754" width="8.88671875" style="2100"/>
    <col min="10755" max="10757" width="12.88671875" style="2100" customWidth="1"/>
    <col min="10758" max="10758" width="47.44140625" style="2100" customWidth="1"/>
    <col min="10759" max="10759" width="13" style="2100" customWidth="1"/>
    <col min="10760" max="10761" width="8.88671875" style="2100"/>
    <col min="10762" max="10762" width="5.77734375" style="2100" customWidth="1"/>
    <col min="10763" max="10763" width="11.77734375" style="2100" customWidth="1"/>
    <col min="10764" max="10765" width="10.77734375" style="2100" customWidth="1"/>
    <col min="10766" max="10766" width="10" style="2100" customWidth="1"/>
    <col min="10767" max="10768" width="10.44140625" style="2100" bestFit="1" customWidth="1"/>
    <col min="10769" max="10769" width="10" style="2100" customWidth="1"/>
    <col min="10770" max="10770" width="10.109375" style="2100" customWidth="1"/>
    <col min="10771" max="10771" width="10" style="2100" customWidth="1"/>
    <col min="10772" max="10772" width="26.109375" style="2100" customWidth="1"/>
    <col min="10773" max="11008" width="8.88671875" style="2100"/>
    <col min="11009" max="11009" width="9.44140625" style="2100" customWidth="1"/>
    <col min="11010" max="11010" width="8.88671875" style="2100"/>
    <col min="11011" max="11013" width="12.88671875" style="2100" customWidth="1"/>
    <col min="11014" max="11014" width="47.44140625" style="2100" customWidth="1"/>
    <col min="11015" max="11015" width="13" style="2100" customWidth="1"/>
    <col min="11016" max="11017" width="8.88671875" style="2100"/>
    <col min="11018" max="11018" width="5.77734375" style="2100" customWidth="1"/>
    <col min="11019" max="11019" width="11.77734375" style="2100" customWidth="1"/>
    <col min="11020" max="11021" width="10.77734375" style="2100" customWidth="1"/>
    <col min="11022" max="11022" width="10" style="2100" customWidth="1"/>
    <col min="11023" max="11024" width="10.44140625" style="2100" bestFit="1" customWidth="1"/>
    <col min="11025" max="11025" width="10" style="2100" customWidth="1"/>
    <col min="11026" max="11026" width="10.109375" style="2100" customWidth="1"/>
    <col min="11027" max="11027" width="10" style="2100" customWidth="1"/>
    <col min="11028" max="11028" width="26.109375" style="2100" customWidth="1"/>
    <col min="11029" max="11264" width="8.88671875" style="2100"/>
    <col min="11265" max="11265" width="9.44140625" style="2100" customWidth="1"/>
    <col min="11266" max="11266" width="8.88671875" style="2100"/>
    <col min="11267" max="11269" width="12.88671875" style="2100" customWidth="1"/>
    <col min="11270" max="11270" width="47.44140625" style="2100" customWidth="1"/>
    <col min="11271" max="11271" width="13" style="2100" customWidth="1"/>
    <col min="11272" max="11273" width="8.88671875" style="2100"/>
    <col min="11274" max="11274" width="5.77734375" style="2100" customWidth="1"/>
    <col min="11275" max="11275" width="11.77734375" style="2100" customWidth="1"/>
    <col min="11276" max="11277" width="10.77734375" style="2100" customWidth="1"/>
    <col min="11278" max="11278" width="10" style="2100" customWidth="1"/>
    <col min="11279" max="11280" width="10.44140625" style="2100" bestFit="1" customWidth="1"/>
    <col min="11281" max="11281" width="10" style="2100" customWidth="1"/>
    <col min="11282" max="11282" width="10.109375" style="2100" customWidth="1"/>
    <col min="11283" max="11283" width="10" style="2100" customWidth="1"/>
    <col min="11284" max="11284" width="26.109375" style="2100" customWidth="1"/>
    <col min="11285" max="11520" width="8.88671875" style="2100"/>
    <col min="11521" max="11521" width="9.44140625" style="2100" customWidth="1"/>
    <col min="11522" max="11522" width="8.88671875" style="2100"/>
    <col min="11523" max="11525" width="12.88671875" style="2100" customWidth="1"/>
    <col min="11526" max="11526" width="47.44140625" style="2100" customWidth="1"/>
    <col min="11527" max="11527" width="13" style="2100" customWidth="1"/>
    <col min="11528" max="11529" width="8.88671875" style="2100"/>
    <col min="11530" max="11530" width="5.77734375" style="2100" customWidth="1"/>
    <col min="11531" max="11531" width="11.77734375" style="2100" customWidth="1"/>
    <col min="11532" max="11533" width="10.77734375" style="2100" customWidth="1"/>
    <col min="11534" max="11534" width="10" style="2100" customWidth="1"/>
    <col min="11535" max="11536" width="10.44140625" style="2100" bestFit="1" customWidth="1"/>
    <col min="11537" max="11537" width="10" style="2100" customWidth="1"/>
    <col min="11538" max="11538" width="10.109375" style="2100" customWidth="1"/>
    <col min="11539" max="11539" width="10" style="2100" customWidth="1"/>
    <col min="11540" max="11540" width="26.109375" style="2100" customWidth="1"/>
    <col min="11541" max="11776" width="8.88671875" style="2100"/>
    <col min="11777" max="11777" width="9.44140625" style="2100" customWidth="1"/>
    <col min="11778" max="11778" width="8.88671875" style="2100"/>
    <col min="11779" max="11781" width="12.88671875" style="2100" customWidth="1"/>
    <col min="11782" max="11782" width="47.44140625" style="2100" customWidth="1"/>
    <col min="11783" max="11783" width="13" style="2100" customWidth="1"/>
    <col min="11784" max="11785" width="8.88671875" style="2100"/>
    <col min="11786" max="11786" width="5.77734375" style="2100" customWidth="1"/>
    <col min="11787" max="11787" width="11.77734375" style="2100" customWidth="1"/>
    <col min="11788" max="11789" width="10.77734375" style="2100" customWidth="1"/>
    <col min="11790" max="11790" width="10" style="2100" customWidth="1"/>
    <col min="11791" max="11792" width="10.44140625" style="2100" bestFit="1" customWidth="1"/>
    <col min="11793" max="11793" width="10" style="2100" customWidth="1"/>
    <col min="11794" max="11794" width="10.109375" style="2100" customWidth="1"/>
    <col min="11795" max="11795" width="10" style="2100" customWidth="1"/>
    <col min="11796" max="11796" width="26.109375" style="2100" customWidth="1"/>
    <col min="11797" max="12032" width="8.88671875" style="2100"/>
    <col min="12033" max="12033" width="9.44140625" style="2100" customWidth="1"/>
    <col min="12034" max="12034" width="8.88671875" style="2100"/>
    <col min="12035" max="12037" width="12.88671875" style="2100" customWidth="1"/>
    <col min="12038" max="12038" width="47.44140625" style="2100" customWidth="1"/>
    <col min="12039" max="12039" width="13" style="2100" customWidth="1"/>
    <col min="12040" max="12041" width="8.88671875" style="2100"/>
    <col min="12042" max="12042" width="5.77734375" style="2100" customWidth="1"/>
    <col min="12043" max="12043" width="11.77734375" style="2100" customWidth="1"/>
    <col min="12044" max="12045" width="10.77734375" style="2100" customWidth="1"/>
    <col min="12046" max="12046" width="10" style="2100" customWidth="1"/>
    <col min="12047" max="12048" width="10.44140625" style="2100" bestFit="1" customWidth="1"/>
    <col min="12049" max="12049" width="10" style="2100" customWidth="1"/>
    <col min="12050" max="12050" width="10.109375" style="2100" customWidth="1"/>
    <col min="12051" max="12051" width="10" style="2100" customWidth="1"/>
    <col min="12052" max="12052" width="26.109375" style="2100" customWidth="1"/>
    <col min="12053" max="12288" width="8.88671875" style="2100"/>
    <col min="12289" max="12289" width="9.44140625" style="2100" customWidth="1"/>
    <col min="12290" max="12290" width="8.88671875" style="2100"/>
    <col min="12291" max="12293" width="12.88671875" style="2100" customWidth="1"/>
    <col min="12294" max="12294" width="47.44140625" style="2100" customWidth="1"/>
    <col min="12295" max="12295" width="13" style="2100" customWidth="1"/>
    <col min="12296" max="12297" width="8.88671875" style="2100"/>
    <col min="12298" max="12298" width="5.77734375" style="2100" customWidth="1"/>
    <col min="12299" max="12299" width="11.77734375" style="2100" customWidth="1"/>
    <col min="12300" max="12301" width="10.77734375" style="2100" customWidth="1"/>
    <col min="12302" max="12302" width="10" style="2100" customWidth="1"/>
    <col min="12303" max="12304" width="10.44140625" style="2100" bestFit="1" customWidth="1"/>
    <col min="12305" max="12305" width="10" style="2100" customWidth="1"/>
    <col min="12306" max="12306" width="10.109375" style="2100" customWidth="1"/>
    <col min="12307" max="12307" width="10" style="2100" customWidth="1"/>
    <col min="12308" max="12308" width="26.109375" style="2100" customWidth="1"/>
    <col min="12309" max="12544" width="8.88671875" style="2100"/>
    <col min="12545" max="12545" width="9.44140625" style="2100" customWidth="1"/>
    <col min="12546" max="12546" width="8.88671875" style="2100"/>
    <col min="12547" max="12549" width="12.88671875" style="2100" customWidth="1"/>
    <col min="12550" max="12550" width="47.44140625" style="2100" customWidth="1"/>
    <col min="12551" max="12551" width="13" style="2100" customWidth="1"/>
    <col min="12552" max="12553" width="8.88671875" style="2100"/>
    <col min="12554" max="12554" width="5.77734375" style="2100" customWidth="1"/>
    <col min="12555" max="12555" width="11.77734375" style="2100" customWidth="1"/>
    <col min="12556" max="12557" width="10.77734375" style="2100" customWidth="1"/>
    <col min="12558" max="12558" width="10" style="2100" customWidth="1"/>
    <col min="12559" max="12560" width="10.44140625" style="2100" bestFit="1" customWidth="1"/>
    <col min="12561" max="12561" width="10" style="2100" customWidth="1"/>
    <col min="12562" max="12562" width="10.109375" style="2100" customWidth="1"/>
    <col min="12563" max="12563" width="10" style="2100" customWidth="1"/>
    <col min="12564" max="12564" width="26.109375" style="2100" customWidth="1"/>
    <col min="12565" max="12800" width="8.88671875" style="2100"/>
    <col min="12801" max="12801" width="9.44140625" style="2100" customWidth="1"/>
    <col min="12802" max="12802" width="8.88671875" style="2100"/>
    <col min="12803" max="12805" width="12.88671875" style="2100" customWidth="1"/>
    <col min="12806" max="12806" width="47.44140625" style="2100" customWidth="1"/>
    <col min="12807" max="12807" width="13" style="2100" customWidth="1"/>
    <col min="12808" max="12809" width="8.88671875" style="2100"/>
    <col min="12810" max="12810" width="5.77734375" style="2100" customWidth="1"/>
    <col min="12811" max="12811" width="11.77734375" style="2100" customWidth="1"/>
    <col min="12812" max="12813" width="10.77734375" style="2100" customWidth="1"/>
    <col min="12814" max="12814" width="10" style="2100" customWidth="1"/>
    <col min="12815" max="12816" width="10.44140625" style="2100" bestFit="1" customWidth="1"/>
    <col min="12817" max="12817" width="10" style="2100" customWidth="1"/>
    <col min="12818" max="12818" width="10.109375" style="2100" customWidth="1"/>
    <col min="12819" max="12819" width="10" style="2100" customWidth="1"/>
    <col min="12820" max="12820" width="26.109375" style="2100" customWidth="1"/>
    <col min="12821" max="13056" width="8.88671875" style="2100"/>
    <col min="13057" max="13057" width="9.44140625" style="2100" customWidth="1"/>
    <col min="13058" max="13058" width="8.88671875" style="2100"/>
    <col min="13059" max="13061" width="12.88671875" style="2100" customWidth="1"/>
    <col min="13062" max="13062" width="47.44140625" style="2100" customWidth="1"/>
    <col min="13063" max="13063" width="13" style="2100" customWidth="1"/>
    <col min="13064" max="13065" width="8.88671875" style="2100"/>
    <col min="13066" max="13066" width="5.77734375" style="2100" customWidth="1"/>
    <col min="13067" max="13067" width="11.77734375" style="2100" customWidth="1"/>
    <col min="13068" max="13069" width="10.77734375" style="2100" customWidth="1"/>
    <col min="13070" max="13070" width="10" style="2100" customWidth="1"/>
    <col min="13071" max="13072" width="10.44140625" style="2100" bestFit="1" customWidth="1"/>
    <col min="13073" max="13073" width="10" style="2100" customWidth="1"/>
    <col min="13074" max="13074" width="10.109375" style="2100" customWidth="1"/>
    <col min="13075" max="13075" width="10" style="2100" customWidth="1"/>
    <col min="13076" max="13076" width="26.109375" style="2100" customWidth="1"/>
    <col min="13077" max="13312" width="8.88671875" style="2100"/>
    <col min="13313" max="13313" width="9.44140625" style="2100" customWidth="1"/>
    <col min="13314" max="13314" width="8.88671875" style="2100"/>
    <col min="13315" max="13317" width="12.88671875" style="2100" customWidth="1"/>
    <col min="13318" max="13318" width="47.44140625" style="2100" customWidth="1"/>
    <col min="13319" max="13319" width="13" style="2100" customWidth="1"/>
    <col min="13320" max="13321" width="8.88671875" style="2100"/>
    <col min="13322" max="13322" width="5.77734375" style="2100" customWidth="1"/>
    <col min="13323" max="13323" width="11.77734375" style="2100" customWidth="1"/>
    <col min="13324" max="13325" width="10.77734375" style="2100" customWidth="1"/>
    <col min="13326" max="13326" width="10" style="2100" customWidth="1"/>
    <col min="13327" max="13328" width="10.44140625" style="2100" bestFit="1" customWidth="1"/>
    <col min="13329" max="13329" width="10" style="2100" customWidth="1"/>
    <col min="13330" max="13330" width="10.109375" style="2100" customWidth="1"/>
    <col min="13331" max="13331" width="10" style="2100" customWidth="1"/>
    <col min="13332" max="13332" width="26.109375" style="2100" customWidth="1"/>
    <col min="13333" max="13568" width="8.88671875" style="2100"/>
    <col min="13569" max="13569" width="9.44140625" style="2100" customWidth="1"/>
    <col min="13570" max="13570" width="8.88671875" style="2100"/>
    <col min="13571" max="13573" width="12.88671875" style="2100" customWidth="1"/>
    <col min="13574" max="13574" width="47.44140625" style="2100" customWidth="1"/>
    <col min="13575" max="13575" width="13" style="2100" customWidth="1"/>
    <col min="13576" max="13577" width="8.88671875" style="2100"/>
    <col min="13578" max="13578" width="5.77734375" style="2100" customWidth="1"/>
    <col min="13579" max="13579" width="11.77734375" style="2100" customWidth="1"/>
    <col min="13580" max="13581" width="10.77734375" style="2100" customWidth="1"/>
    <col min="13582" max="13582" width="10" style="2100" customWidth="1"/>
    <col min="13583" max="13584" width="10.44140625" style="2100" bestFit="1" customWidth="1"/>
    <col min="13585" max="13585" width="10" style="2100" customWidth="1"/>
    <col min="13586" max="13586" width="10.109375" style="2100" customWidth="1"/>
    <col min="13587" max="13587" width="10" style="2100" customWidth="1"/>
    <col min="13588" max="13588" width="26.109375" style="2100" customWidth="1"/>
    <col min="13589" max="13824" width="8.88671875" style="2100"/>
    <col min="13825" max="13825" width="9.44140625" style="2100" customWidth="1"/>
    <col min="13826" max="13826" width="8.88671875" style="2100"/>
    <col min="13827" max="13829" width="12.88671875" style="2100" customWidth="1"/>
    <col min="13830" max="13830" width="47.44140625" style="2100" customWidth="1"/>
    <col min="13831" max="13831" width="13" style="2100" customWidth="1"/>
    <col min="13832" max="13833" width="8.88671875" style="2100"/>
    <col min="13834" max="13834" width="5.77734375" style="2100" customWidth="1"/>
    <col min="13835" max="13835" width="11.77734375" style="2100" customWidth="1"/>
    <col min="13836" max="13837" width="10.77734375" style="2100" customWidth="1"/>
    <col min="13838" max="13838" width="10" style="2100" customWidth="1"/>
    <col min="13839" max="13840" width="10.44140625" style="2100" bestFit="1" customWidth="1"/>
    <col min="13841" max="13841" width="10" style="2100" customWidth="1"/>
    <col min="13842" max="13842" width="10.109375" style="2100" customWidth="1"/>
    <col min="13843" max="13843" width="10" style="2100" customWidth="1"/>
    <col min="13844" max="13844" width="26.109375" style="2100" customWidth="1"/>
    <col min="13845" max="14080" width="8.88671875" style="2100"/>
    <col min="14081" max="14081" width="9.44140625" style="2100" customWidth="1"/>
    <col min="14082" max="14082" width="8.88671875" style="2100"/>
    <col min="14083" max="14085" width="12.88671875" style="2100" customWidth="1"/>
    <col min="14086" max="14086" width="47.44140625" style="2100" customWidth="1"/>
    <col min="14087" max="14087" width="13" style="2100" customWidth="1"/>
    <col min="14088" max="14089" width="8.88671875" style="2100"/>
    <col min="14090" max="14090" width="5.77734375" style="2100" customWidth="1"/>
    <col min="14091" max="14091" width="11.77734375" style="2100" customWidth="1"/>
    <col min="14092" max="14093" width="10.77734375" style="2100" customWidth="1"/>
    <col min="14094" max="14094" width="10" style="2100" customWidth="1"/>
    <col min="14095" max="14096" width="10.44140625" style="2100" bestFit="1" customWidth="1"/>
    <col min="14097" max="14097" width="10" style="2100" customWidth="1"/>
    <col min="14098" max="14098" width="10.109375" style="2100" customWidth="1"/>
    <col min="14099" max="14099" width="10" style="2100" customWidth="1"/>
    <col min="14100" max="14100" width="26.109375" style="2100" customWidth="1"/>
    <col min="14101" max="14336" width="8.88671875" style="2100"/>
    <col min="14337" max="14337" width="9.44140625" style="2100" customWidth="1"/>
    <col min="14338" max="14338" width="8.88671875" style="2100"/>
    <col min="14339" max="14341" width="12.88671875" style="2100" customWidth="1"/>
    <col min="14342" max="14342" width="47.44140625" style="2100" customWidth="1"/>
    <col min="14343" max="14343" width="13" style="2100" customWidth="1"/>
    <col min="14344" max="14345" width="8.88671875" style="2100"/>
    <col min="14346" max="14346" width="5.77734375" style="2100" customWidth="1"/>
    <col min="14347" max="14347" width="11.77734375" style="2100" customWidth="1"/>
    <col min="14348" max="14349" width="10.77734375" style="2100" customWidth="1"/>
    <col min="14350" max="14350" width="10" style="2100" customWidth="1"/>
    <col min="14351" max="14352" width="10.44140625" style="2100" bestFit="1" customWidth="1"/>
    <col min="14353" max="14353" width="10" style="2100" customWidth="1"/>
    <col min="14354" max="14354" width="10.109375" style="2100" customWidth="1"/>
    <col min="14355" max="14355" width="10" style="2100" customWidth="1"/>
    <col min="14356" max="14356" width="26.109375" style="2100" customWidth="1"/>
    <col min="14357" max="14592" width="8.88671875" style="2100"/>
    <col min="14593" max="14593" width="9.44140625" style="2100" customWidth="1"/>
    <col min="14594" max="14594" width="8.88671875" style="2100"/>
    <col min="14595" max="14597" width="12.88671875" style="2100" customWidth="1"/>
    <col min="14598" max="14598" width="47.44140625" style="2100" customWidth="1"/>
    <col min="14599" max="14599" width="13" style="2100" customWidth="1"/>
    <col min="14600" max="14601" width="8.88671875" style="2100"/>
    <col min="14602" max="14602" width="5.77734375" style="2100" customWidth="1"/>
    <col min="14603" max="14603" width="11.77734375" style="2100" customWidth="1"/>
    <col min="14604" max="14605" width="10.77734375" style="2100" customWidth="1"/>
    <col min="14606" max="14606" width="10" style="2100" customWidth="1"/>
    <col min="14607" max="14608" width="10.44140625" style="2100" bestFit="1" customWidth="1"/>
    <col min="14609" max="14609" width="10" style="2100" customWidth="1"/>
    <col min="14610" max="14610" width="10.109375" style="2100" customWidth="1"/>
    <col min="14611" max="14611" width="10" style="2100" customWidth="1"/>
    <col min="14612" max="14612" width="26.109375" style="2100" customWidth="1"/>
    <col min="14613" max="14848" width="8.88671875" style="2100"/>
    <col min="14849" max="14849" width="9.44140625" style="2100" customWidth="1"/>
    <col min="14850" max="14850" width="8.88671875" style="2100"/>
    <col min="14851" max="14853" width="12.88671875" style="2100" customWidth="1"/>
    <col min="14854" max="14854" width="47.44140625" style="2100" customWidth="1"/>
    <col min="14855" max="14855" width="13" style="2100" customWidth="1"/>
    <col min="14856" max="14857" width="8.88671875" style="2100"/>
    <col min="14858" max="14858" width="5.77734375" style="2100" customWidth="1"/>
    <col min="14859" max="14859" width="11.77734375" style="2100" customWidth="1"/>
    <col min="14860" max="14861" width="10.77734375" style="2100" customWidth="1"/>
    <col min="14862" max="14862" width="10" style="2100" customWidth="1"/>
    <col min="14863" max="14864" width="10.44140625" style="2100" bestFit="1" customWidth="1"/>
    <col min="14865" max="14865" width="10" style="2100" customWidth="1"/>
    <col min="14866" max="14866" width="10.109375" style="2100" customWidth="1"/>
    <col min="14867" max="14867" width="10" style="2100" customWidth="1"/>
    <col min="14868" max="14868" width="26.109375" style="2100" customWidth="1"/>
    <col min="14869" max="15104" width="8.88671875" style="2100"/>
    <col min="15105" max="15105" width="9.44140625" style="2100" customWidth="1"/>
    <col min="15106" max="15106" width="8.88671875" style="2100"/>
    <col min="15107" max="15109" width="12.88671875" style="2100" customWidth="1"/>
    <col min="15110" max="15110" width="47.44140625" style="2100" customWidth="1"/>
    <col min="15111" max="15111" width="13" style="2100" customWidth="1"/>
    <col min="15112" max="15113" width="8.88671875" style="2100"/>
    <col min="15114" max="15114" width="5.77734375" style="2100" customWidth="1"/>
    <col min="15115" max="15115" width="11.77734375" style="2100" customWidth="1"/>
    <col min="15116" max="15117" width="10.77734375" style="2100" customWidth="1"/>
    <col min="15118" max="15118" width="10" style="2100" customWidth="1"/>
    <col min="15119" max="15120" width="10.44140625" style="2100" bestFit="1" customWidth="1"/>
    <col min="15121" max="15121" width="10" style="2100" customWidth="1"/>
    <col min="15122" max="15122" width="10.109375" style="2100" customWidth="1"/>
    <col min="15123" max="15123" width="10" style="2100" customWidth="1"/>
    <col min="15124" max="15124" width="26.109375" style="2100" customWidth="1"/>
    <col min="15125" max="15360" width="8.88671875" style="2100"/>
    <col min="15361" max="15361" width="9.44140625" style="2100" customWidth="1"/>
    <col min="15362" max="15362" width="8.88671875" style="2100"/>
    <col min="15363" max="15365" width="12.88671875" style="2100" customWidth="1"/>
    <col min="15366" max="15366" width="47.44140625" style="2100" customWidth="1"/>
    <col min="15367" max="15367" width="13" style="2100" customWidth="1"/>
    <col min="15368" max="15369" width="8.88671875" style="2100"/>
    <col min="15370" max="15370" width="5.77734375" style="2100" customWidth="1"/>
    <col min="15371" max="15371" width="11.77734375" style="2100" customWidth="1"/>
    <col min="15372" max="15373" width="10.77734375" style="2100" customWidth="1"/>
    <col min="15374" max="15374" width="10" style="2100" customWidth="1"/>
    <col min="15375" max="15376" width="10.44140625" style="2100" bestFit="1" customWidth="1"/>
    <col min="15377" max="15377" width="10" style="2100" customWidth="1"/>
    <col min="15378" max="15378" width="10.109375" style="2100" customWidth="1"/>
    <col min="15379" max="15379" width="10" style="2100" customWidth="1"/>
    <col min="15380" max="15380" width="26.109375" style="2100" customWidth="1"/>
    <col min="15381" max="15616" width="8.88671875" style="2100"/>
    <col min="15617" max="15617" width="9.44140625" style="2100" customWidth="1"/>
    <col min="15618" max="15618" width="8.88671875" style="2100"/>
    <col min="15619" max="15621" width="12.88671875" style="2100" customWidth="1"/>
    <col min="15622" max="15622" width="47.44140625" style="2100" customWidth="1"/>
    <col min="15623" max="15623" width="13" style="2100" customWidth="1"/>
    <col min="15624" max="15625" width="8.88671875" style="2100"/>
    <col min="15626" max="15626" width="5.77734375" style="2100" customWidth="1"/>
    <col min="15627" max="15627" width="11.77734375" style="2100" customWidth="1"/>
    <col min="15628" max="15629" width="10.77734375" style="2100" customWidth="1"/>
    <col min="15630" max="15630" width="10" style="2100" customWidth="1"/>
    <col min="15631" max="15632" width="10.44140625" style="2100" bestFit="1" customWidth="1"/>
    <col min="15633" max="15633" width="10" style="2100" customWidth="1"/>
    <col min="15634" max="15634" width="10.109375" style="2100" customWidth="1"/>
    <col min="15635" max="15635" width="10" style="2100" customWidth="1"/>
    <col min="15636" max="15636" width="26.109375" style="2100" customWidth="1"/>
    <col min="15637" max="15872" width="8.88671875" style="2100"/>
    <col min="15873" max="15873" width="9.44140625" style="2100" customWidth="1"/>
    <col min="15874" max="15874" width="8.88671875" style="2100"/>
    <col min="15875" max="15877" width="12.88671875" style="2100" customWidth="1"/>
    <col min="15878" max="15878" width="47.44140625" style="2100" customWidth="1"/>
    <col min="15879" max="15879" width="13" style="2100" customWidth="1"/>
    <col min="15880" max="15881" width="8.88671875" style="2100"/>
    <col min="15882" max="15882" width="5.77734375" style="2100" customWidth="1"/>
    <col min="15883" max="15883" width="11.77734375" style="2100" customWidth="1"/>
    <col min="15884" max="15885" width="10.77734375" style="2100" customWidth="1"/>
    <col min="15886" max="15886" width="10" style="2100" customWidth="1"/>
    <col min="15887" max="15888" width="10.44140625" style="2100" bestFit="1" customWidth="1"/>
    <col min="15889" max="15889" width="10" style="2100" customWidth="1"/>
    <col min="15890" max="15890" width="10.109375" style="2100" customWidth="1"/>
    <col min="15891" max="15891" width="10" style="2100" customWidth="1"/>
    <col min="15892" max="15892" width="26.109375" style="2100" customWidth="1"/>
    <col min="15893" max="16128" width="8.88671875" style="2100"/>
    <col min="16129" max="16129" width="9.44140625" style="2100" customWidth="1"/>
    <col min="16130" max="16130" width="8.88671875" style="2100"/>
    <col min="16131" max="16133" width="12.88671875" style="2100" customWidth="1"/>
    <col min="16134" max="16134" width="47.44140625" style="2100" customWidth="1"/>
    <col min="16135" max="16135" width="13" style="2100" customWidth="1"/>
    <col min="16136" max="16137" width="8.88671875" style="2100"/>
    <col min="16138" max="16138" width="5.77734375" style="2100" customWidth="1"/>
    <col min="16139" max="16139" width="11.77734375" style="2100" customWidth="1"/>
    <col min="16140" max="16141" width="10.77734375" style="2100" customWidth="1"/>
    <col min="16142" max="16142" width="10" style="2100" customWidth="1"/>
    <col min="16143" max="16144" width="10.44140625" style="2100" bestFit="1" customWidth="1"/>
    <col min="16145" max="16145" width="10" style="2100" customWidth="1"/>
    <col min="16146" max="16146" width="10.109375" style="2100" customWidth="1"/>
    <col min="16147" max="16147" width="10" style="2100" customWidth="1"/>
    <col min="16148" max="16148" width="26.109375" style="2100" customWidth="1"/>
    <col min="16149" max="16384" width="8.88671875" style="2100"/>
  </cols>
  <sheetData>
    <row r="1" spans="1:22" ht="21" customHeight="1">
      <c r="A1" s="2089" t="s">
        <v>2320</v>
      </c>
      <c r="B1" s="2090"/>
      <c r="C1" s="2101"/>
      <c r="D1" s="2101"/>
      <c r="E1" s="2091"/>
      <c r="F1" s="2092"/>
      <c r="G1" s="2093"/>
      <c r="J1" s="2096" t="s">
        <v>2205</v>
      </c>
      <c r="K1" s="2097"/>
      <c r="L1" s="2097"/>
      <c r="M1" s="2097"/>
      <c r="N1" s="2097"/>
      <c r="O1" s="2097"/>
      <c r="P1" s="2097"/>
      <c r="Q1" s="2097"/>
      <c r="R1" s="2098"/>
      <c r="S1" s="2099"/>
      <c r="T1" s="2099"/>
      <c r="U1" s="2099"/>
    </row>
    <row r="2" spans="1:22" s="2110" customFormat="1" ht="13.2" customHeight="1">
      <c r="A2" s="962" t="s">
        <v>2206</v>
      </c>
      <c r="B2" s="3553" t="e">
        <f>IF(D2="——",C40,C40+E2)</f>
        <v>#DIV/0!</v>
      </c>
      <c r="C2" s="2101" t="s">
        <v>2207</v>
      </c>
      <c r="D2" s="2545" t="s">
        <v>3241</v>
      </c>
      <c r="E2" s="2546"/>
      <c r="F2" s="2103"/>
      <c r="G2" s="2104"/>
      <c r="H2" s="2105"/>
      <c r="I2" s="2106"/>
      <c r="J2" s="4635" t="s">
        <v>2208</v>
      </c>
      <c r="K2" s="4636"/>
      <c r="L2" s="2107" t="s">
        <v>2209</v>
      </c>
      <c r="M2" s="2107" t="s">
        <v>2210</v>
      </c>
      <c r="N2" s="2107" t="s">
        <v>2211</v>
      </c>
      <c r="O2" s="2107" t="s">
        <v>2212</v>
      </c>
      <c r="P2" s="2107" t="s">
        <v>2213</v>
      </c>
      <c r="Q2" s="2108" t="s">
        <v>2214</v>
      </c>
      <c r="R2" s="2109" t="s">
        <v>2215</v>
      </c>
      <c r="S2" s="2099"/>
      <c r="T2" s="2099"/>
      <c r="U2" s="2099"/>
      <c r="V2" s="2106"/>
    </row>
    <row r="3" spans="1:22" s="2110" customFormat="1" ht="13.2" customHeight="1">
      <c r="A3" s="2111" t="s">
        <v>2216</v>
      </c>
      <c r="B3" s="3554" t="e">
        <f>ROUND(B2*10000/B4,0)</f>
        <v>#DIV/0!</v>
      </c>
      <c r="C3" s="2101" t="s">
        <v>2217</v>
      </c>
      <c r="D3" s="2101"/>
      <c r="E3" s="2102"/>
      <c r="F3" s="2103"/>
      <c r="G3" s="2104"/>
      <c r="H3" s="2105"/>
      <c r="I3" s="2106"/>
      <c r="J3" s="4637" t="s">
        <v>2218</v>
      </c>
      <c r="K3" s="4638"/>
      <c r="L3" s="2112"/>
      <c r="M3" s="2112"/>
      <c r="N3" s="2112"/>
      <c r="O3" s="2112"/>
      <c r="P3" s="2112"/>
      <c r="Q3" s="2113"/>
      <c r="R3" s="2114">
        <f>SUM(L3:Q3)</f>
        <v>0</v>
      </c>
      <c r="S3" s="2099"/>
      <c r="T3" s="2099"/>
      <c r="U3" s="2099"/>
      <c r="V3" s="2106"/>
    </row>
    <row r="4" spans="1:22" s="2110" customFormat="1" ht="13.2" customHeight="1">
      <c r="A4" s="2115" t="s">
        <v>2219</v>
      </c>
      <c r="B4" s="2148"/>
      <c r="C4" s="2101"/>
      <c r="D4" s="2101"/>
      <c r="E4" s="2102"/>
      <c r="F4" s="2103"/>
      <c r="G4" s="2104"/>
      <c r="H4" s="2105"/>
      <c r="I4" s="2106"/>
      <c r="J4" s="4637" t="s">
        <v>2220</v>
      </c>
      <c r="K4" s="4638"/>
      <c r="L4" s="2117"/>
      <c r="M4" s="2117"/>
      <c r="N4" s="2117"/>
      <c r="O4" s="2117"/>
      <c r="P4" s="2117"/>
      <c r="Q4" s="2118"/>
      <c r="R4" s="2119">
        <f>SUM(L4:Q4)</f>
        <v>0</v>
      </c>
      <c r="S4" s="2099"/>
      <c r="T4" s="2099"/>
      <c r="U4" s="2099"/>
      <c r="V4" s="2106"/>
    </row>
    <row r="5" spans="1:22" s="2110" customFormat="1" ht="13.2" customHeight="1" thickBot="1">
      <c r="A5" s="2120" t="s">
        <v>2221</v>
      </c>
      <c r="B5" s="3555"/>
      <c r="C5" s="2101"/>
      <c r="D5" s="2121"/>
      <c r="E5" s="2103"/>
      <c r="F5" s="2103"/>
      <c r="G5" s="2104"/>
      <c r="H5" s="2105"/>
      <c r="I5" s="2106"/>
      <c r="J5" s="2122" t="s">
        <v>2222</v>
      </c>
      <c r="K5" s="2123"/>
      <c r="L5" s="2123"/>
      <c r="M5" s="2124"/>
      <c r="N5" s="2124"/>
      <c r="O5" s="2124"/>
      <c r="P5" s="2124"/>
      <c r="Q5" s="2124"/>
      <c r="R5" s="2109">
        <f>SUM(R14,R19,R24,R25,R27,R28)</f>
        <v>0</v>
      </c>
      <c r="S5" s="2099"/>
      <c r="T5" s="2099" t="s">
        <v>2223</v>
      </c>
      <c r="U5" s="2099" t="e">
        <f>ROUND(R5*10000/365/R3,1)</f>
        <v>#DIV/0!</v>
      </c>
      <c r="V5" s="2106"/>
    </row>
    <row r="6" spans="1:22" s="2110" customFormat="1" ht="13.2" customHeight="1" thickBot="1">
      <c r="A6" s="4644" t="s">
        <v>3797</v>
      </c>
      <c r="B6" s="4645"/>
      <c r="C6" s="4646"/>
      <c r="D6" s="3556"/>
      <c r="E6" s="3695"/>
      <c r="F6" s="2126"/>
      <c r="G6" s="2127"/>
      <c r="H6" s="2105"/>
      <c r="I6" s="2106"/>
      <c r="J6" s="4629">
        <v>1</v>
      </c>
      <c r="K6" s="4630" t="s">
        <v>2224</v>
      </c>
      <c r="L6" s="2128" t="s">
        <v>2225</v>
      </c>
      <c r="M6" s="2129" t="s">
        <v>2226</v>
      </c>
      <c r="N6" s="2129" t="s">
        <v>2227</v>
      </c>
      <c r="O6" s="2129" t="s">
        <v>2228</v>
      </c>
      <c r="P6" s="2129" t="s">
        <v>2229</v>
      </c>
      <c r="Q6" s="2129" t="s">
        <v>2230</v>
      </c>
      <c r="R6" s="2114" t="s">
        <v>2231</v>
      </c>
      <c r="S6" s="2099"/>
      <c r="T6" s="2099" t="s">
        <v>2232</v>
      </c>
      <c r="U6" s="2099"/>
      <c r="V6" s="2106"/>
    </row>
    <row r="7" spans="1:22" s="2110" customFormat="1" ht="13.2" customHeight="1">
      <c r="A7" s="2130" t="s">
        <v>2233</v>
      </c>
      <c r="B7" s="2131"/>
      <c r="C7" s="2132"/>
      <c r="D7" s="3557">
        <f>SUM(D9,D10,D11,D17,0)</f>
        <v>0</v>
      </c>
      <c r="E7" s="2133" t="e">
        <f>E9+E10+E11+E17</f>
        <v>#DIV/0!</v>
      </c>
      <c r="F7" s="2134"/>
      <c r="G7" s="2135"/>
      <c r="H7" s="2105"/>
      <c r="I7" s="2106"/>
      <c r="J7" s="4629"/>
      <c r="K7" s="4631"/>
      <c r="L7" s="2136" t="s">
        <v>2234</v>
      </c>
      <c r="M7" s="3793"/>
      <c r="N7" s="3792"/>
      <c r="O7" s="2148"/>
      <c r="P7" s="2148"/>
      <c r="Q7" s="3792">
        <v>365</v>
      </c>
      <c r="R7" s="3791">
        <f>ROUND(M7*N7*O7*P7*Q7/10000,0)</f>
        <v>0</v>
      </c>
      <c r="S7" s="2099"/>
      <c r="T7" s="2099" t="s">
        <v>2235</v>
      </c>
      <c r="U7" s="2099"/>
      <c r="V7" s="2106"/>
    </row>
    <row r="8" spans="1:22" s="2110" customFormat="1" ht="13.2" customHeight="1">
      <c r="A8" s="2140" t="s">
        <v>2236</v>
      </c>
      <c r="B8" s="4647" t="s">
        <v>2237</v>
      </c>
      <c r="C8" s="4648"/>
      <c r="D8" s="4194" t="s">
        <v>3965</v>
      </c>
      <c r="E8" s="2141" t="s">
        <v>2238</v>
      </c>
      <c r="F8" s="2142" t="s">
        <v>2239</v>
      </c>
      <c r="G8" s="2143"/>
      <c r="H8" s="2105"/>
      <c r="I8" s="2106"/>
      <c r="J8" s="4629"/>
      <c r="K8" s="4631"/>
      <c r="L8" s="2136" t="s">
        <v>2240</v>
      </c>
      <c r="M8" s="3793"/>
      <c r="N8" s="3792"/>
      <c r="O8" s="2148"/>
      <c r="P8" s="2148"/>
      <c r="Q8" s="3792">
        <v>365</v>
      </c>
      <c r="R8" s="3791">
        <f t="shared" ref="R8:R13" si="0">ROUND(M8*N8*O8*P8*Q8/10000,0)</f>
        <v>0</v>
      </c>
      <c r="S8" s="2099"/>
      <c r="T8" s="2099" t="s">
        <v>2241</v>
      </c>
      <c r="U8" s="2099"/>
      <c r="V8" s="2106"/>
    </row>
    <row r="9" spans="1:22" s="2110" customFormat="1" ht="13.2" customHeight="1">
      <c r="A9" s="2140">
        <v>1</v>
      </c>
      <c r="B9" s="4647" t="s">
        <v>2242</v>
      </c>
      <c r="C9" s="4648"/>
      <c r="D9" s="3558">
        <f>ROUND(D6*E9,0)</f>
        <v>0</v>
      </c>
      <c r="E9" s="3559"/>
      <c r="F9" s="2144" t="s">
        <v>2243</v>
      </c>
      <c r="G9" s="2127"/>
      <c r="H9" s="2105"/>
      <c r="I9" s="2106"/>
      <c r="J9" s="4629"/>
      <c r="K9" s="4631"/>
      <c r="L9" s="2136" t="s">
        <v>2244</v>
      </c>
      <c r="M9" s="3793"/>
      <c r="N9" s="3792"/>
      <c r="O9" s="2148"/>
      <c r="P9" s="2148"/>
      <c r="Q9" s="3792">
        <v>365</v>
      </c>
      <c r="R9" s="3791">
        <f t="shared" si="0"/>
        <v>0</v>
      </c>
      <c r="S9" s="2099"/>
      <c r="T9" s="2099"/>
      <c r="U9" s="2099"/>
      <c r="V9" s="2106"/>
    </row>
    <row r="10" spans="1:22" s="2110" customFormat="1" ht="13.2" customHeight="1">
      <c r="A10" s="2140">
        <v>2</v>
      </c>
      <c r="B10" s="4647" t="s">
        <v>2245</v>
      </c>
      <c r="C10" s="4648"/>
      <c r="D10" s="3558">
        <f>ROUND(D6*E10,0)</f>
        <v>0</v>
      </c>
      <c r="E10" s="3559"/>
      <c r="F10" s="3690" t="s">
        <v>3722</v>
      </c>
      <c r="G10" s="2127"/>
      <c r="H10" s="2105"/>
      <c r="I10" s="2106"/>
      <c r="J10" s="4629"/>
      <c r="K10" s="4631"/>
      <c r="L10" s="2136" t="s">
        <v>2246</v>
      </c>
      <c r="M10" s="3793"/>
      <c r="N10" s="3792"/>
      <c r="O10" s="2148"/>
      <c r="P10" s="2148"/>
      <c r="Q10" s="3792">
        <v>365</v>
      </c>
      <c r="R10" s="3791">
        <f t="shared" si="0"/>
        <v>0</v>
      </c>
      <c r="S10" s="2099"/>
      <c r="T10" s="2099"/>
      <c r="U10" s="2099"/>
      <c r="V10" s="2106"/>
    </row>
    <row r="11" spans="1:22" s="2110" customFormat="1" ht="13.2" customHeight="1">
      <c r="A11" s="2140">
        <v>3</v>
      </c>
      <c r="B11" s="4647" t="s">
        <v>2247</v>
      </c>
      <c r="C11" s="4648"/>
      <c r="D11" s="3558">
        <f>D12+D14+D15+D16</f>
        <v>0</v>
      </c>
      <c r="E11" s="3560" t="e">
        <f>D11/D6</f>
        <v>#DIV/0!</v>
      </c>
      <c r="F11" s="2142"/>
      <c r="G11" s="2143"/>
      <c r="H11" s="2105"/>
      <c r="I11" s="2106"/>
      <c r="J11" s="4629"/>
      <c r="K11" s="4631"/>
      <c r="L11" s="2136" t="s">
        <v>2248</v>
      </c>
      <c r="M11" s="3793"/>
      <c r="N11" s="3792"/>
      <c r="O11" s="2148"/>
      <c r="P11" s="2148"/>
      <c r="Q11" s="3792">
        <v>365</v>
      </c>
      <c r="R11" s="3791">
        <f t="shared" si="0"/>
        <v>0</v>
      </c>
      <c r="S11" s="2099"/>
      <c r="T11" s="2099"/>
      <c r="U11" s="2099"/>
      <c r="V11" s="2106"/>
    </row>
    <row r="12" spans="1:22" s="2110" customFormat="1" ht="13.2" customHeight="1">
      <c r="A12" s="2145" t="s">
        <v>2249</v>
      </c>
      <c r="B12" s="4641" t="s">
        <v>2250</v>
      </c>
      <c r="C12" s="4640"/>
      <c r="D12" s="3561">
        <f>ROUND(D13*1.2%*(1-30%),0)</f>
        <v>0</v>
      </c>
      <c r="E12" s="3562">
        <v>1.2E-2</v>
      </c>
      <c r="F12" s="2142" t="s">
        <v>2251</v>
      </c>
      <c r="G12" s="2143"/>
      <c r="H12" s="2105"/>
      <c r="I12" s="2106"/>
      <c r="J12" s="4629"/>
      <c r="K12" s="4631"/>
      <c r="L12" s="2136" t="s">
        <v>2252</v>
      </c>
      <c r="M12" s="3793"/>
      <c r="N12" s="3792"/>
      <c r="O12" s="2148"/>
      <c r="P12" s="2148"/>
      <c r="Q12" s="3792">
        <v>365</v>
      </c>
      <c r="R12" s="3791">
        <f t="shared" si="0"/>
        <v>0</v>
      </c>
      <c r="S12" s="2099"/>
      <c r="T12" s="2099"/>
      <c r="U12" s="2099"/>
      <c r="V12" s="2106"/>
    </row>
    <row r="13" spans="1:22" s="2110" customFormat="1" ht="13.2" customHeight="1">
      <c r="A13" s="2145"/>
      <c r="B13" s="2146"/>
      <c r="C13" s="2147" t="s">
        <v>2253</v>
      </c>
      <c r="D13" s="3563"/>
      <c r="E13" s="2149"/>
      <c r="F13" s="2142"/>
      <c r="G13" s="2143"/>
      <c r="H13" s="2105"/>
      <c r="I13" s="2106"/>
      <c r="J13" s="4629"/>
      <c r="K13" s="4631"/>
      <c r="L13" s="2136" t="s">
        <v>2254</v>
      </c>
      <c r="M13" s="3793"/>
      <c r="N13" s="3792"/>
      <c r="O13" s="2148"/>
      <c r="P13" s="2148"/>
      <c r="Q13" s="3792">
        <v>365</v>
      </c>
      <c r="R13" s="3791">
        <f t="shared" si="0"/>
        <v>0</v>
      </c>
      <c r="S13" s="2099"/>
      <c r="T13" s="2099"/>
      <c r="U13" s="2099"/>
      <c r="V13" s="2106"/>
    </row>
    <row r="14" spans="1:22" s="2110" customFormat="1" ht="13.2" customHeight="1">
      <c r="A14" s="2145" t="s">
        <v>2255</v>
      </c>
      <c r="B14" s="4641" t="s">
        <v>2256</v>
      </c>
      <c r="C14" s="4640"/>
      <c r="D14" s="3561">
        <f>ROUND(E14*B5/10000,0)</f>
        <v>0</v>
      </c>
      <c r="E14" s="3564"/>
      <c r="F14" s="2142" t="s">
        <v>2257</v>
      </c>
      <c r="G14" s="2143"/>
      <c r="H14" s="2105"/>
      <c r="I14" s="2106"/>
      <c r="J14" s="4629"/>
      <c r="K14" s="4632"/>
      <c r="L14" s="2150" t="s">
        <v>2258</v>
      </c>
      <c r="M14" s="2151">
        <f>SUM(M7:M13)</f>
        <v>0</v>
      </c>
      <c r="N14" s="2151" t="e">
        <f>ROUND((N7*M7+N8*M8+N9*M9+N10*M10+N11*M11+N12*M12+N13*M13)/M14,0)</f>
        <v>#DIV/0!</v>
      </c>
      <c r="O14" s="2152"/>
      <c r="P14" s="2152"/>
      <c r="Q14" s="2153"/>
      <c r="R14" s="2109">
        <f>SUM(R7:R13)</f>
        <v>0</v>
      </c>
      <c r="S14" s="2099"/>
      <c r="T14" s="2099"/>
      <c r="U14" s="2099"/>
      <c r="V14" s="2106"/>
    </row>
    <row r="15" spans="1:22" s="2110" customFormat="1" ht="13.2" customHeight="1">
      <c r="A15" s="2145" t="s">
        <v>2259</v>
      </c>
      <c r="B15" s="4639" t="s">
        <v>3794</v>
      </c>
      <c r="C15" s="4640"/>
      <c r="D15" s="3561">
        <f>IF(F15="酒店",E48*(1+E15),IF(F15="购物中心",E67*(1+E15),IF(F15="按比例计算-酒店",E46,E65)))</f>
        <v>0</v>
      </c>
      <c r="E15" s="3562">
        <f>'数据-取费表'!B44</f>
        <v>0.12000000000000001</v>
      </c>
      <c r="F15" s="3693" t="s">
        <v>3854</v>
      </c>
      <c r="G15" s="3694"/>
      <c r="H15" s="2105"/>
      <c r="I15" s="2106"/>
      <c r="J15" s="4629">
        <v>2</v>
      </c>
      <c r="K15" s="4630" t="s">
        <v>2260</v>
      </c>
      <c r="L15" s="2136" t="s">
        <v>2261</v>
      </c>
      <c r="M15" s="2137" t="s">
        <v>2262</v>
      </c>
      <c r="N15" s="2137" t="s">
        <v>2263</v>
      </c>
      <c r="O15" s="2138" t="s">
        <v>2264</v>
      </c>
      <c r="P15" s="2138" t="s">
        <v>2230</v>
      </c>
      <c r="Q15" s="2116" t="s">
        <v>2265</v>
      </c>
      <c r="R15" s="2154" t="s">
        <v>2231</v>
      </c>
      <c r="S15" s="2099"/>
      <c r="T15" s="2099"/>
      <c r="U15" s="2099"/>
      <c r="V15" s="2106"/>
    </row>
    <row r="16" spans="1:22" s="2110" customFormat="1" ht="13.2" customHeight="1">
      <c r="A16" s="2145" t="s">
        <v>2266</v>
      </c>
      <c r="B16" s="4641" t="s">
        <v>2267</v>
      </c>
      <c r="C16" s="4640"/>
      <c r="D16" s="3565">
        <f>D6*E16</f>
        <v>0</v>
      </c>
      <c r="E16" s="3566"/>
      <c r="F16" s="2144" t="s">
        <v>2268</v>
      </c>
      <c r="G16" s="2127"/>
      <c r="H16" s="2105"/>
      <c r="I16" s="2106"/>
      <c r="J16" s="4629"/>
      <c r="K16" s="4631"/>
      <c r="L16" s="2136" t="s">
        <v>2269</v>
      </c>
      <c r="M16" s="3793"/>
      <c r="N16" s="3793"/>
      <c r="O16" s="2148"/>
      <c r="P16" s="3792">
        <v>365</v>
      </c>
      <c r="Q16" s="3792"/>
      <c r="R16" s="3791">
        <f>ROUND(M16*N16*O16*P16/10000,0)</f>
        <v>0</v>
      </c>
      <c r="S16" s="2099"/>
      <c r="T16" s="2099"/>
      <c r="U16" s="2099"/>
      <c r="V16" s="2106"/>
    </row>
    <row r="17" spans="1:22" s="2110" customFormat="1" ht="13.2" customHeight="1" thickBot="1">
      <c r="A17" s="2155">
        <v>4</v>
      </c>
      <c r="B17" s="4642" t="s">
        <v>2270</v>
      </c>
      <c r="C17" s="4643"/>
      <c r="D17" s="3567">
        <f>ROUND(D6*E17,0)</f>
        <v>0</v>
      </c>
      <c r="E17" s="3568"/>
      <c r="F17" s="3691" t="s">
        <v>3723</v>
      </c>
      <c r="G17" s="2127"/>
      <c r="H17" s="2105"/>
      <c r="I17" s="2106"/>
      <c r="J17" s="4629"/>
      <c r="K17" s="4631"/>
      <c r="L17" s="2136" t="s">
        <v>2271</v>
      </c>
      <c r="M17" s="3793"/>
      <c r="N17" s="3793"/>
      <c r="O17" s="2148"/>
      <c r="P17" s="3792">
        <v>365</v>
      </c>
      <c r="Q17" s="3792"/>
      <c r="R17" s="3791">
        <f>ROUND(M17*N17*O17*P17/10000,0)</f>
        <v>0</v>
      </c>
      <c r="S17" s="2099"/>
      <c r="T17" s="2099"/>
      <c r="U17" s="2099"/>
      <c r="V17" s="2106"/>
    </row>
    <row r="18" spans="1:22" s="2110" customFormat="1" ht="13.2" customHeight="1" thickBot="1">
      <c r="A18" s="2130" t="s">
        <v>2272</v>
      </c>
      <c r="B18" s="2131"/>
      <c r="C18" s="2131"/>
      <c r="D18" s="3569">
        <f>ROUND(D6*E18,0)</f>
        <v>0</v>
      </c>
      <c r="E18" s="3570"/>
      <c r="F18" s="2156" t="s">
        <v>2273</v>
      </c>
      <c r="G18" s="2127"/>
      <c r="H18" s="2105"/>
      <c r="I18" s="2106"/>
      <c r="J18" s="4629"/>
      <c r="K18" s="4631"/>
      <c r="L18" s="2136" t="s">
        <v>2274</v>
      </c>
      <c r="M18" s="3793"/>
      <c r="N18" s="3793"/>
      <c r="O18" s="2148"/>
      <c r="P18" s="3792">
        <v>365</v>
      </c>
      <c r="Q18" s="3792"/>
      <c r="R18" s="3791">
        <f>ROUND(M18*N18*O18*P18/10000,0)</f>
        <v>0</v>
      </c>
      <c r="S18" s="2099"/>
      <c r="T18" s="2099"/>
      <c r="U18" s="2099"/>
      <c r="V18" s="2106"/>
    </row>
    <row r="19" spans="1:22" s="2110" customFormat="1" ht="13.2" customHeight="1" thickBot="1">
      <c r="A19" s="2157" t="s">
        <v>2275</v>
      </c>
      <c r="B19" s="2125"/>
      <c r="C19" s="2125"/>
      <c r="D19" s="2125"/>
      <c r="E19" s="2125"/>
      <c r="F19" s="2126"/>
      <c r="G19" s="2143"/>
      <c r="H19" s="2105"/>
      <c r="I19" s="2106"/>
      <c r="J19" s="4629"/>
      <c r="K19" s="4632"/>
      <c r="L19" s="2150" t="s">
        <v>2258</v>
      </c>
      <c r="M19" s="2151"/>
      <c r="N19" s="2151">
        <f>SUM(N16:N18)</f>
        <v>0</v>
      </c>
      <c r="O19" s="2152"/>
      <c r="P19" s="2158" t="s">
        <v>2319</v>
      </c>
      <c r="Q19" s="2138">
        <v>0</v>
      </c>
      <c r="R19" s="3589">
        <f>ROUND(IF(P19="按比例",R14*Q19,SUM(R16:R18)),0)</f>
        <v>0</v>
      </c>
      <c r="S19" s="2099"/>
      <c r="T19" s="2099"/>
      <c r="U19" s="2099"/>
      <c r="V19" s="2106"/>
    </row>
    <row r="20" spans="1:22" s="2110" customFormat="1" ht="13.2" customHeight="1">
      <c r="A20" s="2130"/>
      <c r="B20" s="2131"/>
      <c r="C20" s="2131"/>
      <c r="D20" s="2131"/>
      <c r="E20" s="2131"/>
      <c r="F20" s="2159"/>
      <c r="G20" s="2143"/>
      <c r="H20" s="2105"/>
      <c r="I20" s="2106"/>
      <c r="J20" s="4629">
        <v>3</v>
      </c>
      <c r="K20" s="4630" t="s">
        <v>2276</v>
      </c>
      <c r="L20" s="2136" t="s">
        <v>2277</v>
      </c>
      <c r="M20" s="2137" t="s">
        <v>2278</v>
      </c>
      <c r="N20" s="2160" t="s">
        <v>2279</v>
      </c>
      <c r="O20" s="2138" t="s">
        <v>2280</v>
      </c>
      <c r="P20" s="2139" t="s">
        <v>2281</v>
      </c>
      <c r="Q20" s="2116" t="s">
        <v>2282</v>
      </c>
      <c r="R20" s="2154" t="s">
        <v>2283</v>
      </c>
      <c r="S20" s="2099"/>
      <c r="T20" s="2099"/>
      <c r="U20" s="2099"/>
      <c r="V20" s="2106"/>
    </row>
    <row r="21" spans="1:22" s="2110" customFormat="1" ht="13.2" customHeight="1">
      <c r="A21" s="2130"/>
      <c r="B21" s="2131"/>
      <c r="C21" s="2161" t="s">
        <v>2284</v>
      </c>
      <c r="D21" s="2162" t="s">
        <v>2285</v>
      </c>
      <c r="E21" s="2163" t="s">
        <v>2286</v>
      </c>
      <c r="F21" s="2159"/>
      <c r="G21" s="2143"/>
      <c r="H21" s="2105"/>
      <c r="I21" s="2106"/>
      <c r="J21" s="4629"/>
      <c r="K21" s="4631"/>
      <c r="L21" s="2136" t="s">
        <v>2287</v>
      </c>
      <c r="M21" s="3793"/>
      <c r="N21" s="3793"/>
      <c r="O21" s="2148"/>
      <c r="P21" s="3792">
        <v>365</v>
      </c>
      <c r="Q21" s="3792"/>
      <c r="R21" s="3794">
        <f>ROUND(M21*N21*O21*P21/10000,0)</f>
        <v>0</v>
      </c>
      <c r="S21" s="2099"/>
      <c r="T21" s="2099"/>
      <c r="U21" s="2099"/>
      <c r="V21" s="2106"/>
    </row>
    <row r="22" spans="1:22" s="2110" customFormat="1" ht="13.2" customHeight="1">
      <c r="A22" s="2130"/>
      <c r="B22" s="2131"/>
      <c r="C22" s="2164" t="s">
        <v>2288</v>
      </c>
      <c r="D22" s="2165" t="s">
        <v>2289</v>
      </c>
      <c r="E22" s="2166" t="s">
        <v>2290</v>
      </c>
      <c r="F22" s="2159"/>
      <c r="G22" s="2099"/>
      <c r="H22" s="2105"/>
      <c r="I22" s="2106"/>
      <c r="J22" s="4629"/>
      <c r="K22" s="4631"/>
      <c r="L22" s="2136" t="s">
        <v>2291</v>
      </c>
      <c r="M22" s="3793"/>
      <c r="N22" s="3793"/>
      <c r="O22" s="2148"/>
      <c r="P22" s="3792">
        <v>365</v>
      </c>
      <c r="Q22" s="3792"/>
      <c r="R22" s="3794">
        <f>ROUND(M22*N22*O22*P22/10000,0)</f>
        <v>0</v>
      </c>
      <c r="S22" s="2099"/>
      <c r="T22" s="2099"/>
      <c r="U22" s="2099"/>
      <c r="V22" s="2106"/>
    </row>
    <row r="23" spans="1:22" s="2110" customFormat="1" ht="13.2" customHeight="1">
      <c r="A23" s="2167">
        <v>1</v>
      </c>
      <c r="B23" s="2168" t="s">
        <v>2292</v>
      </c>
      <c r="C23" s="2173">
        <f>D6</f>
        <v>0</v>
      </c>
      <c r="D23" s="3585">
        <f>C23*(1+D24)</f>
        <v>0</v>
      </c>
      <c r="E23" s="3586">
        <f>D23*(1+E24)</f>
        <v>0</v>
      </c>
      <c r="F23" s="2169"/>
      <c r="G23" s="2170"/>
      <c r="H23" s="2105"/>
      <c r="I23" s="2106"/>
      <c r="J23" s="4629"/>
      <c r="K23" s="4631"/>
      <c r="L23" s="2136" t="s">
        <v>2293</v>
      </c>
      <c r="M23" s="3793"/>
      <c r="N23" s="3793"/>
      <c r="O23" s="2148"/>
      <c r="P23" s="3792">
        <v>365</v>
      </c>
      <c r="Q23" s="3792"/>
      <c r="R23" s="3794">
        <f>ROUND(M23*N23*O23*P23/10000,0)</f>
        <v>0</v>
      </c>
      <c r="S23" s="2099"/>
      <c r="T23" s="2099"/>
      <c r="U23" s="2099"/>
      <c r="V23" s="2106"/>
    </row>
    <row r="24" spans="1:22" s="2110" customFormat="1" ht="13.2" customHeight="1">
      <c r="A24" s="2171"/>
      <c r="B24" s="2172" t="s">
        <v>2294</v>
      </c>
      <c r="C24" s="2173"/>
      <c r="D24" s="2174"/>
      <c r="E24" s="2175"/>
      <c r="F24" s="2176"/>
      <c r="G24" s="2170"/>
      <c r="H24" s="2105"/>
      <c r="I24" s="2106"/>
      <c r="J24" s="4629"/>
      <c r="K24" s="4632"/>
      <c r="L24" s="2150" t="s">
        <v>2258</v>
      </c>
      <c r="M24" s="2151">
        <f>SUM(M21:M23)</f>
        <v>0</v>
      </c>
      <c r="N24" s="2151"/>
      <c r="O24" s="2152"/>
      <c r="P24" s="2158" t="s">
        <v>2319</v>
      </c>
      <c r="Q24" s="2138">
        <v>0</v>
      </c>
      <c r="R24" s="3795">
        <f>ROUND(IF(P24="按比例",R14*Q24,SUM(R21:R23)),0)</f>
        <v>0</v>
      </c>
      <c r="S24" s="2099"/>
      <c r="T24" s="2099"/>
      <c r="U24" s="2099"/>
      <c r="V24" s="2106"/>
    </row>
    <row r="25" spans="1:22" s="2183" customFormat="1" ht="13.2" customHeight="1">
      <c r="A25" s="2171"/>
      <c r="B25" s="2172"/>
      <c r="C25" s="2173"/>
      <c r="D25" s="2174"/>
      <c r="E25" s="2175"/>
      <c r="F25" s="2176"/>
      <c r="G25" s="2099"/>
      <c r="H25" s="2105"/>
      <c r="I25" s="2106"/>
      <c r="J25" s="2177">
        <v>4</v>
      </c>
      <c r="K25" s="2178" t="s">
        <v>2295</v>
      </c>
      <c r="L25" s="2179"/>
      <c r="M25" s="2179"/>
      <c r="N25" s="2179"/>
      <c r="O25" s="2179"/>
      <c r="P25" s="2180"/>
      <c r="Q25" s="2181">
        <v>0</v>
      </c>
      <c r="R25" s="3795">
        <f>ROUND(R14*Q25,0)</f>
        <v>0</v>
      </c>
      <c r="S25" s="2099"/>
      <c r="T25" s="2099"/>
      <c r="U25" s="2099"/>
      <c r="V25" s="2182"/>
    </row>
    <row r="26" spans="1:22" s="2183" customFormat="1" ht="13.2" customHeight="1">
      <c r="A26" s="2167">
        <v>2</v>
      </c>
      <c r="B26" s="2168" t="s">
        <v>2296</v>
      </c>
      <c r="C26" s="2173">
        <f>D7</f>
        <v>0</v>
      </c>
      <c r="D26" s="3571">
        <f>D23*D27</f>
        <v>0</v>
      </c>
      <c r="E26" s="3572">
        <f>E23*E27</f>
        <v>0</v>
      </c>
      <c r="F26" s="2169"/>
      <c r="G26" s="2170"/>
      <c r="H26" s="2105"/>
      <c r="I26" s="2106"/>
      <c r="J26" s="4633">
        <v>5</v>
      </c>
      <c r="K26" s="2184" t="s">
        <v>2297</v>
      </c>
      <c r="L26" s="2185"/>
      <c r="M26" s="2186"/>
      <c r="N26" s="2187" t="s">
        <v>2298</v>
      </c>
      <c r="O26" s="2187" t="s">
        <v>2299</v>
      </c>
      <c r="P26" s="2188" t="s">
        <v>2300</v>
      </c>
      <c r="Q26" s="2188" t="s">
        <v>2301</v>
      </c>
      <c r="R26" s="2114" t="s">
        <v>2231</v>
      </c>
      <c r="S26" s="2143"/>
      <c r="T26" s="2143"/>
      <c r="U26" s="2143"/>
      <c r="V26" s="2182"/>
    </row>
    <row r="27" spans="1:22" s="2110" customFormat="1" ht="13.2" customHeight="1">
      <c r="A27" s="2171"/>
      <c r="B27" s="2172" t="s">
        <v>2302</v>
      </c>
      <c r="C27" s="2189" t="e">
        <f>E7</f>
        <v>#DIV/0!</v>
      </c>
      <c r="D27" s="2174"/>
      <c r="E27" s="2175"/>
      <c r="F27" s="2176"/>
      <c r="G27" s="2170"/>
      <c r="H27" s="2190"/>
      <c r="I27" s="2182"/>
      <c r="J27" s="4634"/>
      <c r="K27" s="2191"/>
      <c r="L27" s="2192"/>
      <c r="M27" s="2193"/>
      <c r="N27" s="3590"/>
      <c r="O27" s="3590"/>
      <c r="P27" s="3590"/>
      <c r="Q27" s="3590"/>
      <c r="R27" s="3795">
        <f>ROUND(O27*N27*P27*(1-Q27)/10000,0)</f>
        <v>0</v>
      </c>
      <c r="S27" s="2099"/>
      <c r="T27" s="2099"/>
      <c r="U27" s="2099"/>
      <c r="V27" s="2106"/>
    </row>
    <row r="28" spans="1:22" s="2183" customFormat="1" ht="13.2" customHeight="1" thickBot="1">
      <c r="A28" s="2171"/>
      <c r="B28" s="2172"/>
      <c r="C28" s="2189"/>
      <c r="D28" s="2174"/>
      <c r="E28" s="2175" t="s">
        <v>2303</v>
      </c>
      <c r="F28" s="2176"/>
      <c r="G28" s="2099"/>
      <c r="H28" s="2190"/>
      <c r="I28" s="2182"/>
      <c r="J28" s="2194">
        <v>6</v>
      </c>
      <c r="K28" s="2195" t="s">
        <v>2304</v>
      </c>
      <c r="L28" s="2196" t="s">
        <v>2305</v>
      </c>
      <c r="M28" s="3592"/>
      <c r="N28" s="2196" t="s">
        <v>2306</v>
      </c>
      <c r="O28" s="2198"/>
      <c r="P28" s="2196" t="s">
        <v>2307</v>
      </c>
      <c r="Q28" s="2199">
        <v>1.4999999999999999E-2</v>
      </c>
      <c r="R28" s="3591"/>
      <c r="S28" s="2099"/>
      <c r="T28" s="2099"/>
      <c r="U28" s="2099"/>
      <c r="V28" s="2182"/>
    </row>
    <row r="29" spans="1:22" s="2183" customFormat="1" ht="13.2" customHeight="1">
      <c r="A29" s="2167">
        <v>3</v>
      </c>
      <c r="B29" s="2168" t="s">
        <v>2308</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2" customHeight="1" thickBot="1">
      <c r="A30" s="2171"/>
      <c r="B30" s="2172" t="s">
        <v>2302</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2" customHeight="1">
      <c r="A31" s="2171"/>
      <c r="B31" s="2172"/>
      <c r="C31" s="2201"/>
      <c r="D31" s="2200"/>
      <c r="E31" s="2149"/>
      <c r="F31" s="2176"/>
      <c r="G31" s="2099"/>
      <c r="H31" s="2190"/>
      <c r="I31" s="2182"/>
      <c r="J31" s="2096" t="s">
        <v>2309</v>
      </c>
      <c r="K31" s="2097"/>
      <c r="L31" s="2097"/>
      <c r="M31" s="2097"/>
      <c r="N31" s="2097"/>
      <c r="O31" s="2097"/>
      <c r="P31" s="2097"/>
      <c r="Q31" s="2097"/>
      <c r="R31" s="2098"/>
      <c r="S31" s="2099"/>
      <c r="T31" s="2099"/>
      <c r="U31" s="2099"/>
      <c r="V31" s="2182"/>
    </row>
    <row r="32" spans="1:22" s="2183" customFormat="1" ht="13.2" customHeight="1">
      <c r="A32" s="2167">
        <v>4</v>
      </c>
      <c r="B32" s="2168" t="s">
        <v>2310</v>
      </c>
      <c r="C32" s="2173">
        <f>C23-C26-C29</f>
        <v>0</v>
      </c>
      <c r="D32" s="3571">
        <f>D23-D26-D29</f>
        <v>0</v>
      </c>
      <c r="E32" s="3572">
        <f>E23-E26-E29</f>
        <v>0</v>
      </c>
      <c r="F32" s="2169"/>
      <c r="G32" s="2099"/>
      <c r="H32" s="2105"/>
      <c r="I32" s="2106"/>
      <c r="J32" s="4635" t="s">
        <v>2208</v>
      </c>
      <c r="K32" s="4636"/>
      <c r="L32" s="2107" t="s">
        <v>2209</v>
      </c>
      <c r="M32" s="2107" t="s">
        <v>2210</v>
      </c>
      <c r="N32" s="2107" t="s">
        <v>2211</v>
      </c>
      <c r="O32" s="2107" t="s">
        <v>2212</v>
      </c>
      <c r="P32" s="2107" t="s">
        <v>2213</v>
      </c>
      <c r="Q32" s="2108" t="s">
        <v>2214</v>
      </c>
      <c r="R32" s="2202" t="s">
        <v>2215</v>
      </c>
      <c r="S32" s="2099"/>
      <c r="T32" s="2099"/>
      <c r="U32" s="2099"/>
      <c r="V32" s="2182"/>
    </row>
    <row r="33" spans="1:23" s="2110" customFormat="1" ht="13.2" customHeight="1">
      <c r="A33" s="2167"/>
      <c r="B33" s="2168"/>
      <c r="C33" s="2173"/>
      <c r="D33" s="3573"/>
      <c r="E33" s="3574"/>
      <c r="F33" s="2169"/>
      <c r="G33" s="2099"/>
      <c r="H33" s="2190"/>
      <c r="I33" s="2182"/>
      <c r="J33" s="4637" t="s">
        <v>2218</v>
      </c>
      <c r="K33" s="4638"/>
      <c r="L33" s="3593"/>
      <c r="M33" s="3593"/>
      <c r="N33" s="3593"/>
      <c r="O33" s="3593"/>
      <c r="P33" s="3593"/>
      <c r="Q33" s="3594"/>
      <c r="R33" s="3595">
        <f>SUM(L33:Q33)</f>
        <v>0</v>
      </c>
      <c r="S33" s="2099"/>
      <c r="T33" s="2099"/>
      <c r="U33" s="2099"/>
      <c r="V33" s="2106"/>
    </row>
    <row r="34" spans="1:23" s="2110" customFormat="1" ht="13.2" customHeight="1">
      <c r="A34" s="2167">
        <v>5</v>
      </c>
      <c r="B34" s="2168" t="s">
        <v>2311</v>
      </c>
      <c r="C34" s="3575"/>
      <c r="D34" s="3576"/>
      <c r="E34" s="3577"/>
      <c r="F34" s="2169"/>
      <c r="G34" s="2099"/>
      <c r="H34" s="2190"/>
      <c r="I34" s="2182"/>
      <c r="J34" s="4637" t="s">
        <v>2220</v>
      </c>
      <c r="K34" s="4638"/>
      <c r="L34" s="3596"/>
      <c r="M34" s="3596"/>
      <c r="N34" s="3596"/>
      <c r="O34" s="3596"/>
      <c r="P34" s="3596"/>
      <c r="Q34" s="3597"/>
      <c r="R34" s="3598">
        <f>SUM(L34:Q34)</f>
        <v>0</v>
      </c>
      <c r="S34" s="2099"/>
      <c r="T34" s="2099"/>
      <c r="U34" s="2099" t="e">
        <f>ROUND(R35*10000/365/R33,1)</f>
        <v>#DIV/0!</v>
      </c>
      <c r="V34" s="2106"/>
    </row>
    <row r="35" spans="1:23" s="2110" customFormat="1" ht="13.2" customHeight="1">
      <c r="A35" s="2167">
        <v>6</v>
      </c>
      <c r="B35" s="2168" t="s">
        <v>2312</v>
      </c>
      <c r="C35" s="2201"/>
      <c r="D35" s="2174"/>
      <c r="E35" s="2175"/>
      <c r="F35" s="2169"/>
      <c r="G35" s="2203"/>
      <c r="H35" s="2105"/>
      <c r="I35" s="2182"/>
      <c r="J35" s="2122" t="s">
        <v>2222</v>
      </c>
      <c r="K35" s="2123"/>
      <c r="L35" s="2123"/>
      <c r="M35" s="2124"/>
      <c r="N35" s="2124"/>
      <c r="O35" s="2124"/>
      <c r="P35" s="2124"/>
      <c r="Q35" s="2124"/>
      <c r="R35" s="2204">
        <f>R40+R41+R43</f>
        <v>0</v>
      </c>
      <c r="S35" s="2099"/>
      <c r="T35" s="2099" t="s">
        <v>2223</v>
      </c>
      <c r="U35" s="2099"/>
      <c r="V35" s="2106"/>
    </row>
    <row r="36" spans="1:23" s="2110" customFormat="1" ht="13.2" customHeight="1" thickBot="1">
      <c r="A36" s="2167">
        <v>7</v>
      </c>
      <c r="B36" s="2205" t="s">
        <v>2313</v>
      </c>
      <c r="C36" s="3578"/>
      <c r="D36" s="3579"/>
      <c r="E36" s="3580"/>
      <c r="F36" s="2206">
        <f>C36+D36+E36</f>
        <v>0</v>
      </c>
      <c r="G36" s="2099"/>
      <c r="H36" s="2105"/>
      <c r="I36" s="2106"/>
      <c r="J36" s="4629">
        <v>1</v>
      </c>
      <c r="K36" s="4630" t="s">
        <v>2314</v>
      </c>
      <c r="L36" s="2128"/>
      <c r="M36" s="2129"/>
      <c r="N36" s="2129"/>
      <c r="O36" s="2129"/>
      <c r="P36" s="2129"/>
      <c r="Q36" s="2129"/>
      <c r="R36" s="2114" t="s">
        <v>2231</v>
      </c>
      <c r="S36" s="2099"/>
      <c r="T36" s="2099" t="s">
        <v>2232</v>
      </c>
      <c r="U36" s="2099"/>
      <c r="V36" s="2106"/>
    </row>
    <row r="37" spans="1:23" s="2110" customFormat="1" ht="13.2" customHeight="1">
      <c r="A37" s="2167"/>
      <c r="B37" s="2168"/>
      <c r="C37" s="2172"/>
      <c r="D37" s="2172"/>
      <c r="E37" s="2172"/>
      <c r="F37" s="2169"/>
      <c r="G37" s="2099"/>
      <c r="H37" s="2105"/>
      <c r="I37" s="2106"/>
      <c r="J37" s="4629"/>
      <c r="K37" s="4631"/>
      <c r="L37" s="3599"/>
      <c r="M37" s="3587"/>
      <c r="N37" s="2148"/>
      <c r="O37" s="2148"/>
      <c r="P37" s="2148"/>
      <c r="Q37" s="2148"/>
      <c r="R37" s="3588"/>
      <c r="S37" s="2099"/>
      <c r="T37" s="2099" t="s">
        <v>2235</v>
      </c>
      <c r="U37" s="2099"/>
      <c r="V37" s="2106"/>
    </row>
    <row r="38" spans="1:23" s="2110" customFormat="1" ht="13.2" customHeight="1">
      <c r="A38" s="2167">
        <v>8</v>
      </c>
      <c r="B38" s="2168"/>
      <c r="C38" s="3558" t="e">
        <f>ROUND(C32*(1-((1+C35)/(1+C34))^C36)/(C34-C35),0)</f>
        <v>#DIV/0!</v>
      </c>
      <c r="D38" s="3558">
        <f>IF(D23=0,0,ROUND(D32*(1-((1+D35)/(1+D34))^D36)/(D34-D35),0))</f>
        <v>0</v>
      </c>
      <c r="E38" s="3558">
        <f>IF(E23=0,0,ROUND(E32*(1-((1+E35)/(1+E34))^E36)/(E34-E35),0))</f>
        <v>0</v>
      </c>
      <c r="F38" s="2169"/>
      <c r="G38" s="2099"/>
      <c r="H38" s="2105"/>
      <c r="I38" s="2106"/>
      <c r="J38" s="4629"/>
      <c r="K38" s="4631"/>
      <c r="L38" s="3599"/>
      <c r="M38" s="3587"/>
      <c r="N38" s="2148"/>
      <c r="O38" s="2148"/>
      <c r="P38" s="2148"/>
      <c r="Q38" s="2148"/>
      <c r="R38" s="3588"/>
      <c r="S38" s="2099"/>
      <c r="T38" s="2099" t="s">
        <v>2241</v>
      </c>
      <c r="U38" s="2099"/>
      <c r="V38" s="2106"/>
    </row>
    <row r="39" spans="1:23" s="2110" customFormat="1" ht="13.2" customHeight="1">
      <c r="A39" s="2167">
        <v>9</v>
      </c>
      <c r="B39" s="2168" t="s">
        <v>2315</v>
      </c>
      <c r="C39" s="3561" t="e">
        <f>C38</f>
        <v>#DIV/0!</v>
      </c>
      <c r="D39" s="3561">
        <f>IF(D23=0,0,D38/(1+D34)^C36)</f>
        <v>0</v>
      </c>
      <c r="E39" s="3561">
        <f>IF(E23=0,0,E38/(1+E34)^(C36+D36))</f>
        <v>0</v>
      </c>
      <c r="F39" s="2169"/>
      <c r="G39" s="2106"/>
      <c r="H39" s="2105"/>
      <c r="I39" s="2106"/>
      <c r="J39" s="4629"/>
      <c r="K39" s="4631"/>
      <c r="L39" s="3599"/>
      <c r="M39" s="3587"/>
      <c r="N39" s="2148"/>
      <c r="O39" s="2148"/>
      <c r="P39" s="2148"/>
      <c r="Q39" s="2148"/>
      <c r="R39" s="3588"/>
      <c r="S39" s="2099"/>
      <c r="T39" s="2099"/>
      <c r="U39" s="2099"/>
      <c r="V39" s="2106"/>
    </row>
    <row r="40" spans="1:23" s="2110" customFormat="1" ht="13.2" customHeight="1">
      <c r="A40" s="2207">
        <v>10</v>
      </c>
      <c r="B40" s="2168" t="s">
        <v>2316</v>
      </c>
      <c r="C40" s="3581" t="e">
        <f>C39+D39+E39</f>
        <v>#DIV/0!</v>
      </c>
      <c r="D40" s="3582"/>
      <c r="E40" s="3582"/>
      <c r="F40" s="2208"/>
      <c r="G40" s="2099"/>
      <c r="H40" s="2105"/>
      <c r="I40" s="2106"/>
      <c r="J40" s="4629"/>
      <c r="K40" s="4632"/>
      <c r="L40" s="2150" t="s">
        <v>2258</v>
      </c>
      <c r="M40" s="2151"/>
      <c r="N40" s="2151"/>
      <c r="O40" s="2152"/>
      <c r="P40" s="2152"/>
      <c r="Q40" s="3600"/>
      <c r="R40" s="3796">
        <f>SUM(R37:R39)</f>
        <v>0</v>
      </c>
      <c r="S40" s="2099"/>
      <c r="T40" s="2099"/>
      <c r="U40" s="2099"/>
      <c r="V40" s="2106"/>
    </row>
    <row r="41" spans="1:23" s="2110" customFormat="1" ht="13.2" customHeight="1" thickBot="1">
      <c r="A41" s="2209">
        <v>11</v>
      </c>
      <c r="B41" s="2210" t="s">
        <v>2317</v>
      </c>
      <c r="C41" s="3583" t="e">
        <f>ROUND(C40*10000/B4,0)</f>
        <v>#DIV/0!</v>
      </c>
      <c r="D41" s="3584"/>
      <c r="E41" s="3584"/>
      <c r="F41" s="2211"/>
      <c r="G41" s="2105"/>
      <c r="H41" s="2105"/>
      <c r="I41" s="2106"/>
      <c r="J41" s="2177">
        <v>2</v>
      </c>
      <c r="K41" s="2178" t="s">
        <v>2295</v>
      </c>
      <c r="L41" s="2179"/>
      <c r="M41" s="2179"/>
      <c r="N41" s="2179"/>
      <c r="O41" s="2179"/>
      <c r="P41" s="2180"/>
      <c r="Q41" s="3587"/>
      <c r="R41" s="3795">
        <f>ROUND(R40*Q41,0)</f>
        <v>0</v>
      </c>
      <c r="S41" s="2099"/>
      <c r="T41" s="2099"/>
      <c r="U41" s="2143"/>
      <c r="V41" s="2106"/>
    </row>
    <row r="42" spans="1:23" s="2110" customFormat="1" ht="13.2" customHeight="1">
      <c r="G42" s="2105"/>
      <c r="H42" s="2105"/>
      <c r="I42" s="2106"/>
      <c r="J42" s="4633">
        <v>3</v>
      </c>
      <c r="K42" s="2184" t="s">
        <v>2297</v>
      </c>
      <c r="L42" s="2185"/>
      <c r="M42" s="2186"/>
      <c r="N42" s="2187" t="s">
        <v>2298</v>
      </c>
      <c r="O42" s="2187" t="s">
        <v>2299</v>
      </c>
      <c r="P42" s="2188" t="s">
        <v>2300</v>
      </c>
      <c r="Q42" s="2188" t="s">
        <v>2301</v>
      </c>
      <c r="R42" s="2114" t="s">
        <v>2231</v>
      </c>
      <c r="S42" s="2143"/>
      <c r="T42" s="2143"/>
      <c r="U42" s="2099"/>
      <c r="V42" s="2106"/>
    </row>
    <row r="43" spans="1:23" ht="13.2" customHeight="1">
      <c r="A43" s="2110"/>
      <c r="B43" s="2110"/>
      <c r="C43" s="2110"/>
      <c r="D43" s="2110"/>
      <c r="E43" s="2110"/>
      <c r="F43" s="2110"/>
      <c r="G43" s="2105"/>
      <c r="H43" s="2105"/>
      <c r="I43" s="2094"/>
      <c r="J43" s="4634"/>
      <c r="K43" s="2191"/>
      <c r="L43" s="2192"/>
      <c r="M43" s="2193"/>
      <c r="N43" s="3587"/>
      <c r="O43" s="3587"/>
      <c r="P43" s="3587"/>
      <c r="Q43" s="3587"/>
      <c r="R43" s="3795">
        <f>ROUND(O43*N43*P43*(1-Q43)/10000,0)</f>
        <v>0</v>
      </c>
      <c r="S43" s="2099"/>
      <c r="T43" s="2099"/>
      <c r="V43" s="2212"/>
      <c r="W43" s="2213"/>
    </row>
    <row r="44" spans="1:23" ht="13.2" customHeight="1" thickBot="1">
      <c r="A44" s="2110"/>
      <c r="B44" s="2110"/>
      <c r="C44" s="2110"/>
      <c r="D44" s="2110"/>
      <c r="E44" s="2110"/>
      <c r="F44" s="2110"/>
      <c r="G44" s="2105"/>
      <c r="H44" s="2105"/>
      <c r="J44" s="2194">
        <v>6</v>
      </c>
      <c r="K44" s="2195" t="s">
        <v>2304</v>
      </c>
      <c r="L44" s="2214" t="s">
        <v>2305</v>
      </c>
      <c r="M44" s="3592"/>
      <c r="N44" s="2214" t="s">
        <v>2306</v>
      </c>
      <c r="O44" s="2197"/>
      <c r="P44" s="2214" t="s">
        <v>2307</v>
      </c>
      <c r="Q44" s="2199">
        <v>1.4999999999999999E-2</v>
      </c>
      <c r="R44" s="3591"/>
    </row>
    <row r="45" spans="1:23" ht="13.2" customHeight="1" thickBot="1">
      <c r="A45" s="2110"/>
      <c r="B45" s="2110"/>
      <c r="C45" s="2110"/>
      <c r="D45" s="2110"/>
      <c r="E45" s="2110"/>
      <c r="F45" s="2110"/>
      <c r="G45" s="2105"/>
      <c r="H45" s="2105"/>
    </row>
    <row r="46" spans="1:23" ht="14.4">
      <c r="A46" s="2110"/>
      <c r="B46" s="2110"/>
      <c r="C46" s="3700" t="s">
        <v>3724</v>
      </c>
      <c r="D46" s="3701" t="s">
        <v>3795</v>
      </c>
      <c r="E46" s="4081">
        <f>ROUND(D6*G46,0)</f>
        <v>0</v>
      </c>
      <c r="F46" s="3712" t="s">
        <v>3784</v>
      </c>
      <c r="G46" s="4082">
        <v>0.05</v>
      </c>
      <c r="H46" s="2110"/>
      <c r="I46" s="2213"/>
    </row>
    <row r="47" spans="1:23" ht="13.2" customHeight="1">
      <c r="A47" s="2110"/>
      <c r="B47" s="2110"/>
      <c r="C47" s="3702" t="s">
        <v>3725</v>
      </c>
      <c r="D47" s="3703" t="s">
        <v>3726</v>
      </c>
      <c r="E47" s="4195" t="s">
        <v>3966</v>
      </c>
      <c r="F47" s="3713" t="s">
        <v>3727</v>
      </c>
      <c r="G47" s="3714" t="s">
        <v>3728</v>
      </c>
      <c r="H47" s="2100"/>
      <c r="I47" s="2213"/>
    </row>
    <row r="48" spans="1:23" ht="13.2" customHeight="1">
      <c r="C48" s="3704">
        <v>1</v>
      </c>
      <c r="D48" s="3703" t="s">
        <v>3729</v>
      </c>
      <c r="E48" s="3724">
        <f>E49-E54</f>
        <v>0</v>
      </c>
      <c r="F48" s="3703"/>
      <c r="G48" s="3714"/>
      <c r="H48" s="2100"/>
      <c r="I48" s="2213"/>
    </row>
    <row r="49" spans="1:9" ht="13.2" customHeight="1">
      <c r="C49" s="3704">
        <v>2</v>
      </c>
      <c r="D49" s="3703" t="s">
        <v>3730</v>
      </c>
      <c r="E49" s="3724">
        <f>SUM(E50:E53)</f>
        <v>0</v>
      </c>
      <c r="F49" s="3703"/>
      <c r="G49" s="4076"/>
      <c r="H49" s="2100"/>
      <c r="I49" s="2213"/>
    </row>
    <row r="50" spans="1:9" ht="13.2" customHeight="1">
      <c r="C50" s="3705" t="s">
        <v>3746</v>
      </c>
      <c r="D50" s="3706" t="s">
        <v>3731</v>
      </c>
      <c r="E50" s="3725">
        <f>R14*G50/(1+G50)</f>
        <v>0</v>
      </c>
      <c r="F50" s="3715" t="s">
        <v>3747</v>
      </c>
      <c r="G50" s="4077">
        <v>0.06</v>
      </c>
      <c r="H50" s="2100"/>
      <c r="I50" s="2213"/>
    </row>
    <row r="51" spans="1:9" ht="13.2" customHeight="1">
      <c r="C51" s="3705" t="s">
        <v>3748</v>
      </c>
      <c r="D51" s="3706" t="s">
        <v>3732</v>
      </c>
      <c r="E51" s="3725">
        <f>R19*G51/(1+G51)</f>
        <v>0</v>
      </c>
      <c r="F51" s="3715" t="s">
        <v>3749</v>
      </c>
      <c r="G51" s="4077">
        <v>0.06</v>
      </c>
      <c r="H51" s="2100"/>
      <c r="I51" s="2213"/>
    </row>
    <row r="52" spans="1:9" ht="13.2" customHeight="1">
      <c r="C52" s="3705" t="s">
        <v>3750</v>
      </c>
      <c r="D52" s="3706" t="s">
        <v>3733</v>
      </c>
      <c r="E52" s="3725">
        <f>R24*G52/(1+R24)</f>
        <v>0</v>
      </c>
      <c r="F52" s="3715" t="s">
        <v>3734</v>
      </c>
      <c r="G52" s="4077">
        <v>0.09</v>
      </c>
      <c r="H52" s="2100"/>
      <c r="I52" s="2213"/>
    </row>
    <row r="53" spans="1:9" ht="13.2" customHeight="1">
      <c r="C53" s="3705" t="s">
        <v>3751</v>
      </c>
      <c r="D53" s="3706" t="s">
        <v>3735</v>
      </c>
      <c r="E53" s="3725">
        <f>R27*G53/(1+G53)</f>
        <v>0</v>
      </c>
      <c r="F53" s="3715" t="s">
        <v>3734</v>
      </c>
      <c r="G53" s="4077">
        <v>0.09</v>
      </c>
      <c r="H53" s="2100"/>
      <c r="I53" s="2213"/>
    </row>
    <row r="54" spans="1:9" ht="13.2" customHeight="1">
      <c r="A54" s="2100" t="s">
        <v>3779</v>
      </c>
      <c r="B54" s="2213"/>
      <c r="C54" s="3704">
        <v>3</v>
      </c>
      <c r="D54" s="3703" t="s">
        <v>3736</v>
      </c>
      <c r="E54" s="3724">
        <f>E55+E56+E60</f>
        <v>0</v>
      </c>
      <c r="F54" s="3703"/>
      <c r="G54" s="4076"/>
      <c r="H54" s="2100"/>
      <c r="I54" s="2213"/>
    </row>
    <row r="55" spans="1:9" ht="13.2" customHeight="1">
      <c r="A55" s="3696">
        <v>0.05</v>
      </c>
      <c r="B55" s="3697" t="s">
        <v>3783</v>
      </c>
      <c r="C55" s="3705" t="s">
        <v>3746</v>
      </c>
      <c r="D55" s="3706" t="s">
        <v>3737</v>
      </c>
      <c r="E55" s="3725">
        <f>D9*G55/(1+G55)</f>
        <v>0</v>
      </c>
      <c r="F55" s="3717" t="s">
        <v>3785</v>
      </c>
      <c r="G55" s="4077">
        <v>0.13</v>
      </c>
      <c r="H55" s="2100"/>
      <c r="I55" s="2213"/>
    </row>
    <row r="56" spans="1:9" ht="13.2" customHeight="1">
      <c r="A56" s="3696">
        <f>SUM(A57:A59)</f>
        <v>0.39</v>
      </c>
      <c r="B56" s="3697"/>
      <c r="C56" s="3705" t="s">
        <v>3748</v>
      </c>
      <c r="D56" s="3706" t="s">
        <v>3738</v>
      </c>
      <c r="E56" s="3725">
        <f>SUM(E57:E59)</f>
        <v>0</v>
      </c>
      <c r="F56" s="3715"/>
      <c r="G56" s="3718"/>
      <c r="H56" s="2100" t="s">
        <v>3792</v>
      </c>
      <c r="I56" s="2100" t="s">
        <v>3793</v>
      </c>
    </row>
    <row r="57" spans="1:9" ht="13.2" customHeight="1">
      <c r="A57" s="3696">
        <v>0.25</v>
      </c>
      <c r="B57" s="3697" t="s">
        <v>3780</v>
      </c>
      <c r="C57" s="3707" t="s">
        <v>3739</v>
      </c>
      <c r="D57" s="3708" t="s">
        <v>3740</v>
      </c>
      <c r="E57" s="3726">
        <v>0</v>
      </c>
      <c r="F57" s="3719"/>
      <c r="G57" s="3720" t="s">
        <v>3741</v>
      </c>
      <c r="H57" s="3692">
        <v>0.65</v>
      </c>
      <c r="I57" s="3698">
        <f>A57/SUM(A57:A59)</f>
        <v>0.64102564102564097</v>
      </c>
    </row>
    <row r="58" spans="1:9" ht="13.2" customHeight="1">
      <c r="A58" s="3696">
        <v>0.06</v>
      </c>
      <c r="B58" s="3697" t="s">
        <v>3781</v>
      </c>
      <c r="C58" s="3707" t="s">
        <v>3742</v>
      </c>
      <c r="D58" s="3709" t="s">
        <v>3787</v>
      </c>
      <c r="E58" s="3726">
        <f>D10*H58*G58/(1+G58)</f>
        <v>0</v>
      </c>
      <c r="F58" s="3719" t="s">
        <v>3752</v>
      </c>
      <c r="G58" s="4078">
        <v>0.09</v>
      </c>
      <c r="H58" s="3692">
        <v>0.15</v>
      </c>
      <c r="I58" s="3698">
        <f>A58/SUM(A57:A59)</f>
        <v>0.15384615384615383</v>
      </c>
    </row>
    <row r="59" spans="1:9" ht="13.2" customHeight="1">
      <c r="A59" s="3696">
        <v>0.08</v>
      </c>
      <c r="B59" s="3697" t="s">
        <v>3782</v>
      </c>
      <c r="C59" s="3707" t="s">
        <v>3743</v>
      </c>
      <c r="D59" s="3708" t="s">
        <v>3753</v>
      </c>
      <c r="E59" s="3726">
        <f>D10*H59*G59/(1+G59)</f>
        <v>0</v>
      </c>
      <c r="F59" s="3719" t="s">
        <v>3754</v>
      </c>
      <c r="G59" s="4078">
        <v>0.06</v>
      </c>
      <c r="H59" s="3692">
        <v>0.2</v>
      </c>
      <c r="I59" s="3698">
        <f>1-I57-I58</f>
        <v>0.2051282051282052</v>
      </c>
    </row>
    <row r="60" spans="1:9" ht="13.2" customHeight="1">
      <c r="A60" s="3696">
        <f>SUM(A61:A62)</f>
        <v>0.1</v>
      </c>
      <c r="B60" s="3697"/>
      <c r="C60" s="3705" t="s">
        <v>3750</v>
      </c>
      <c r="D60" s="3706" t="s">
        <v>3755</v>
      </c>
      <c r="E60" s="3725">
        <f>SUM(E61:E62)</f>
        <v>0</v>
      </c>
      <c r="F60" s="3715"/>
      <c r="G60" s="4079"/>
      <c r="I60" s="2213"/>
    </row>
    <row r="61" spans="1:9" ht="13.2" customHeight="1">
      <c r="A61" s="3696">
        <v>0.05</v>
      </c>
      <c r="B61" s="3697" t="s">
        <v>3783</v>
      </c>
      <c r="C61" s="3707" t="s">
        <v>3756</v>
      </c>
      <c r="D61" s="3708" t="s">
        <v>3757</v>
      </c>
      <c r="E61" s="3726">
        <f>D17*H61*G61/(1+G61)</f>
        <v>0</v>
      </c>
      <c r="F61" s="3719" t="s">
        <v>3754</v>
      </c>
      <c r="G61" s="4078">
        <v>0.06</v>
      </c>
      <c r="H61" s="3692">
        <v>0.5</v>
      </c>
      <c r="I61" s="2213"/>
    </row>
    <row r="62" spans="1:9" ht="13.2" customHeight="1" thickBot="1">
      <c r="A62" s="3696">
        <v>0.05</v>
      </c>
      <c r="B62" s="3697" t="s">
        <v>3784</v>
      </c>
      <c r="C62" s="3710" t="s">
        <v>3742</v>
      </c>
      <c r="D62" s="3711" t="s">
        <v>3758</v>
      </c>
      <c r="E62" s="3727">
        <f>D17*H62*G62/(1+G62)</f>
        <v>0</v>
      </c>
      <c r="F62" s="3722" t="s">
        <v>3759</v>
      </c>
      <c r="G62" s="4080">
        <v>0.09</v>
      </c>
      <c r="H62" s="3692">
        <v>0.5</v>
      </c>
      <c r="I62" s="2213"/>
    </row>
    <row r="63" spans="1:9" ht="13.2" customHeight="1">
      <c r="A63" s="3696">
        <f>A55+A56+A60</f>
        <v>0.54</v>
      </c>
      <c r="B63" s="3697"/>
      <c r="C63" s="2213"/>
      <c r="D63" s="3697"/>
      <c r="E63" s="3697"/>
      <c r="F63" s="2213"/>
      <c r="G63" s="2213"/>
      <c r="H63" s="2100"/>
      <c r="I63" s="2100"/>
    </row>
    <row r="64" spans="1:9" ht="13.2" customHeight="1" thickBot="1">
      <c r="C64" s="2213"/>
      <c r="D64" s="2213"/>
      <c r="E64" s="2213"/>
      <c r="F64" s="2213"/>
      <c r="G64" s="2213"/>
      <c r="H64" s="2100"/>
      <c r="I64" s="2213"/>
    </row>
    <row r="65" spans="1:9" ht="14.4">
      <c r="C65" s="3700" t="s">
        <v>3760</v>
      </c>
      <c r="D65" s="3701" t="s">
        <v>3795</v>
      </c>
      <c r="E65" s="4081">
        <f>ROUND(D6*G65,0)</f>
        <v>0</v>
      </c>
      <c r="F65" s="3712" t="s">
        <v>3796</v>
      </c>
      <c r="G65" s="4082">
        <v>0.03</v>
      </c>
      <c r="H65" s="2100"/>
      <c r="I65" s="2213"/>
    </row>
    <row r="66" spans="1:9">
      <c r="C66" s="3702" t="s">
        <v>3761</v>
      </c>
      <c r="D66" s="3703" t="s">
        <v>3762</v>
      </c>
      <c r="E66" s="4195" t="s">
        <v>3966</v>
      </c>
      <c r="F66" s="3713" t="s">
        <v>3763</v>
      </c>
      <c r="G66" s="3714" t="s">
        <v>3764</v>
      </c>
      <c r="H66" s="2100"/>
      <c r="I66" s="2213"/>
    </row>
    <row r="67" spans="1:9" ht="12">
      <c r="C67" s="3704">
        <v>1</v>
      </c>
      <c r="D67" s="3703" t="s">
        <v>3765</v>
      </c>
      <c r="E67" s="3728">
        <f>E68-E73</f>
        <v>0</v>
      </c>
      <c r="F67" s="3703"/>
      <c r="G67" s="3714"/>
      <c r="H67" s="2100"/>
      <c r="I67" s="2213"/>
    </row>
    <row r="68" spans="1:9" ht="13.2" customHeight="1">
      <c r="C68" s="3729">
        <v>2</v>
      </c>
      <c r="D68" s="3703" t="s">
        <v>3766</v>
      </c>
      <c r="E68" s="3728">
        <f>SUM(E69:E70)</f>
        <v>0</v>
      </c>
      <c r="F68" s="3703"/>
      <c r="G68" s="3714"/>
      <c r="H68" s="2100"/>
      <c r="I68" s="2213"/>
    </row>
    <row r="69" spans="1:9" ht="13.2" customHeight="1">
      <c r="C69" s="3705" t="s">
        <v>3767</v>
      </c>
      <c r="D69" s="3706" t="s">
        <v>3768</v>
      </c>
      <c r="E69" s="3706"/>
      <c r="F69" s="3715" t="s">
        <v>3769</v>
      </c>
      <c r="G69" s="3716">
        <v>0.09</v>
      </c>
      <c r="H69" s="2100"/>
      <c r="I69" s="2213"/>
    </row>
    <row r="70" spans="1:9" ht="13.2" customHeight="1">
      <c r="C70" s="3705" t="s">
        <v>3748</v>
      </c>
      <c r="D70" s="3706" t="s">
        <v>3770</v>
      </c>
      <c r="E70" s="3706"/>
      <c r="F70" s="3715" t="s">
        <v>3771</v>
      </c>
      <c r="G70" s="3716">
        <v>0.06</v>
      </c>
      <c r="H70" s="2100"/>
      <c r="I70" s="2213"/>
    </row>
    <row r="71" spans="1:9" ht="13.2" customHeight="1">
      <c r="A71" s="2100" t="s">
        <v>3786</v>
      </c>
      <c r="C71" s="3729">
        <v>3</v>
      </c>
      <c r="D71" s="3703" t="s">
        <v>3772</v>
      </c>
      <c r="E71" s="3728">
        <f>E72+E77</f>
        <v>0</v>
      </c>
      <c r="F71" s="3703"/>
      <c r="G71" s="3714"/>
      <c r="H71" s="2100"/>
      <c r="I71" s="2213"/>
    </row>
    <row r="72" spans="1:9" ht="13.2" customHeight="1">
      <c r="A72" s="3696">
        <v>0.05</v>
      </c>
      <c r="B72" s="3699"/>
      <c r="C72" s="3705" t="s">
        <v>3767</v>
      </c>
      <c r="D72" s="3706" t="s">
        <v>3773</v>
      </c>
      <c r="E72" s="3706">
        <f>D9*G72/(1+G72)</f>
        <v>0</v>
      </c>
      <c r="F72" s="3717" t="s">
        <v>3785</v>
      </c>
      <c r="G72" s="3716">
        <v>0.13</v>
      </c>
      <c r="H72" s="2100"/>
      <c r="I72" s="2213"/>
    </row>
    <row r="73" spans="1:9" ht="13.2" customHeight="1">
      <c r="A73" s="3696">
        <f>SUM(A74:A76)</f>
        <v>0.2</v>
      </c>
      <c r="B73" s="3699"/>
      <c r="C73" s="3705" t="s">
        <v>3748</v>
      </c>
      <c r="D73" s="3706" t="s">
        <v>3774</v>
      </c>
      <c r="E73" s="3706">
        <f>SUM(E74:E76)</f>
        <v>0</v>
      </c>
      <c r="F73" s="3715"/>
      <c r="G73" s="3718"/>
      <c r="H73" s="2100" t="s">
        <v>3792</v>
      </c>
      <c r="I73" s="2100" t="s">
        <v>3793</v>
      </c>
    </row>
    <row r="74" spans="1:9" ht="13.2" customHeight="1">
      <c r="A74" s="3696">
        <v>0.05</v>
      </c>
      <c r="B74" s="3699" t="s">
        <v>3790</v>
      </c>
      <c r="C74" s="3730" t="s">
        <v>3775</v>
      </c>
      <c r="D74" s="3708" t="s">
        <v>3776</v>
      </c>
      <c r="E74" s="3708">
        <v>0</v>
      </c>
      <c r="F74" s="3719"/>
      <c r="G74" s="3720" t="s">
        <v>3777</v>
      </c>
      <c r="H74" s="3692">
        <v>0.25</v>
      </c>
      <c r="I74" s="3698">
        <f>A74/SUM(A74:A76)</f>
        <v>0.25</v>
      </c>
    </row>
    <row r="75" spans="1:9" ht="13.2" customHeight="1">
      <c r="A75" s="3696">
        <v>0.1</v>
      </c>
      <c r="B75" s="3699" t="s">
        <v>3788</v>
      </c>
      <c r="C75" s="3730" t="s">
        <v>3744</v>
      </c>
      <c r="D75" s="3709" t="s">
        <v>3787</v>
      </c>
      <c r="E75" s="3708">
        <f>D10*H75*G75/(1+G75)</f>
        <v>0</v>
      </c>
      <c r="F75" s="3719" t="s">
        <v>3778</v>
      </c>
      <c r="G75" s="3721">
        <v>0.09</v>
      </c>
      <c r="H75" s="3692">
        <v>0.5</v>
      </c>
      <c r="I75" s="3698">
        <f>A75/SUM(A74:A76)</f>
        <v>0.5</v>
      </c>
    </row>
    <row r="76" spans="1:9" ht="13.2" customHeight="1">
      <c r="A76" s="3696">
        <v>0.05</v>
      </c>
      <c r="B76" s="3699" t="s">
        <v>3791</v>
      </c>
      <c r="C76" s="3730" t="s">
        <v>3745</v>
      </c>
      <c r="D76" s="3708" t="s">
        <v>3753</v>
      </c>
      <c r="E76" s="3708">
        <f>D10*H76*G76/(1+G76)</f>
        <v>0</v>
      </c>
      <c r="F76" s="3719" t="s">
        <v>3754</v>
      </c>
      <c r="G76" s="3721">
        <v>0.06</v>
      </c>
      <c r="H76" s="3692">
        <v>0.25</v>
      </c>
      <c r="I76" s="3698">
        <f>1-I74-I75</f>
        <v>0.25</v>
      </c>
    </row>
    <row r="77" spans="1:9" ht="13.2" customHeight="1">
      <c r="A77" s="3696">
        <f>SUM(A78:A79)</f>
        <v>0.1</v>
      </c>
      <c r="B77" s="3699"/>
      <c r="C77" s="3705" t="s">
        <v>3750</v>
      </c>
      <c r="D77" s="3706" t="s">
        <v>3755</v>
      </c>
      <c r="E77" s="3706">
        <f>SUM(E78:E79)</f>
        <v>0</v>
      </c>
      <c r="F77" s="3715"/>
      <c r="G77" s="3718"/>
      <c r="I77" s="2213"/>
    </row>
    <row r="78" spans="1:9" ht="13.2" customHeight="1">
      <c r="A78" s="3696">
        <v>0.05</v>
      </c>
      <c r="B78" s="3699" t="s">
        <v>3781</v>
      </c>
      <c r="C78" s="3730" t="s">
        <v>3775</v>
      </c>
      <c r="D78" s="3708" t="s">
        <v>3757</v>
      </c>
      <c r="E78" s="3708">
        <f>D17*H78*G78/(1+G78)</f>
        <v>0</v>
      </c>
      <c r="F78" s="3719" t="s">
        <v>3754</v>
      </c>
      <c r="G78" s="3721">
        <v>0.06</v>
      </c>
      <c r="H78" s="3692">
        <v>0.5</v>
      </c>
      <c r="I78" s="2213"/>
    </row>
    <row r="79" spans="1:9" ht="13.2" customHeight="1" thickBot="1">
      <c r="A79" s="3696">
        <v>0.05</v>
      </c>
      <c r="B79" s="3699" t="s">
        <v>3789</v>
      </c>
      <c r="C79" s="3731" t="s">
        <v>3744</v>
      </c>
      <c r="D79" s="3711" t="s">
        <v>3758</v>
      </c>
      <c r="E79" s="3711">
        <f>D17*H79*G79/(1+G79)</f>
        <v>0</v>
      </c>
      <c r="F79" s="3722" t="s">
        <v>3759</v>
      </c>
      <c r="G79" s="3723">
        <v>0.09</v>
      </c>
      <c r="H79" s="3692">
        <v>0.5</v>
      </c>
      <c r="I79" s="2213"/>
    </row>
    <row r="80" spans="1:9" ht="13.2" customHeight="1">
      <c r="A80" s="3696">
        <f>A72+A73+A77</f>
        <v>0.35</v>
      </c>
      <c r="B80" s="3699"/>
      <c r="G80" s="2100"/>
      <c r="H80" s="2100"/>
      <c r="I80" s="2213"/>
    </row>
    <row r="81" spans="7:9" ht="13.2" customHeight="1">
      <c r="G81" s="2100"/>
      <c r="H81" s="2100"/>
      <c r="I81" s="221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O19" sqref="O19"/>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69" t="s">
        <v>1570</v>
      </c>
      <c r="B1" s="1370"/>
      <c r="C1" s="1370"/>
      <c r="D1" s="1370"/>
      <c r="E1" s="1371"/>
      <c r="F1" s="2000"/>
      <c r="G1" s="1058"/>
      <c r="H1" s="1058"/>
      <c r="I1" s="1058"/>
      <c r="J1" s="1058"/>
      <c r="K1" s="1058"/>
      <c r="L1" s="1058"/>
      <c r="M1" s="1058"/>
      <c r="N1" s="1058"/>
      <c r="O1" s="1058"/>
      <c r="P1" s="1058"/>
      <c r="Q1" s="1058"/>
      <c r="R1" s="1058"/>
      <c r="S1" s="1058"/>
    </row>
    <row r="2" spans="1:22" ht="15.6">
      <c r="A2" s="1372" t="s">
        <v>1433</v>
      </c>
      <c r="B2" s="570">
        <f ca="1">SUMIF(B6:B13,"&lt;&gt;#ref!",B6:B13)</f>
        <v>91847.482799999998</v>
      </c>
      <c r="C2" s="1373" t="s">
        <v>1563</v>
      </c>
      <c r="D2" s="1374" t="s">
        <v>1564</v>
      </c>
      <c r="E2" s="2955">
        <f>SUM(E6:E13)</f>
        <v>57408.26</v>
      </c>
      <c r="F2" s="2000"/>
      <c r="G2" s="1058"/>
      <c r="H2" s="1058"/>
      <c r="I2" s="1058"/>
      <c r="J2" s="1058"/>
      <c r="K2" s="1058"/>
      <c r="L2" s="1058"/>
      <c r="M2" s="1058"/>
      <c r="N2" s="1058"/>
      <c r="O2" s="1058"/>
      <c r="P2" s="1058"/>
      <c r="Q2" s="1058"/>
      <c r="R2" s="1058"/>
      <c r="S2" s="1058"/>
    </row>
    <row r="3" spans="1:22" ht="15.6">
      <c r="A3" s="1372" t="s">
        <v>673</v>
      </c>
      <c r="B3" s="2954">
        <f ca="1">ROUND(B2*10000/E2,0)</f>
        <v>15999</v>
      </c>
      <c r="C3" s="1373" t="s">
        <v>1571</v>
      </c>
      <c r="D3" s="2000"/>
      <c r="E3" s="2003"/>
      <c r="F3" s="2000"/>
      <c r="G3" s="1058"/>
      <c r="H3" s="1058"/>
      <c r="I3" s="1058"/>
      <c r="J3" s="1058"/>
      <c r="K3" s="1058"/>
      <c r="L3" s="1058"/>
      <c r="M3" s="1058"/>
      <c r="N3" s="1058"/>
      <c r="O3" s="1058"/>
      <c r="P3" s="1058"/>
      <c r="Q3" s="1058"/>
      <c r="R3" s="1058"/>
      <c r="S3" s="1058"/>
    </row>
    <row r="4" spans="1:22" ht="15.6">
      <c r="A4" s="2004"/>
      <c r="B4" s="2000"/>
      <c r="C4" s="2000"/>
      <c r="D4" s="2000"/>
      <c r="E4" s="2003"/>
      <c r="F4" s="2000"/>
      <c r="G4" s="1058"/>
      <c r="H4" s="1058"/>
      <c r="I4" s="1058"/>
      <c r="J4" s="1058"/>
      <c r="K4" s="1058"/>
      <c r="L4" s="1058"/>
      <c r="M4" s="1058"/>
      <c r="N4" s="1058"/>
      <c r="O4" s="1058"/>
      <c r="P4" s="1058"/>
      <c r="Q4" s="1058"/>
      <c r="R4" s="1058"/>
      <c r="S4" s="1058"/>
    </row>
    <row r="5" spans="1:22" ht="14.4">
      <c r="A5" s="1915" t="s">
        <v>1565</v>
      </c>
      <c r="B5" s="4649" t="s">
        <v>1566</v>
      </c>
      <c r="C5" s="4650"/>
      <c r="D5" s="2001"/>
      <c r="E5" s="1375" t="s">
        <v>1567</v>
      </c>
      <c r="F5" s="51" t="s">
        <v>1568</v>
      </c>
      <c r="G5" s="1058"/>
      <c r="H5" s="1058"/>
      <c r="I5" s="1058"/>
      <c r="J5" s="1058"/>
      <c r="K5" s="1058"/>
      <c r="L5" s="1058"/>
      <c r="M5" s="1058"/>
      <c r="N5" s="1058"/>
      <c r="O5" s="1058"/>
      <c r="P5" s="1058"/>
      <c r="Q5" s="1058"/>
      <c r="R5" s="1058"/>
      <c r="S5" s="1058"/>
    </row>
    <row r="6" spans="1:22" ht="14.4">
      <c r="A6" s="1916" t="str">
        <f>'数据-取费表'!AN6</f>
        <v>收益法-办公</v>
      </c>
      <c r="B6" s="3743">
        <f ca="1">IF(F6="是",'数据-取费表'!AO6,0)</f>
        <v>70726</v>
      </c>
      <c r="C6" s="1373" t="s">
        <v>1563</v>
      </c>
      <c r="D6" s="2000"/>
      <c r="E6" s="2956">
        <f>IF(OR(A6=0,F6="否"),0,'数据-取费表'!K6+'数据-取费表'!S6)</f>
        <v>39456.269999999997</v>
      </c>
      <c r="F6" s="1376" t="s">
        <v>1569</v>
      </c>
      <c r="G6" s="1058"/>
      <c r="H6" s="1058"/>
      <c r="I6" s="1058"/>
      <c r="J6" s="1058"/>
      <c r="K6" s="1058"/>
      <c r="L6" s="1058"/>
      <c r="M6" s="1058"/>
      <c r="N6" s="1058"/>
      <c r="O6" s="1058"/>
      <c r="P6" s="1058"/>
      <c r="Q6" s="1058"/>
      <c r="R6" s="1058"/>
      <c r="S6" s="1058"/>
    </row>
    <row r="7" spans="1:22" ht="14.4">
      <c r="A7" s="1916" t="str">
        <f>'数据-取费表'!AN7</f>
        <v>收益法-商业</v>
      </c>
      <c r="B7" s="3743">
        <f ca="1">IF(F7="是",'数据-取费表'!AO7,0)</f>
        <v>19729</v>
      </c>
      <c r="C7" s="1373" t="s">
        <v>1563</v>
      </c>
      <c r="D7" s="2000"/>
      <c r="E7" s="2956">
        <f>IF(OR(A7=0,F7="否"),0,'数据-取费表'!K7+'数据-取费表'!S7)</f>
        <v>12972.44</v>
      </c>
      <c r="F7" s="1376" t="s">
        <v>1569</v>
      </c>
      <c r="G7" s="1058"/>
      <c r="H7" s="1058"/>
      <c r="I7" s="1058"/>
      <c r="J7" s="1058"/>
      <c r="K7" s="1058"/>
      <c r="L7" s="1058"/>
      <c r="M7" s="1058"/>
      <c r="N7" s="1058"/>
      <c r="O7" s="1058"/>
      <c r="P7" s="1058"/>
      <c r="Q7" s="1058"/>
      <c r="R7" s="1058"/>
      <c r="S7" s="1058"/>
    </row>
    <row r="8" spans="1:22" ht="14.4">
      <c r="A8" s="1916" t="str">
        <f>'数据-取费表'!AN8</f>
        <v>收益法-仓储</v>
      </c>
      <c r="B8" s="3743">
        <f ca="1">IF(F8="是",'数据-取费表'!AO8,0)</f>
        <v>52.482799999999997</v>
      </c>
      <c r="C8" s="1373" t="s">
        <v>1563</v>
      </c>
      <c r="D8" s="2000"/>
      <c r="E8" s="2956">
        <f>IF(OR(A8=0,F8="否"),0,'数据-取费表'!K8+'数据-取费表'!S8)</f>
        <v>195.18</v>
      </c>
      <c r="F8" s="1376" t="s">
        <v>1569</v>
      </c>
      <c r="G8" s="1058"/>
      <c r="H8" s="1058"/>
      <c r="I8" s="1058"/>
      <c r="J8" s="1058"/>
      <c r="K8" s="1058"/>
      <c r="L8" s="1058"/>
      <c r="M8" s="1058"/>
      <c r="N8" s="1058"/>
      <c r="O8" s="1058"/>
      <c r="P8" s="1058"/>
      <c r="Q8" s="1058"/>
      <c r="R8" s="1058"/>
      <c r="S8" s="1058"/>
    </row>
    <row r="9" spans="1:22" ht="14.4">
      <c r="A9" s="1916" t="str">
        <f>'数据-取费表'!AN9</f>
        <v>收益法-车库</v>
      </c>
      <c r="B9" s="3743">
        <f ca="1">IF(F9="是",'数据-取费表'!AO9,0)</f>
        <v>1340</v>
      </c>
      <c r="C9" s="1373" t="s">
        <v>1563</v>
      </c>
      <c r="D9" s="2000"/>
      <c r="E9" s="2956">
        <f>IF(OR(A9=0,F9="否"),0,'数据-取费表'!K9+'数据-取费表'!S9)</f>
        <v>4784.37</v>
      </c>
      <c r="F9" s="1376" t="s">
        <v>1569</v>
      </c>
      <c r="G9" s="1058"/>
      <c r="H9" s="1058"/>
      <c r="I9" s="1058"/>
      <c r="J9" s="1058"/>
      <c r="K9" s="1058"/>
      <c r="L9" s="1058"/>
      <c r="M9" s="1058"/>
      <c r="N9" s="1058"/>
      <c r="O9" s="1058"/>
      <c r="P9" s="1058"/>
      <c r="Q9" s="1058"/>
      <c r="R9" s="1058"/>
      <c r="S9" s="1058"/>
    </row>
    <row r="10" spans="1:22" ht="14.4">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ht="14.4">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ht="14.4">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D093-96F9-4F4F-A66A-29917C520279}">
  <dimension ref="A1:S52"/>
  <sheetViews>
    <sheetView topLeftCell="E32" zoomScaleNormal="100" workbookViewId="0">
      <selection activeCell="O54" sqref="O54"/>
    </sheetView>
  </sheetViews>
  <sheetFormatPr defaultColWidth="8.77734375" defaultRowHeight="13.2"/>
  <cols>
    <col min="1" max="1" width="14.77734375" style="4258" customWidth="1"/>
    <col min="2" max="2" width="6.77734375" style="4258" customWidth="1"/>
    <col min="3" max="3" width="19.6640625" style="4258" customWidth="1"/>
    <col min="4" max="4" width="39.77734375" style="4258" customWidth="1"/>
    <col min="5" max="5" width="19" style="4258" customWidth="1"/>
    <col min="6" max="6" width="10.33203125" style="4258" customWidth="1"/>
    <col min="7" max="7" width="11.6640625" style="4258" customWidth="1"/>
    <col min="8" max="9" width="12.33203125" style="4258" customWidth="1"/>
    <col min="10" max="10" width="7" style="4258" customWidth="1"/>
    <col min="11" max="11" width="16.88671875" style="4259" customWidth="1"/>
    <col min="12" max="12" width="10.88671875" style="4260" customWidth="1"/>
    <col min="13" max="13" width="10.88671875" style="4258" customWidth="1"/>
    <col min="14" max="14" width="13.21875" style="4258" customWidth="1"/>
    <col min="15" max="15" width="15.21875" style="4258" customWidth="1"/>
    <col min="16" max="16" width="15" style="4260" customWidth="1"/>
    <col min="17" max="17" width="13.33203125" style="4217" bestFit="1" customWidth="1"/>
    <col min="18" max="18" width="12.77734375" style="4217" bestFit="1" customWidth="1"/>
    <col min="19" max="19" width="13.33203125" style="4217" bestFit="1" customWidth="1"/>
    <col min="20" max="16384" width="8.77734375" style="4217"/>
  </cols>
  <sheetData>
    <row r="1" spans="1:19" ht="18.600000000000001" customHeight="1">
      <c r="A1" s="4653" t="s">
        <v>4024</v>
      </c>
      <c r="B1" s="4654"/>
      <c r="C1" s="4654"/>
      <c r="D1" s="4654"/>
      <c r="E1" s="4654"/>
      <c r="F1" s="4654"/>
      <c r="G1" s="4654"/>
      <c r="H1" s="4654" t="s">
        <v>4025</v>
      </c>
      <c r="I1" s="4654"/>
      <c r="J1" s="4654"/>
      <c r="K1" s="4216" t="s">
        <v>4026</v>
      </c>
      <c r="L1" s="4655" t="s">
        <v>4027</v>
      </c>
      <c r="M1" s="4654"/>
      <c r="N1" s="4654" t="s">
        <v>4028</v>
      </c>
      <c r="O1" s="4654"/>
      <c r="P1" s="4655"/>
    </row>
    <row r="2" spans="1:19"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9" s="4227" customFormat="1"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9" s="4227" customFormat="1" ht="18.600000000000001" customHeight="1">
      <c r="A4" s="4228">
        <v>1</v>
      </c>
      <c r="B4" s="4229">
        <v>1</v>
      </c>
      <c r="C4" s="4230" t="s">
        <v>4046</v>
      </c>
      <c r="D4" s="4231" t="s">
        <v>4047</v>
      </c>
      <c r="E4" s="4229" t="s">
        <v>4048</v>
      </c>
      <c r="F4" s="4229" t="s">
        <v>19</v>
      </c>
      <c r="G4" s="4232">
        <v>1123.47</v>
      </c>
      <c r="H4" s="4233">
        <v>45981</v>
      </c>
      <c r="I4" s="4233">
        <v>46345</v>
      </c>
      <c r="J4" s="4229">
        <f t="shared" ref="J4:J21" si="0">I4-H4+1</f>
        <v>365</v>
      </c>
      <c r="K4" s="4234">
        <f>L4+M4*12/365</f>
        <v>4.2005479452054795</v>
      </c>
      <c r="L4" s="4235">
        <v>3.28</v>
      </c>
      <c r="M4" s="4229">
        <v>28</v>
      </c>
      <c r="N4" s="4233"/>
      <c r="O4" s="4236"/>
      <c r="P4" s="4235"/>
      <c r="Q4" s="4227">
        <f>L4*G4</f>
        <v>3684.9816000000001</v>
      </c>
      <c r="R4" s="4227">
        <f t="shared" ref="R4:R10" si="1">K4*G4</f>
        <v>4719.1895999999997</v>
      </c>
      <c r="S4" s="4227">
        <f>K4*G4*365</f>
        <v>1722504.2039999999</v>
      </c>
    </row>
    <row r="5" spans="1:19" s="4227" customFormat="1" ht="18.600000000000001" customHeight="1">
      <c r="A5" s="4228">
        <v>2</v>
      </c>
      <c r="B5" s="4229">
        <v>1</v>
      </c>
      <c r="C5" s="4230" t="s">
        <v>4049</v>
      </c>
      <c r="D5" s="4231" t="s">
        <v>4047</v>
      </c>
      <c r="E5" s="4229" t="s">
        <v>4048</v>
      </c>
      <c r="F5" s="4229" t="s">
        <v>19</v>
      </c>
      <c r="G5" s="4232">
        <v>1277.1400000000001</v>
      </c>
      <c r="H5" s="4233">
        <v>45981</v>
      </c>
      <c r="I5" s="4233">
        <v>46345</v>
      </c>
      <c r="J5" s="4229">
        <f t="shared" si="0"/>
        <v>365</v>
      </c>
      <c r="K5" s="4234">
        <f>L5+M5*12/365</f>
        <v>4.2005479452054795</v>
      </c>
      <c r="L5" s="4235">
        <v>3.28</v>
      </c>
      <c r="M5" s="4229">
        <v>28</v>
      </c>
      <c r="N5" s="4233"/>
      <c r="O5" s="4236"/>
      <c r="P5" s="4235"/>
      <c r="Q5" s="4227">
        <f t="shared" ref="Q5:Q10" si="2">L5*G5</f>
        <v>4189.0191999999997</v>
      </c>
      <c r="R5" s="4227">
        <f t="shared" si="1"/>
        <v>5364.6878027397261</v>
      </c>
      <c r="S5" s="4227">
        <f t="shared" ref="S5:S34" si="3">K5*G5*365</f>
        <v>1958111.048</v>
      </c>
    </row>
    <row r="6" spans="1:19" s="4227" customFormat="1" ht="15.9" customHeight="1">
      <c r="A6" s="4228">
        <v>3</v>
      </c>
      <c r="B6" s="4229">
        <v>1</v>
      </c>
      <c r="C6" s="4230" t="s">
        <v>4050</v>
      </c>
      <c r="D6" s="4231" t="s">
        <v>4051</v>
      </c>
      <c r="E6" s="4229" t="s">
        <v>4052</v>
      </c>
      <c r="F6" s="4229" t="s">
        <v>19</v>
      </c>
      <c r="G6" s="4232">
        <v>1357.79</v>
      </c>
      <c r="H6" s="4233">
        <v>45976</v>
      </c>
      <c r="I6" s="4233">
        <v>47071</v>
      </c>
      <c r="J6" s="4229">
        <f t="shared" si="0"/>
        <v>1096</v>
      </c>
      <c r="K6" s="4234">
        <f t="shared" ref="K6:K34" si="4">L6+M6*12/365</f>
        <v>5.3005479452054791</v>
      </c>
      <c r="L6" s="4235">
        <v>4.38</v>
      </c>
      <c r="M6" s="4229">
        <v>28</v>
      </c>
      <c r="N6" s="4233">
        <v>46706</v>
      </c>
      <c r="O6" s="4236">
        <v>0.06</v>
      </c>
      <c r="P6" s="4235">
        <f>+L6*(1+O6)</f>
        <v>4.6428000000000003</v>
      </c>
      <c r="Q6" s="4227">
        <f t="shared" si="2"/>
        <v>5947.1201999999994</v>
      </c>
      <c r="R6" s="4227">
        <f t="shared" si="1"/>
        <v>7197.0309945205472</v>
      </c>
      <c r="S6" s="4227">
        <f t="shared" si="3"/>
        <v>2626916.3129999996</v>
      </c>
    </row>
    <row r="7" spans="1:19" s="4227" customFormat="1" ht="18.600000000000001" customHeight="1">
      <c r="A7" s="4228">
        <v>4</v>
      </c>
      <c r="B7" s="4229">
        <v>1</v>
      </c>
      <c r="C7" s="4231" t="s">
        <v>4053</v>
      </c>
      <c r="D7" s="4231" t="s">
        <v>4054</v>
      </c>
      <c r="E7" s="4229" t="s">
        <v>4055</v>
      </c>
      <c r="F7" s="4229" t="s">
        <v>19</v>
      </c>
      <c r="G7" s="4232">
        <v>1357.79</v>
      </c>
      <c r="H7" s="4233">
        <v>45763</v>
      </c>
      <c r="I7" s="4233">
        <v>46858</v>
      </c>
      <c r="J7" s="4229">
        <f t="shared" si="0"/>
        <v>1096</v>
      </c>
      <c r="K7" s="4234">
        <f t="shared" si="4"/>
        <v>3.7005479452054795</v>
      </c>
      <c r="L7" s="4235">
        <f>2.78</f>
        <v>2.78</v>
      </c>
      <c r="M7" s="4229">
        <v>28</v>
      </c>
      <c r="N7" s="4233">
        <v>46493</v>
      </c>
      <c r="O7" s="4236">
        <v>0.06</v>
      </c>
      <c r="P7" s="4235">
        <f>+L7*(1+O7)</f>
        <v>2.9468000000000001</v>
      </c>
      <c r="Q7" s="4227">
        <f t="shared" si="2"/>
        <v>3774.6561999999994</v>
      </c>
      <c r="R7" s="4227">
        <f t="shared" si="1"/>
        <v>5024.5669945205482</v>
      </c>
      <c r="S7" s="4227">
        <f t="shared" si="3"/>
        <v>1833966.953</v>
      </c>
    </row>
    <row r="8" spans="1:19" s="4227" customFormat="1" ht="18.600000000000001" customHeight="1">
      <c r="A8" s="4228">
        <v>5</v>
      </c>
      <c r="B8" s="4229">
        <v>1</v>
      </c>
      <c r="C8" s="4230">
        <v>701</v>
      </c>
      <c r="D8" s="4231" t="s">
        <v>4056</v>
      </c>
      <c r="E8" s="4229" t="s">
        <v>4057</v>
      </c>
      <c r="F8" s="4229" t="s">
        <v>19</v>
      </c>
      <c r="G8" s="4232">
        <v>235</v>
      </c>
      <c r="H8" s="4233">
        <v>45477</v>
      </c>
      <c r="I8" s="4233">
        <v>46206</v>
      </c>
      <c r="J8" s="4229">
        <f t="shared" si="0"/>
        <v>730</v>
      </c>
      <c r="K8" s="4234">
        <f t="shared" si="4"/>
        <v>5.0005479452054793</v>
      </c>
      <c r="L8" s="4235">
        <v>4.08</v>
      </c>
      <c r="M8" s="4229">
        <v>28</v>
      </c>
      <c r="N8" s="4233"/>
      <c r="O8" s="4236"/>
      <c r="P8" s="4235"/>
      <c r="Q8" s="4227">
        <f t="shared" si="2"/>
        <v>958.80000000000007</v>
      </c>
      <c r="R8" s="4227">
        <f t="shared" si="1"/>
        <v>1175.1287671232876</v>
      </c>
      <c r="S8" s="4227">
        <f t="shared" si="3"/>
        <v>428922</v>
      </c>
    </row>
    <row r="9" spans="1:19" s="4227" customFormat="1" ht="18.600000000000001" customHeight="1">
      <c r="A9" s="4228">
        <v>6</v>
      </c>
      <c r="B9" s="4229">
        <v>1</v>
      </c>
      <c r="C9" s="4231">
        <v>702</v>
      </c>
      <c r="D9" s="4231" t="s">
        <v>4058</v>
      </c>
      <c r="E9" s="4229" t="s">
        <v>4059</v>
      </c>
      <c r="F9" s="4229" t="s">
        <v>19</v>
      </c>
      <c r="G9" s="4232">
        <v>648.79</v>
      </c>
      <c r="H9" s="4233">
        <v>45962</v>
      </c>
      <c r="I9" s="4233">
        <v>47057</v>
      </c>
      <c r="J9" s="4229">
        <f t="shared" si="0"/>
        <v>1096</v>
      </c>
      <c r="K9" s="4234">
        <v>5</v>
      </c>
      <c r="L9" s="4235">
        <v>4.08</v>
      </c>
      <c r="M9" s="4229">
        <v>28</v>
      </c>
      <c r="N9" s="4233">
        <v>46692</v>
      </c>
      <c r="O9" s="4236">
        <v>0.06</v>
      </c>
      <c r="P9" s="4235">
        <f>+L9*(1+O9)</f>
        <v>4.3248000000000006</v>
      </c>
      <c r="Q9" s="4227">
        <f t="shared" si="2"/>
        <v>2647.0632000000001</v>
      </c>
      <c r="R9" s="4227">
        <f t="shared" si="1"/>
        <v>3243.95</v>
      </c>
      <c r="S9" s="4227">
        <f t="shared" si="3"/>
        <v>1184041.75</v>
      </c>
    </row>
    <row r="10" spans="1:19" s="4227" customFormat="1" ht="18.600000000000001" customHeight="1">
      <c r="A10" s="4228">
        <v>7</v>
      </c>
      <c r="B10" s="4229">
        <v>1</v>
      </c>
      <c r="C10" s="4230">
        <v>703</v>
      </c>
      <c r="D10" s="4231" t="s">
        <v>4060</v>
      </c>
      <c r="E10" s="4229" t="s">
        <v>4059</v>
      </c>
      <c r="F10" s="4229" t="s">
        <v>19</v>
      </c>
      <c r="G10" s="4232">
        <v>474</v>
      </c>
      <c r="H10" s="4233">
        <v>45831</v>
      </c>
      <c r="I10" s="4233">
        <v>46926</v>
      </c>
      <c r="J10" s="4229">
        <f t="shared" si="0"/>
        <v>1096</v>
      </c>
      <c r="K10" s="4234">
        <f t="shared" si="4"/>
        <v>3.8005479452054791</v>
      </c>
      <c r="L10" s="4235">
        <f>2.88</f>
        <v>2.88</v>
      </c>
      <c r="M10" s="4229">
        <v>28</v>
      </c>
      <c r="N10" s="4233">
        <v>46692</v>
      </c>
      <c r="O10" s="4236">
        <v>0.06</v>
      </c>
      <c r="P10" s="4235">
        <f>+L10*(1+O10)</f>
        <v>3.0528</v>
      </c>
      <c r="Q10" s="4227">
        <f t="shared" si="2"/>
        <v>1365.12</v>
      </c>
      <c r="R10" s="4227">
        <f t="shared" si="1"/>
        <v>1801.4597260273972</v>
      </c>
      <c r="S10" s="4227">
        <f t="shared" si="3"/>
        <v>657532.79999999993</v>
      </c>
    </row>
    <row r="11" spans="1:19" s="4227" customFormat="1" ht="18.600000000000001" customHeight="1">
      <c r="A11" s="4228">
        <v>8</v>
      </c>
      <c r="B11" s="4229">
        <v>1</v>
      </c>
      <c r="C11" s="4230" t="s">
        <v>4061</v>
      </c>
      <c r="D11" s="4231" t="s">
        <v>4047</v>
      </c>
      <c r="E11" s="4229" t="s">
        <v>4048</v>
      </c>
      <c r="F11" s="4229" t="s">
        <v>19</v>
      </c>
      <c r="G11" s="4232">
        <v>1277.1400000000001</v>
      </c>
      <c r="H11" s="4233">
        <v>45981</v>
      </c>
      <c r="I11" s="4233">
        <v>46345</v>
      </c>
      <c r="J11" s="4229">
        <f t="shared" si="0"/>
        <v>365</v>
      </c>
      <c r="K11" s="4234">
        <f t="shared" si="4"/>
        <v>4.2005479452054795</v>
      </c>
      <c r="L11" s="4235">
        <v>3.28</v>
      </c>
      <c r="M11" s="4229">
        <v>28</v>
      </c>
      <c r="N11" s="4233"/>
      <c r="O11" s="4236"/>
      <c r="P11" s="4235"/>
      <c r="S11" s="4227">
        <f t="shared" si="3"/>
        <v>1958111.048</v>
      </c>
    </row>
    <row r="12" spans="1:19" s="4227" customFormat="1" ht="18.600000000000001" customHeight="1">
      <c r="A12" s="4228">
        <v>9</v>
      </c>
      <c r="B12" s="4229">
        <v>1</v>
      </c>
      <c r="C12" s="4230">
        <v>901</v>
      </c>
      <c r="D12" s="4231" t="s">
        <v>4062</v>
      </c>
      <c r="E12" s="4229" t="s">
        <v>4059</v>
      </c>
      <c r="F12" s="4229" t="s">
        <v>19</v>
      </c>
      <c r="G12" s="4232">
        <v>235</v>
      </c>
      <c r="H12" s="4233">
        <v>45474</v>
      </c>
      <c r="I12" s="4233">
        <v>46203</v>
      </c>
      <c r="J12" s="4229">
        <f t="shared" si="0"/>
        <v>730</v>
      </c>
      <c r="K12" s="4234">
        <f t="shared" si="4"/>
        <v>3.8805479452054792</v>
      </c>
      <c r="L12" s="4235">
        <v>2.96</v>
      </c>
      <c r="M12" s="4229">
        <v>28</v>
      </c>
      <c r="N12" s="4233"/>
      <c r="O12" s="4236"/>
      <c r="P12" s="4235"/>
      <c r="S12" s="4227">
        <f t="shared" si="3"/>
        <v>332853.99999999994</v>
      </c>
    </row>
    <row r="13" spans="1:19" s="4227" customFormat="1" ht="18.600000000000001" customHeight="1">
      <c r="A13" s="4228">
        <v>10</v>
      </c>
      <c r="B13" s="4229">
        <v>1</v>
      </c>
      <c r="C13" s="4230">
        <v>902</v>
      </c>
      <c r="D13" s="4231" t="s">
        <v>4063</v>
      </c>
      <c r="E13" s="4229"/>
      <c r="F13" s="4229"/>
      <c r="G13" s="4232">
        <v>174.79</v>
      </c>
      <c r="H13" s="4233"/>
      <c r="I13" s="4233"/>
      <c r="J13" s="4229"/>
      <c r="K13" s="4234"/>
      <c r="L13" s="4235"/>
      <c r="M13" s="4229"/>
      <c r="N13" s="4233"/>
      <c r="O13" s="4236"/>
      <c r="P13" s="4235"/>
      <c r="S13" s="4227">
        <f t="shared" si="3"/>
        <v>0</v>
      </c>
    </row>
    <row r="14" spans="1:19" s="4227" customFormat="1" ht="18.600000000000001" customHeight="1">
      <c r="A14" s="4228">
        <v>11</v>
      </c>
      <c r="B14" s="4229">
        <v>1</v>
      </c>
      <c r="C14" s="4230">
        <v>903</v>
      </c>
      <c r="D14" s="4231" t="s">
        <v>4064</v>
      </c>
      <c r="E14" s="4229" t="s">
        <v>4059</v>
      </c>
      <c r="F14" s="4229" t="s">
        <v>19</v>
      </c>
      <c r="G14" s="4232">
        <v>474</v>
      </c>
      <c r="H14" s="4233">
        <v>45537</v>
      </c>
      <c r="I14" s="4233">
        <v>46266</v>
      </c>
      <c r="J14" s="4229">
        <f t="shared" si="0"/>
        <v>730</v>
      </c>
      <c r="K14" s="4234">
        <f t="shared" si="4"/>
        <v>4.9005479452054796</v>
      </c>
      <c r="L14" s="4235">
        <v>3.98</v>
      </c>
      <c r="M14" s="4229">
        <v>28</v>
      </c>
      <c r="N14" s="4233"/>
      <c r="O14" s="4236"/>
      <c r="P14" s="4235"/>
      <c r="S14" s="4227">
        <f t="shared" si="3"/>
        <v>847843.8</v>
      </c>
    </row>
    <row r="15" spans="1:19" s="4227" customFormat="1" ht="18.600000000000001" customHeight="1">
      <c r="A15" s="4228">
        <v>12</v>
      </c>
      <c r="B15" s="4229">
        <v>1</v>
      </c>
      <c r="C15" s="4231">
        <v>904</v>
      </c>
      <c r="D15" s="4231" t="s">
        <v>4065</v>
      </c>
      <c r="E15" s="4229" t="s">
        <v>4057</v>
      </c>
      <c r="F15" s="4229" t="s">
        <v>19</v>
      </c>
      <c r="G15" s="4232">
        <v>237</v>
      </c>
      <c r="H15" s="4233">
        <v>45785</v>
      </c>
      <c r="I15" s="4233">
        <v>46880</v>
      </c>
      <c r="J15" s="4229">
        <f t="shared" si="0"/>
        <v>1096</v>
      </c>
      <c r="K15" s="4234">
        <f t="shared" si="4"/>
        <v>3.8005479452054791</v>
      </c>
      <c r="L15" s="4232">
        <v>2.88</v>
      </c>
      <c r="M15" s="4229">
        <v>28</v>
      </c>
      <c r="N15" s="4233">
        <v>46515</v>
      </c>
      <c r="O15" s="4236">
        <v>0.06</v>
      </c>
      <c r="P15" s="4235">
        <f>+L15*(1+O15)</f>
        <v>3.0528</v>
      </c>
      <c r="Q15" s="4227">
        <f t="shared" ref="Q15:Q34" si="5">L15*G15</f>
        <v>682.56</v>
      </c>
      <c r="R15" s="4227">
        <f t="shared" ref="R15:R18" si="6">K15*G15</f>
        <v>900.7298630136986</v>
      </c>
      <c r="S15" s="4227">
        <f t="shared" si="3"/>
        <v>328766.39999999997</v>
      </c>
    </row>
    <row r="16" spans="1:19" s="4227" customFormat="1" ht="18.600000000000001" customHeight="1">
      <c r="A16" s="4228">
        <v>13</v>
      </c>
      <c r="B16" s="4229">
        <v>1</v>
      </c>
      <c r="C16" s="4231">
        <v>905</v>
      </c>
      <c r="D16" s="4231" t="s">
        <v>4065</v>
      </c>
      <c r="E16" s="4229" t="s">
        <v>4057</v>
      </c>
      <c r="F16" s="4229" t="s">
        <v>19</v>
      </c>
      <c r="G16" s="4232">
        <v>237</v>
      </c>
      <c r="H16" s="4233">
        <v>45785</v>
      </c>
      <c r="I16" s="4233">
        <v>46880</v>
      </c>
      <c r="J16" s="4229">
        <f t="shared" si="0"/>
        <v>1096</v>
      </c>
      <c r="K16" s="4234">
        <f t="shared" si="4"/>
        <v>3.8005479452054791</v>
      </c>
      <c r="L16" s="4232">
        <v>2.88</v>
      </c>
      <c r="M16" s="4229">
        <v>28</v>
      </c>
      <c r="N16" s="4233">
        <v>46515</v>
      </c>
      <c r="O16" s="4236">
        <v>0.06</v>
      </c>
      <c r="P16" s="4235">
        <f t="shared" ref="P16" si="7">+L16*(1+O16)</f>
        <v>3.0528</v>
      </c>
      <c r="Q16" s="4227">
        <f t="shared" si="5"/>
        <v>682.56</v>
      </c>
      <c r="R16" s="4227">
        <f t="shared" si="6"/>
        <v>900.7298630136986</v>
      </c>
      <c r="S16" s="4227">
        <f t="shared" si="3"/>
        <v>328766.39999999997</v>
      </c>
    </row>
    <row r="17" spans="1:19" s="4227" customFormat="1" ht="18.600000000000001" customHeight="1">
      <c r="A17" s="4228">
        <v>14</v>
      </c>
      <c r="B17" s="4229">
        <v>1</v>
      </c>
      <c r="C17" s="4231">
        <v>1001</v>
      </c>
      <c r="D17" s="4231" t="s">
        <v>4066</v>
      </c>
      <c r="E17" s="4229" t="s">
        <v>4059</v>
      </c>
      <c r="F17" s="4229" t="s">
        <v>19</v>
      </c>
      <c r="G17" s="4232">
        <v>709</v>
      </c>
      <c r="H17" s="4233">
        <v>45536</v>
      </c>
      <c r="I17" s="4233">
        <v>46265</v>
      </c>
      <c r="J17" s="4229">
        <f t="shared" si="0"/>
        <v>730</v>
      </c>
      <c r="K17" s="4234">
        <f t="shared" si="4"/>
        <v>3.8005479452054791</v>
      </c>
      <c r="L17" s="4235">
        <v>2.88</v>
      </c>
      <c r="M17" s="4229">
        <v>28</v>
      </c>
      <c r="N17" s="4233"/>
      <c r="O17" s="4236"/>
      <c r="P17" s="4235"/>
      <c r="Q17" s="4227">
        <f t="shared" si="5"/>
        <v>2041.9199999999998</v>
      </c>
      <c r="R17" s="4227">
        <f t="shared" si="6"/>
        <v>2694.5884931506848</v>
      </c>
      <c r="S17" s="4227">
        <f t="shared" si="3"/>
        <v>983524.79999999993</v>
      </c>
    </row>
    <row r="18" spans="1:19" s="4227" customFormat="1" ht="18.600000000000001" customHeight="1">
      <c r="A18" s="4228">
        <v>15</v>
      </c>
      <c r="B18" s="4229">
        <v>1</v>
      </c>
      <c r="C18" s="4230">
        <v>1002</v>
      </c>
      <c r="D18" s="4231" t="s">
        <v>4067</v>
      </c>
      <c r="E18" s="4229" t="s">
        <v>4068</v>
      </c>
      <c r="F18" s="4229" t="s">
        <v>19</v>
      </c>
      <c r="G18" s="4232">
        <v>174.79</v>
      </c>
      <c r="H18" s="4233">
        <v>45781</v>
      </c>
      <c r="I18" s="4233">
        <v>46876</v>
      </c>
      <c r="J18" s="4229">
        <f t="shared" si="0"/>
        <v>1096</v>
      </c>
      <c r="K18" s="4234">
        <f t="shared" si="4"/>
        <v>4.470547945205479</v>
      </c>
      <c r="L18" s="4232">
        <v>3.55</v>
      </c>
      <c r="M18" s="4229">
        <v>28</v>
      </c>
      <c r="N18" s="4233">
        <v>46511</v>
      </c>
      <c r="O18" s="4236">
        <v>0.06</v>
      </c>
      <c r="P18" s="4235">
        <f>+L18*(1+O18)</f>
        <v>3.7629999999999999</v>
      </c>
      <c r="Q18" s="4227">
        <f t="shared" si="5"/>
        <v>620.50449999999989</v>
      </c>
      <c r="R18" s="4227">
        <f t="shared" si="6"/>
        <v>781.40707534246565</v>
      </c>
      <c r="S18" s="4227">
        <f t="shared" si="3"/>
        <v>285213.58249999996</v>
      </c>
    </row>
    <row r="19" spans="1:19" s="4227" customFormat="1" ht="18.600000000000001" customHeight="1">
      <c r="A19" s="4228">
        <v>16</v>
      </c>
      <c r="B19" s="4229">
        <v>1</v>
      </c>
      <c r="C19" s="4230">
        <v>1003</v>
      </c>
      <c r="D19" s="4231" t="s">
        <v>4063</v>
      </c>
      <c r="E19" s="4229"/>
      <c r="F19" s="4229"/>
      <c r="G19" s="4232">
        <v>474</v>
      </c>
      <c r="H19" s="4233"/>
      <c r="I19" s="4233"/>
      <c r="J19" s="4229"/>
      <c r="K19" s="4234"/>
      <c r="L19" s="4237"/>
      <c r="M19" s="4229"/>
      <c r="N19" s="4233"/>
      <c r="O19" s="4236"/>
      <c r="P19" s="4235"/>
      <c r="S19" s="4227">
        <f t="shared" si="3"/>
        <v>0</v>
      </c>
    </row>
    <row r="20" spans="1:19" s="4227" customFormat="1" ht="18.600000000000001" customHeight="1">
      <c r="A20" s="4228">
        <v>17</v>
      </c>
      <c r="B20" s="4229">
        <v>1</v>
      </c>
      <c r="C20" s="4230">
        <v>1102</v>
      </c>
      <c r="D20" s="4231" t="s">
        <v>4069</v>
      </c>
      <c r="E20" s="4229" t="s">
        <v>4070</v>
      </c>
      <c r="F20" s="4229" t="s">
        <v>19</v>
      </c>
      <c r="G20" s="4232">
        <v>610</v>
      </c>
      <c r="H20" s="4233">
        <v>46011</v>
      </c>
      <c r="I20" s="4233">
        <v>47106</v>
      </c>
      <c r="J20" s="4229">
        <f t="shared" si="0"/>
        <v>1096</v>
      </c>
      <c r="K20" s="4234">
        <f t="shared" si="4"/>
        <v>5.2505479452054793</v>
      </c>
      <c r="L20" s="4235">
        <v>4.33</v>
      </c>
      <c r="M20" s="4229">
        <v>28</v>
      </c>
      <c r="N20" s="4233">
        <v>46741</v>
      </c>
      <c r="O20" s="4236">
        <v>0.06</v>
      </c>
      <c r="P20" s="4235">
        <f t="shared" ref="P20:P26" si="8">+L20*(1+O20)</f>
        <v>4.5898000000000003</v>
      </c>
      <c r="Q20" s="4227">
        <f t="shared" si="5"/>
        <v>2641.3</v>
      </c>
      <c r="R20" s="4227">
        <f t="shared" ref="R20:R34" si="9">K20*G20</f>
        <v>3202.8342465753421</v>
      </c>
      <c r="S20" s="4227">
        <f t="shared" si="3"/>
        <v>1169034.5</v>
      </c>
    </row>
    <row r="21" spans="1:19" s="4227" customFormat="1" ht="18.600000000000001" customHeight="1">
      <c r="A21" s="4228">
        <v>18</v>
      </c>
      <c r="B21" s="4229">
        <v>1</v>
      </c>
      <c r="C21" s="4230">
        <v>1101</v>
      </c>
      <c r="D21" s="4231" t="s">
        <v>4069</v>
      </c>
      <c r="E21" s="4229" t="s">
        <v>4070</v>
      </c>
      <c r="F21" s="4229" t="s">
        <v>19</v>
      </c>
      <c r="G21" s="4232">
        <v>709</v>
      </c>
      <c r="H21" s="4233">
        <v>46011</v>
      </c>
      <c r="I21" s="4233">
        <v>47106</v>
      </c>
      <c r="J21" s="4229">
        <f t="shared" si="0"/>
        <v>1096</v>
      </c>
      <c r="K21" s="4234">
        <f t="shared" si="4"/>
        <v>5.2505479452054793</v>
      </c>
      <c r="L21" s="4235">
        <v>4.33</v>
      </c>
      <c r="M21" s="4229">
        <v>28</v>
      </c>
      <c r="N21" s="4233">
        <v>46741</v>
      </c>
      <c r="O21" s="4236">
        <v>0.06</v>
      </c>
      <c r="P21" s="4235">
        <f t="shared" si="8"/>
        <v>4.5898000000000003</v>
      </c>
      <c r="Q21" s="4227">
        <f t="shared" si="5"/>
        <v>3069.9700000000003</v>
      </c>
      <c r="R21" s="4227">
        <f t="shared" si="9"/>
        <v>3722.638493150685</v>
      </c>
      <c r="S21" s="4227">
        <f t="shared" si="3"/>
        <v>1358763.05</v>
      </c>
    </row>
    <row r="22" spans="1:19" s="4227" customFormat="1" ht="18.600000000000001" customHeight="1">
      <c r="A22" s="4228">
        <v>19</v>
      </c>
      <c r="B22" s="4229">
        <v>1</v>
      </c>
      <c r="C22" s="4230">
        <v>1201</v>
      </c>
      <c r="D22" s="4231" t="s">
        <v>4071</v>
      </c>
      <c r="E22" s="4229" t="s">
        <v>4072</v>
      </c>
      <c r="F22" s="4229" t="s">
        <v>19</v>
      </c>
      <c r="G22" s="4232">
        <v>668</v>
      </c>
      <c r="H22" s="4233">
        <v>45473</v>
      </c>
      <c r="I22" s="4233">
        <v>46202</v>
      </c>
      <c r="J22" s="4229">
        <v>730</v>
      </c>
      <c r="K22" s="4234">
        <f t="shared" si="4"/>
        <v>4.2005479452054795</v>
      </c>
      <c r="L22" s="4232">
        <v>3.28</v>
      </c>
      <c r="M22" s="4229">
        <v>28</v>
      </c>
      <c r="N22" s="4233"/>
      <c r="O22" s="4236"/>
      <c r="P22" s="4235"/>
      <c r="Q22" s="4227">
        <f t="shared" si="5"/>
        <v>2191.04</v>
      </c>
      <c r="R22" s="4227">
        <f t="shared" si="9"/>
        <v>2805.9660273972604</v>
      </c>
      <c r="S22" s="4227">
        <f t="shared" si="3"/>
        <v>1024177.6000000001</v>
      </c>
    </row>
    <row r="23" spans="1:19" s="4227" customFormat="1" ht="18.600000000000001" customHeight="1">
      <c r="A23" s="4228">
        <v>20</v>
      </c>
      <c r="B23" s="4229">
        <v>1</v>
      </c>
      <c r="C23" s="4230">
        <v>1202</v>
      </c>
      <c r="D23" s="4231" t="s">
        <v>4071</v>
      </c>
      <c r="E23" s="4229" t="s">
        <v>4072</v>
      </c>
      <c r="F23" s="4229" t="s">
        <v>19</v>
      </c>
      <c r="G23" s="4232">
        <v>610</v>
      </c>
      <c r="H23" s="4233">
        <v>45473</v>
      </c>
      <c r="I23" s="4233">
        <v>46202</v>
      </c>
      <c r="J23" s="4229">
        <v>730</v>
      </c>
      <c r="K23" s="4234">
        <f t="shared" si="4"/>
        <v>4.2005479452054795</v>
      </c>
      <c r="L23" s="4232">
        <v>3.28</v>
      </c>
      <c r="M23" s="4229">
        <v>28</v>
      </c>
      <c r="N23" s="4233"/>
      <c r="O23" s="4236"/>
      <c r="P23" s="4235"/>
      <c r="Q23" s="4227">
        <f t="shared" si="5"/>
        <v>2000.8</v>
      </c>
      <c r="R23" s="4227">
        <f t="shared" si="9"/>
        <v>2562.3342465753426</v>
      </c>
      <c r="S23" s="4227">
        <f t="shared" si="3"/>
        <v>935252</v>
      </c>
    </row>
    <row r="24" spans="1:19" s="4227" customFormat="1" ht="18.600000000000001" customHeight="1">
      <c r="A24" s="4228">
        <v>21</v>
      </c>
      <c r="B24" s="4229">
        <v>1</v>
      </c>
      <c r="C24" s="4230">
        <v>1301</v>
      </c>
      <c r="D24" s="4231" t="s">
        <v>4073</v>
      </c>
      <c r="E24" s="4229" t="s">
        <v>4074</v>
      </c>
      <c r="F24" s="4229" t="s">
        <v>19</v>
      </c>
      <c r="G24" s="4232">
        <v>176.76</v>
      </c>
      <c r="H24" s="4233">
        <v>45627</v>
      </c>
      <c r="I24" s="4233">
        <v>46721</v>
      </c>
      <c r="J24" s="4229">
        <f t="shared" ref="J24:J34" si="10">I24-H24+1</f>
        <v>1095</v>
      </c>
      <c r="K24" s="4234">
        <f t="shared" si="4"/>
        <v>4.2005479452054795</v>
      </c>
      <c r="L24" s="4235">
        <v>3.28</v>
      </c>
      <c r="M24" s="4229">
        <v>28</v>
      </c>
      <c r="N24" s="4233">
        <v>46357</v>
      </c>
      <c r="O24" s="4236">
        <v>0.06</v>
      </c>
      <c r="P24" s="4235">
        <f t="shared" si="8"/>
        <v>3.4767999999999999</v>
      </c>
      <c r="Q24" s="4227">
        <f t="shared" si="5"/>
        <v>579.77279999999996</v>
      </c>
      <c r="R24" s="4227">
        <f t="shared" si="9"/>
        <v>742.48885479452053</v>
      </c>
      <c r="S24" s="4227">
        <f t="shared" si="3"/>
        <v>271008.43199999997</v>
      </c>
    </row>
    <row r="25" spans="1:19" s="4227" customFormat="1" ht="18.600000000000001" customHeight="1">
      <c r="A25" s="4228">
        <v>22</v>
      </c>
      <c r="B25" s="4229">
        <v>1</v>
      </c>
      <c r="C25" s="4230">
        <v>1302</v>
      </c>
      <c r="D25" s="4231" t="s">
        <v>4075</v>
      </c>
      <c r="E25" s="4229" t="s">
        <v>4074</v>
      </c>
      <c r="F25" s="4229" t="s">
        <v>19</v>
      </c>
      <c r="G25" s="4232">
        <v>176.76</v>
      </c>
      <c r="H25" s="4233">
        <v>45627</v>
      </c>
      <c r="I25" s="4233">
        <v>46721</v>
      </c>
      <c r="J25" s="4229">
        <f t="shared" si="10"/>
        <v>1095</v>
      </c>
      <c r="K25" s="4234">
        <f t="shared" si="4"/>
        <v>4.2005479452054795</v>
      </c>
      <c r="L25" s="4235">
        <v>3.28</v>
      </c>
      <c r="M25" s="4229">
        <v>28</v>
      </c>
      <c r="N25" s="4233">
        <v>46357</v>
      </c>
      <c r="O25" s="4236">
        <v>0.06</v>
      </c>
      <c r="P25" s="4235">
        <f t="shared" si="8"/>
        <v>3.4767999999999999</v>
      </c>
      <c r="Q25" s="4227">
        <f t="shared" si="5"/>
        <v>579.77279999999996</v>
      </c>
      <c r="R25" s="4227">
        <f t="shared" si="9"/>
        <v>742.48885479452053</v>
      </c>
      <c r="S25" s="4227">
        <f t="shared" si="3"/>
        <v>271008.43199999997</v>
      </c>
    </row>
    <row r="26" spans="1:19" s="4227" customFormat="1" ht="18.600000000000001" customHeight="1">
      <c r="A26" s="4228">
        <v>23</v>
      </c>
      <c r="B26" s="4229">
        <v>1</v>
      </c>
      <c r="C26" s="4230">
        <v>1303</v>
      </c>
      <c r="D26" s="4231" t="s">
        <v>4076</v>
      </c>
      <c r="E26" s="4229" t="s">
        <v>4074</v>
      </c>
      <c r="F26" s="4229" t="s">
        <v>19</v>
      </c>
      <c r="G26" s="4232">
        <v>530.27</v>
      </c>
      <c r="H26" s="4233">
        <v>45627</v>
      </c>
      <c r="I26" s="4233">
        <v>46721</v>
      </c>
      <c r="J26" s="4229">
        <f t="shared" si="10"/>
        <v>1095</v>
      </c>
      <c r="K26" s="4234">
        <f t="shared" si="4"/>
        <v>4.2005479452054795</v>
      </c>
      <c r="L26" s="4235">
        <v>3.28</v>
      </c>
      <c r="M26" s="4229">
        <v>28</v>
      </c>
      <c r="N26" s="4233">
        <v>46357</v>
      </c>
      <c r="O26" s="4236">
        <v>0.06</v>
      </c>
      <c r="P26" s="4235">
        <f t="shared" si="8"/>
        <v>3.4767999999999999</v>
      </c>
      <c r="Q26" s="4227">
        <f t="shared" si="5"/>
        <v>1739.2855999999999</v>
      </c>
      <c r="R26" s="4227">
        <f t="shared" si="9"/>
        <v>2227.4245589041097</v>
      </c>
      <c r="S26" s="4227">
        <f t="shared" si="3"/>
        <v>813009.96400000004</v>
      </c>
    </row>
    <row r="27" spans="1:19" s="4227" customFormat="1" ht="18.600000000000001" customHeight="1">
      <c r="A27" s="4228">
        <v>24</v>
      </c>
      <c r="B27" s="4229">
        <v>1</v>
      </c>
      <c r="C27" s="4230">
        <v>1305</v>
      </c>
      <c r="D27" s="4231" t="s">
        <v>4077</v>
      </c>
      <c r="E27" s="4229" t="s">
        <v>4078</v>
      </c>
      <c r="F27" s="4229" t="s">
        <v>19</v>
      </c>
      <c r="G27" s="4232">
        <v>474</v>
      </c>
      <c r="H27" s="4233">
        <v>46095</v>
      </c>
      <c r="I27" s="4233">
        <v>47190</v>
      </c>
      <c r="J27" s="4229">
        <f t="shared" si="10"/>
        <v>1096</v>
      </c>
      <c r="K27" s="4234">
        <f t="shared" si="4"/>
        <v>3.6505479452054796</v>
      </c>
      <c r="L27" s="4235">
        <v>2.73</v>
      </c>
      <c r="M27" s="4229">
        <v>28</v>
      </c>
      <c r="N27" s="4233"/>
      <c r="O27" s="4236"/>
      <c r="P27" s="4235"/>
      <c r="Q27" s="4227">
        <f t="shared" si="5"/>
        <v>1294.02</v>
      </c>
      <c r="R27" s="4227">
        <f t="shared" si="9"/>
        <v>1730.3597260273973</v>
      </c>
      <c r="S27" s="4227">
        <f t="shared" si="3"/>
        <v>631581.30000000005</v>
      </c>
    </row>
    <row r="28" spans="1:19" s="4227" customFormat="1" ht="18.600000000000001" customHeight="1">
      <c r="A28" s="4228">
        <v>25</v>
      </c>
      <c r="B28" s="4229">
        <v>1</v>
      </c>
      <c r="C28" s="4230">
        <v>1401</v>
      </c>
      <c r="D28" s="4231" t="s">
        <v>4079</v>
      </c>
      <c r="E28" s="4229" t="s">
        <v>4059</v>
      </c>
      <c r="F28" s="4229" t="s">
        <v>19</v>
      </c>
      <c r="G28" s="4232">
        <v>709</v>
      </c>
      <c r="H28" s="4233">
        <v>45978</v>
      </c>
      <c r="I28" s="4233">
        <v>46707</v>
      </c>
      <c r="J28" s="4229">
        <f t="shared" si="10"/>
        <v>730</v>
      </c>
      <c r="K28" s="4234">
        <f t="shared" si="4"/>
        <v>4.1005479452054798</v>
      </c>
      <c r="L28" s="4235">
        <v>3.18</v>
      </c>
      <c r="M28" s="4229">
        <v>28</v>
      </c>
      <c r="N28" s="4233"/>
      <c r="O28" s="4236"/>
      <c r="P28" s="4235"/>
      <c r="Q28" s="4227">
        <f t="shared" si="5"/>
        <v>2254.62</v>
      </c>
      <c r="R28" s="4227">
        <f t="shared" si="9"/>
        <v>2907.2884931506851</v>
      </c>
      <c r="S28" s="4227">
        <f t="shared" si="3"/>
        <v>1061160.3</v>
      </c>
    </row>
    <row r="29" spans="1:19" s="4227" customFormat="1" ht="18.600000000000001" customHeight="1">
      <c r="A29" s="4228">
        <v>26</v>
      </c>
      <c r="B29" s="4229">
        <v>1</v>
      </c>
      <c r="C29" s="4230">
        <v>1402</v>
      </c>
      <c r="D29" s="4231" t="s">
        <v>4079</v>
      </c>
      <c r="E29" s="4229" t="s">
        <v>4059</v>
      </c>
      <c r="F29" s="4229" t="s">
        <v>19</v>
      </c>
      <c r="G29" s="4232">
        <v>648.79</v>
      </c>
      <c r="H29" s="4233">
        <v>45978</v>
      </c>
      <c r="I29" s="4233">
        <v>46707</v>
      </c>
      <c r="J29" s="4229">
        <f t="shared" si="10"/>
        <v>730</v>
      </c>
      <c r="K29" s="4234">
        <f t="shared" si="4"/>
        <v>4.1005479452054798</v>
      </c>
      <c r="L29" s="4235">
        <v>3.18</v>
      </c>
      <c r="M29" s="4229">
        <v>28</v>
      </c>
      <c r="N29" s="4233"/>
      <c r="O29" s="4236"/>
      <c r="P29" s="4235">
        <f>+L29*(1+O29)</f>
        <v>3.18</v>
      </c>
      <c r="Q29" s="4227">
        <f t="shared" si="5"/>
        <v>2063.1522</v>
      </c>
      <c r="R29" s="4227">
        <f t="shared" si="9"/>
        <v>2660.3945013698631</v>
      </c>
      <c r="S29" s="4227">
        <f t="shared" si="3"/>
        <v>971043.99300000002</v>
      </c>
    </row>
    <row r="30" spans="1:19" s="4227" customFormat="1" ht="18.600000000000001" customHeight="1">
      <c r="A30" s="4228">
        <v>27</v>
      </c>
      <c r="B30" s="4229">
        <v>1</v>
      </c>
      <c r="C30" s="4231" t="s">
        <v>4080</v>
      </c>
      <c r="D30" s="4231" t="s">
        <v>4069</v>
      </c>
      <c r="E30" s="4229" t="s">
        <v>4070</v>
      </c>
      <c r="F30" s="4229" t="s">
        <v>19</v>
      </c>
      <c r="G30" s="4232">
        <v>1277.1400000000001</v>
      </c>
      <c r="H30" s="4233">
        <v>46011</v>
      </c>
      <c r="I30" s="4233">
        <v>47106</v>
      </c>
      <c r="J30" s="4229">
        <f t="shared" si="10"/>
        <v>1096</v>
      </c>
      <c r="K30" s="4234">
        <f t="shared" si="4"/>
        <v>5.2505479452054793</v>
      </c>
      <c r="L30" s="4235">
        <v>4.33</v>
      </c>
      <c r="M30" s="4229">
        <v>28</v>
      </c>
      <c r="N30" s="4233">
        <v>46741</v>
      </c>
      <c r="O30" s="4236">
        <v>0.06</v>
      </c>
      <c r="P30" s="4235">
        <f>+L30*(1+O30)</f>
        <v>4.5898000000000003</v>
      </c>
      <c r="Q30" s="4227">
        <f t="shared" si="5"/>
        <v>5530.0162000000009</v>
      </c>
      <c r="R30" s="4227">
        <f t="shared" si="9"/>
        <v>6705.6848027397264</v>
      </c>
      <c r="S30" s="4227">
        <f t="shared" si="3"/>
        <v>2447574.9530000002</v>
      </c>
    </row>
    <row r="31" spans="1:19" s="4227" customFormat="1" ht="18.600000000000001" customHeight="1">
      <c r="A31" s="4228">
        <v>28</v>
      </c>
      <c r="B31" s="4229">
        <v>1</v>
      </c>
      <c r="C31" s="4230">
        <v>1601</v>
      </c>
      <c r="D31" s="4231" t="s">
        <v>4081</v>
      </c>
      <c r="E31" s="4229" t="s">
        <v>4057</v>
      </c>
      <c r="F31" s="4229" t="s">
        <v>19</v>
      </c>
      <c r="G31" s="4232">
        <v>589.48</v>
      </c>
      <c r="H31" s="4233">
        <v>45899</v>
      </c>
      <c r="I31" s="4233">
        <v>46628</v>
      </c>
      <c r="J31" s="4229">
        <f t="shared" si="10"/>
        <v>730</v>
      </c>
      <c r="K31" s="4234">
        <f t="shared" si="4"/>
        <v>5.1005479452054789</v>
      </c>
      <c r="L31" s="4237">
        <v>4.18</v>
      </c>
      <c r="M31" s="4229">
        <v>28</v>
      </c>
      <c r="N31" s="4233"/>
      <c r="O31" s="4236"/>
      <c r="P31" s="4235"/>
      <c r="Q31" s="4227">
        <f t="shared" si="5"/>
        <v>2464.0263999999997</v>
      </c>
      <c r="R31" s="4227">
        <f t="shared" si="9"/>
        <v>3006.6710027397257</v>
      </c>
      <c r="S31" s="4227">
        <f t="shared" si="3"/>
        <v>1097434.916</v>
      </c>
    </row>
    <row r="32" spans="1:19" s="4227" customFormat="1" ht="18.600000000000001" customHeight="1">
      <c r="A32" s="4228">
        <v>29</v>
      </c>
      <c r="B32" s="4229">
        <v>1</v>
      </c>
      <c r="C32" s="4230">
        <v>1602</v>
      </c>
      <c r="D32" s="4231" t="s">
        <v>4082</v>
      </c>
      <c r="E32" s="4229" t="s">
        <v>4057</v>
      </c>
      <c r="F32" s="4229" t="s">
        <v>19</v>
      </c>
      <c r="G32" s="4232">
        <v>610</v>
      </c>
      <c r="H32" s="4233">
        <v>45899</v>
      </c>
      <c r="I32" s="4233">
        <v>46628</v>
      </c>
      <c r="J32" s="4229">
        <f t="shared" si="10"/>
        <v>730</v>
      </c>
      <c r="K32" s="4234">
        <f t="shared" si="4"/>
        <v>5.1005479452054789</v>
      </c>
      <c r="L32" s="4237">
        <v>4.18</v>
      </c>
      <c r="M32" s="4229">
        <v>28</v>
      </c>
      <c r="N32" s="4233"/>
      <c r="O32" s="4236"/>
      <c r="P32" s="4235"/>
      <c r="Q32" s="4227">
        <f t="shared" si="5"/>
        <v>2549.7999999999997</v>
      </c>
      <c r="R32" s="4227">
        <f t="shared" si="9"/>
        <v>3111.3342465753421</v>
      </c>
      <c r="S32" s="4227">
        <f t="shared" si="3"/>
        <v>1135637</v>
      </c>
    </row>
    <row r="33" spans="1:19" s="4227" customFormat="1" ht="18.600000000000001" customHeight="1">
      <c r="A33" s="4228">
        <v>30</v>
      </c>
      <c r="B33" s="4229">
        <v>1</v>
      </c>
      <c r="C33" s="4230" t="s">
        <v>4083</v>
      </c>
      <c r="D33" s="4231" t="s">
        <v>4084</v>
      </c>
      <c r="E33" s="4229" t="s">
        <v>4085</v>
      </c>
      <c r="F33" s="4229" t="s">
        <v>19</v>
      </c>
      <c r="G33" s="4232">
        <v>1217.98</v>
      </c>
      <c r="H33" s="4233">
        <v>45931</v>
      </c>
      <c r="I33" s="4233">
        <v>47026</v>
      </c>
      <c r="J33" s="4229">
        <f t="shared" si="10"/>
        <v>1096</v>
      </c>
      <c r="K33" s="4234">
        <f t="shared" si="4"/>
        <v>3.7005479452054795</v>
      </c>
      <c r="L33" s="4235">
        <v>2.78</v>
      </c>
      <c r="M33" s="4229">
        <v>28</v>
      </c>
      <c r="N33" s="4233">
        <v>46661</v>
      </c>
      <c r="O33" s="4236">
        <v>0.06</v>
      </c>
      <c r="P33" s="4235">
        <f>+L33*(1+O33)</f>
        <v>2.9468000000000001</v>
      </c>
      <c r="Q33" s="4227">
        <f t="shared" si="5"/>
        <v>3385.9843999999998</v>
      </c>
      <c r="R33" s="4227">
        <f t="shared" si="9"/>
        <v>4507.1933863013701</v>
      </c>
      <c r="S33" s="4227">
        <f t="shared" si="3"/>
        <v>1645125.5860000001</v>
      </c>
    </row>
    <row r="34" spans="1:19" s="4227" customFormat="1" ht="18.600000000000001" customHeight="1">
      <c r="A34" s="4228">
        <v>31</v>
      </c>
      <c r="B34" s="4229">
        <v>1</v>
      </c>
      <c r="C34" s="4230" t="s">
        <v>4086</v>
      </c>
      <c r="D34" s="4231" t="s">
        <v>4084</v>
      </c>
      <c r="E34" s="4229" t="s">
        <v>4085</v>
      </c>
      <c r="F34" s="4229" t="s">
        <v>19</v>
      </c>
      <c r="G34" s="4232">
        <v>982.58</v>
      </c>
      <c r="H34" s="4233">
        <v>45931</v>
      </c>
      <c r="I34" s="4233">
        <v>47026</v>
      </c>
      <c r="J34" s="4229">
        <f t="shared" si="10"/>
        <v>1096</v>
      </c>
      <c r="K34" s="4234">
        <f t="shared" si="4"/>
        <v>3.7005479452054795</v>
      </c>
      <c r="L34" s="4235">
        <v>2.78</v>
      </c>
      <c r="M34" s="4229">
        <v>28</v>
      </c>
      <c r="N34" s="4233">
        <v>46661</v>
      </c>
      <c r="O34" s="4236">
        <v>0.06</v>
      </c>
      <c r="P34" s="4235">
        <f>+L34*(1+O34)</f>
        <v>2.9468000000000001</v>
      </c>
      <c r="Q34" s="4227">
        <f t="shared" si="5"/>
        <v>2731.5724</v>
      </c>
      <c r="R34" s="4227">
        <f t="shared" si="9"/>
        <v>3636.0844000000002</v>
      </c>
      <c r="S34" s="4227">
        <f t="shared" si="3"/>
        <v>1327170.8060000001</v>
      </c>
    </row>
    <row r="35" spans="1:19" s="4227" customFormat="1" ht="18.600000000000001" customHeight="1">
      <c r="A35" s="4228"/>
      <c r="B35" s="4229"/>
      <c r="C35" s="4229"/>
      <c r="D35" s="4229"/>
      <c r="E35" s="4229"/>
      <c r="F35" s="4229"/>
      <c r="G35" s="4232">
        <f>SUM(G4:G34)-G13-G19</f>
        <v>19807.670000000002</v>
      </c>
      <c r="H35" s="4233"/>
      <c r="I35" s="4233"/>
      <c r="J35" s="4229"/>
      <c r="K35" s="4232">
        <f>R35/G35</f>
        <v>3.9416375081242747</v>
      </c>
      <c r="L35" s="4235">
        <f>Q35/G35</f>
        <v>3.1134120116096438</v>
      </c>
      <c r="M35" s="4229"/>
      <c r="N35" s="4233"/>
      <c r="O35" s="4236"/>
      <c r="P35" s="4235"/>
      <c r="Q35" s="4232">
        <f>SUM(Q4:Q34)-Q13-Q19</f>
        <v>61669.437699999995</v>
      </c>
      <c r="R35" s="4232">
        <f>SUM(R4:R34)-R13-R19</f>
        <v>78074.655020547958</v>
      </c>
      <c r="S35" s="4227">
        <f>SUM(S4:S34)/10000</f>
        <v>3163.605793050001</v>
      </c>
    </row>
    <row r="36" spans="1:19" s="4227" customFormat="1" ht="18.600000000000001" customHeight="1">
      <c r="A36" s="4238"/>
      <c r="B36" s="4239"/>
      <c r="C36" s="4240"/>
      <c r="D36" s="4241" t="s">
        <v>4087</v>
      </c>
      <c r="E36" s="4239">
        <f>SUM(G4:G34)</f>
        <v>20456.460000000003</v>
      </c>
      <c r="F36" s="4239"/>
      <c r="G36" s="4241"/>
      <c r="H36" s="4239"/>
      <c r="I36" s="4239"/>
      <c r="J36" s="4239"/>
      <c r="K36" s="4239"/>
      <c r="L36" s="4242"/>
      <c r="M36" s="4239"/>
      <c r="N36" s="4239"/>
      <c r="O36" s="4239"/>
      <c r="P36" s="4242"/>
    </row>
    <row r="37" spans="1:19" s="4227" customFormat="1" ht="18.600000000000001" customHeight="1">
      <c r="A37" s="4238"/>
      <c r="B37" s="4239"/>
      <c r="C37" s="4240"/>
      <c r="D37" s="4241" t="s">
        <v>4088</v>
      </c>
      <c r="E37" s="4239">
        <f>+SUMIF(F3:F34,"办公",G3:G34)</f>
        <v>19807.670000000002</v>
      </c>
      <c r="F37" s="4239"/>
      <c r="G37" s="4656"/>
      <c r="H37" s="4656"/>
      <c r="I37" s="4656"/>
      <c r="J37" s="4239"/>
      <c r="K37" s="4239"/>
      <c r="L37" s="4242"/>
      <c r="M37" s="4239"/>
      <c r="N37" s="4239"/>
      <c r="O37" s="4239"/>
      <c r="P37" s="4242"/>
      <c r="S37" s="4227">
        <f>S35+'2号楼'!R41+'31号楼'!T19</f>
        <v>74589.767808399993</v>
      </c>
    </row>
    <row r="38" spans="1:19" s="4227" customFormat="1" ht="18.600000000000001" customHeight="1">
      <c r="A38" s="4238"/>
      <c r="B38" s="4239"/>
      <c r="C38" s="4240"/>
      <c r="D38" s="4241" t="s">
        <v>4089</v>
      </c>
      <c r="E38" s="4243">
        <f>E37/E36</f>
        <v>0.96828434636295813</v>
      </c>
      <c r="F38" s="4243"/>
      <c r="G38" s="4241"/>
      <c r="H38" s="4244"/>
      <c r="I38" s="4239"/>
      <c r="J38" s="4239"/>
      <c r="K38" s="4239"/>
      <c r="L38" s="4242"/>
      <c r="M38" s="4239"/>
      <c r="N38" s="4239"/>
      <c r="O38" s="4239"/>
      <c r="P38" s="4242"/>
    </row>
    <row r="39" spans="1:19" s="4227" customFormat="1" ht="18.600000000000001" customHeight="1">
      <c r="A39" s="4245"/>
      <c r="B39" s="4246"/>
      <c r="C39" s="4247"/>
      <c r="D39" s="4248"/>
      <c r="E39" s="4249"/>
      <c r="F39" s="4249"/>
      <c r="G39" s="4248"/>
      <c r="H39" s="4246"/>
      <c r="I39" s="4246"/>
      <c r="J39" s="4246"/>
      <c r="K39" s="4246"/>
      <c r="L39" s="4250"/>
      <c r="M39" s="4246"/>
      <c r="N39" s="4246"/>
      <c r="O39" s="4246"/>
      <c r="P39" s="4250"/>
    </row>
    <row r="40" spans="1:19" s="4227" customFormat="1" ht="15.6">
      <c r="A40" s="4251"/>
      <c r="B40" s="4252"/>
      <c r="C40" s="4252"/>
      <c r="D40" s="4252"/>
      <c r="E40" s="4252"/>
      <c r="F40" s="4252"/>
      <c r="G40" s="4253"/>
      <c r="H40" s="4252"/>
      <c r="I40" s="4252"/>
      <c r="J40" s="4252"/>
      <c r="K40" s="4254"/>
      <c r="L40" s="4255"/>
      <c r="M40" s="4252"/>
      <c r="N40" s="4252"/>
      <c r="O40" s="4252"/>
      <c r="P40" s="4255"/>
    </row>
    <row r="41" spans="1:19" s="4227" customFormat="1" ht="14.4">
      <c r="A41" s="4251"/>
      <c r="B41" s="4252"/>
      <c r="C41" s="4252"/>
      <c r="D41" s="4252"/>
      <c r="E41" s="4254"/>
      <c r="F41" s="4254"/>
      <c r="G41" s="4256"/>
      <c r="H41" s="4252"/>
      <c r="I41" s="4252"/>
      <c r="J41" s="4252"/>
      <c r="K41" s="4254"/>
      <c r="L41" s="4255"/>
      <c r="M41" s="4252"/>
      <c r="N41" s="4252"/>
      <c r="O41" s="4252"/>
      <c r="P41" s="4255"/>
    </row>
    <row r="42" spans="1:19" s="4227" customFormat="1" ht="15.6">
      <c r="A42" s="4252"/>
      <c r="B42" s="4252"/>
      <c r="C42" s="4252"/>
      <c r="D42" s="4252"/>
      <c r="E42" s="4255">
        <f>E37+'2号楼'!E43+'31号楼'!E17</f>
        <v>51152.98</v>
      </c>
      <c r="F42" s="4252" t="s">
        <v>4090</v>
      </c>
      <c r="G42" s="4253"/>
      <c r="H42" s="4252"/>
      <c r="I42" s="4252"/>
      <c r="J42" s="4252"/>
      <c r="K42" s="4254"/>
      <c r="L42" s="4255"/>
      <c r="M42" s="4252"/>
      <c r="N42" s="4252"/>
      <c r="O42" s="4252"/>
      <c r="P42" s="4255"/>
    </row>
    <row r="43" spans="1:19" s="4227" customFormat="1">
      <c r="A43" s="4252"/>
      <c r="B43" s="4252"/>
      <c r="C43" s="4252"/>
      <c r="D43" s="4252"/>
      <c r="E43" s="4255">
        <f>+E36+'2号楼'!E42+'31号楼'!E16</f>
        <v>53887.880000000005</v>
      </c>
      <c r="F43" s="4252" t="s">
        <v>4091</v>
      </c>
      <c r="G43" s="4252"/>
      <c r="H43" s="4252"/>
      <c r="I43" s="4252"/>
      <c r="J43" s="4252"/>
      <c r="K43" s="4254"/>
      <c r="L43" s="4255"/>
      <c r="M43" s="4252"/>
      <c r="N43" s="4252"/>
      <c r="O43" s="4252"/>
      <c r="P43" s="4255"/>
    </row>
    <row r="44" spans="1:19" s="4227" customFormat="1">
      <c r="A44" s="4252"/>
      <c r="B44" s="4252"/>
      <c r="C44" s="4252"/>
      <c r="D44" s="4252"/>
      <c r="E44" s="4257">
        <f>+E42/E43</f>
        <v>0.9492483281955052</v>
      </c>
      <c r="F44" s="4252" t="s">
        <v>4092</v>
      </c>
      <c r="G44" s="4252"/>
      <c r="H44" s="4252"/>
      <c r="I44" s="4252"/>
      <c r="J44" s="4252"/>
      <c r="K44" s="4254"/>
      <c r="L44" s="4255"/>
      <c r="M44" s="4252"/>
      <c r="N44" s="4252"/>
      <c r="O44" s="4252"/>
      <c r="P44" s="4255"/>
    </row>
    <row r="45" spans="1:19" s="4227" customFormat="1">
      <c r="A45" s="4252"/>
      <c r="B45" s="4252"/>
      <c r="C45" s="4252"/>
      <c r="D45" s="4252"/>
      <c r="E45" s="4252"/>
      <c r="F45" s="4651"/>
      <c r="G45" s="4252"/>
      <c r="H45" s="4252"/>
      <c r="I45" s="4252"/>
      <c r="J45" s="4252"/>
      <c r="K45" s="4254"/>
      <c r="L45" s="4255"/>
      <c r="M45" s="4252"/>
      <c r="N45" s="4252"/>
      <c r="O45" s="4252"/>
      <c r="P45" s="4255"/>
    </row>
    <row r="46" spans="1:19">
      <c r="F46" s="4652"/>
    </row>
    <row r="47" spans="1:19">
      <c r="E47" s="4260">
        <f>+E36+'2号楼'!E42</f>
        <v>41128.960000000006</v>
      </c>
      <c r="F47" s="4261" t="s">
        <v>4093</v>
      </c>
      <c r="O47" s="4776">
        <f>G35</f>
        <v>19807.670000000002</v>
      </c>
      <c r="P47" s="4260" t="s">
        <v>4294</v>
      </c>
      <c r="Q47" s="4775">
        <f>Q35*365</f>
        <v>22509344.760499999</v>
      </c>
      <c r="S47" s="4775">
        <f>Q47+Q48</f>
        <v>47797525.880499996</v>
      </c>
    </row>
    <row r="48" spans="1:19">
      <c r="D48" s="4262"/>
      <c r="E48" s="4260">
        <f>+E37+'2号楼'!E43</f>
        <v>39427.060000000005</v>
      </c>
      <c r="F48" s="4258" t="s">
        <v>4094</v>
      </c>
      <c r="O48" s="4258">
        <f>'2号楼'!G41</f>
        <v>19145.390000000003</v>
      </c>
      <c r="P48" s="4260" t="s">
        <v>4295</v>
      </c>
      <c r="Q48" s="4217">
        <f>'2号楼'!R41*365</f>
        <v>25288181.119999997</v>
      </c>
      <c r="S48" s="4775">
        <f>S47/1.09</f>
        <v>43850941.174770638</v>
      </c>
    </row>
    <row r="49" spans="5:19">
      <c r="E49" s="4263">
        <f>+E48/E47</f>
        <v>0.9586203978899539</v>
      </c>
      <c r="F49" s="4258" t="s">
        <v>4095</v>
      </c>
      <c r="P49" s="4260" t="s">
        <v>4296</v>
      </c>
      <c r="Q49" s="4217">
        <f>'31号楼'!U15*365</f>
        <v>16206304.5195</v>
      </c>
      <c r="S49" s="4217">
        <f>Q49/1.09</f>
        <v>14868169.283944953</v>
      </c>
    </row>
    <row r="50" spans="5:19">
      <c r="Q50" s="4217">
        <f>Q47+Q48+Q49</f>
        <v>64003830.399999999</v>
      </c>
    </row>
    <row r="51" spans="5:19">
      <c r="Q51" s="4217">
        <f>Q50/10000</f>
        <v>6400.3830399999997</v>
      </c>
    </row>
    <row r="52" spans="5:19">
      <c r="P52" s="4260" t="s">
        <v>4297</v>
      </c>
      <c r="Q52" s="4217">
        <f>Q51/1.09</f>
        <v>5871.9110458715586</v>
      </c>
      <c r="S52" s="4217">
        <f ca="1">'收益法-办公'!C6+'收益法-商业'!C6</f>
        <v>5768.77</v>
      </c>
    </row>
  </sheetData>
  <protectedRanges>
    <protectedRange sqref="E13:G13" name="区域2_1_1_1"/>
    <protectedRange sqref="D13" name="区域2_1_3"/>
    <protectedRange sqref="H13" name="区域2_1_2_1"/>
  </protectedRanges>
  <mergeCells count="6">
    <mergeCell ref="F45:F46"/>
    <mergeCell ref="A1:G1"/>
    <mergeCell ref="H1:J1"/>
    <mergeCell ref="L1:M1"/>
    <mergeCell ref="N1:P1"/>
    <mergeCell ref="G37:I37"/>
  </mergeCells>
  <phoneticPr fontId="134" type="noConversion"/>
  <dataValidations count="3">
    <dataValidation type="list" allowBlank="1" showInputMessage="1" showErrorMessage="1" sqref="F1:F1048576" xr:uid="{E6E00006-42F5-45B6-80B6-D122825BE085}">
      <formula1>"办公"</formula1>
    </dataValidation>
    <dataValidation type="list" allowBlank="1" showInputMessage="1" showErrorMessage="1" sqref="E1:E19 E22:E29 E31:E1048576" xr:uid="{015EB842-C006-4F24-BF8C-B869B29855C0}">
      <formula1>"通讯设备,专业技术服务,金融业"</formula1>
    </dataValidation>
    <dataValidation type="list" allowBlank="1" showInputMessage="1" showErrorMessage="1" sqref="E30 E20:E21" xr:uid="{89C5FFB3-9A87-4B95-B25D-3D65D19B503B}">
      <formula1>"通讯设备集成,专业技术服务,金融业"</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C3B6-0629-42E7-A1DC-FDE59C273FC3}">
  <dimension ref="A1:R13328"/>
  <sheetViews>
    <sheetView topLeftCell="E31" zoomScaleNormal="100" workbookViewId="0">
      <selection activeCell="R5" sqref="R5"/>
    </sheetView>
  </sheetViews>
  <sheetFormatPr defaultColWidth="8.77734375" defaultRowHeight="13.2"/>
  <cols>
    <col min="1" max="1" width="14.77734375" style="4252" customWidth="1"/>
    <col min="2" max="2" width="6.77734375" style="4252" customWidth="1"/>
    <col min="3" max="3" width="19.6640625" style="4252" customWidth="1"/>
    <col min="4" max="4" width="39.77734375" style="4258" customWidth="1"/>
    <col min="5" max="5" width="24.6640625" style="4258" customWidth="1"/>
    <col min="6" max="6" width="10.33203125" style="4258" customWidth="1"/>
    <col min="7" max="7" width="10.77734375" style="4258" customWidth="1"/>
    <col min="8" max="9" width="12.33203125" style="4258" customWidth="1"/>
    <col min="10" max="10" width="7" style="4258" customWidth="1"/>
    <col min="11" max="11" width="18.6640625" style="4258" customWidth="1"/>
    <col min="12" max="12" width="12" style="4260" customWidth="1"/>
    <col min="13" max="13" width="12" style="4258" customWidth="1"/>
    <col min="14" max="14" width="13.21875" style="4258" customWidth="1"/>
    <col min="15" max="15" width="7.21875" style="4258" customWidth="1"/>
    <col min="16" max="16" width="15" style="4260" customWidth="1"/>
    <col min="17" max="16384" width="8.77734375" style="4217"/>
  </cols>
  <sheetData>
    <row r="1" spans="1:18" ht="18.600000000000001" customHeight="1">
      <c r="A1" s="4653" t="s">
        <v>4024</v>
      </c>
      <c r="B1" s="4654"/>
      <c r="C1" s="4654"/>
      <c r="D1" s="4654"/>
      <c r="E1" s="4654"/>
      <c r="F1" s="4654"/>
      <c r="G1" s="4654"/>
      <c r="H1" s="4654" t="s">
        <v>4025</v>
      </c>
      <c r="I1" s="4654"/>
      <c r="J1" s="4654"/>
      <c r="K1" s="4216" t="s">
        <v>4026</v>
      </c>
      <c r="L1" s="4655" t="s">
        <v>4027</v>
      </c>
      <c r="M1" s="4654"/>
      <c r="N1" s="4654" t="s">
        <v>4028</v>
      </c>
      <c r="O1" s="4654"/>
      <c r="P1" s="4655"/>
    </row>
    <row r="2" spans="1:18"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8"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8" s="4227" customFormat="1" ht="18.600000000000001" customHeight="1">
      <c r="A4" s="4264">
        <v>1</v>
      </c>
      <c r="B4" s="4265">
        <v>2</v>
      </c>
      <c r="C4" s="4266" t="s">
        <v>4046</v>
      </c>
      <c r="D4" s="4265" t="s">
        <v>4096</v>
      </c>
      <c r="E4" s="4265" t="s">
        <v>4097</v>
      </c>
      <c r="F4" s="4265" t="s">
        <v>19</v>
      </c>
      <c r="G4" s="4267">
        <v>1195.02</v>
      </c>
      <c r="H4" s="4268">
        <v>45597</v>
      </c>
      <c r="I4" s="4268">
        <v>46326</v>
      </c>
      <c r="J4" s="4265">
        <f>I4-H4+1</f>
        <v>730</v>
      </c>
      <c r="K4" s="4269">
        <f>L4+M4*12/365</f>
        <v>4.0005479452054793</v>
      </c>
      <c r="L4" s="4270">
        <v>3.08</v>
      </c>
      <c r="M4" s="4265">
        <v>28</v>
      </c>
      <c r="N4" s="4268"/>
      <c r="O4" s="4265"/>
      <c r="P4" s="4270"/>
      <c r="Q4" s="4227">
        <f t="shared" ref="Q4:Q19" si="0">K4*G4</f>
        <v>4780.734805479452</v>
      </c>
      <c r="R4" s="4227">
        <f>L4*G4</f>
        <v>3680.6615999999999</v>
      </c>
    </row>
    <row r="5" spans="1:18" s="4227" customFormat="1" ht="18.600000000000001" customHeight="1">
      <c r="A5" s="4264">
        <v>2</v>
      </c>
      <c r="B5" s="4265">
        <v>2</v>
      </c>
      <c r="C5" s="4266">
        <v>401</v>
      </c>
      <c r="D5" s="4265" t="s">
        <v>4098</v>
      </c>
      <c r="E5" s="4265" t="s">
        <v>4059</v>
      </c>
      <c r="F5" s="4265" t="s">
        <v>19</v>
      </c>
      <c r="G5" s="4267">
        <v>474</v>
      </c>
      <c r="H5" s="4268">
        <v>45870</v>
      </c>
      <c r="I5" s="4268">
        <v>46599</v>
      </c>
      <c r="J5" s="4265">
        <v>730</v>
      </c>
      <c r="K5" s="4269">
        <f t="shared" ref="K5:K19" si="1">L5+M5*12/365</f>
        <v>3.6005479452054798</v>
      </c>
      <c r="L5" s="4270">
        <v>2.68</v>
      </c>
      <c r="M5" s="4265">
        <v>28</v>
      </c>
      <c r="N5" s="4268"/>
      <c r="O5" s="4271"/>
      <c r="P5" s="4270"/>
      <c r="Q5" s="4227">
        <f t="shared" si="0"/>
        <v>1706.6597260273975</v>
      </c>
      <c r="R5" s="4227">
        <f t="shared" ref="R4:R39" si="2">L5*G5</f>
        <v>1270.3200000000002</v>
      </c>
    </row>
    <row r="6" spans="1:18" s="4227" customFormat="1" ht="18.600000000000001" customHeight="1">
      <c r="A6" s="4264">
        <v>3</v>
      </c>
      <c r="B6" s="4265">
        <v>2</v>
      </c>
      <c r="C6" s="4266">
        <v>402</v>
      </c>
      <c r="D6" s="4265" t="s">
        <v>4099</v>
      </c>
      <c r="E6" s="4265" t="s">
        <v>4059</v>
      </c>
      <c r="F6" s="4265" t="s">
        <v>19</v>
      </c>
      <c r="G6" s="4267">
        <v>648.14</v>
      </c>
      <c r="H6" s="4268">
        <v>45853</v>
      </c>
      <c r="I6" s="4268">
        <v>46766</v>
      </c>
      <c r="J6" s="4265">
        <f t="shared" ref="J6:J19" si="3">I6-H6+1</f>
        <v>914</v>
      </c>
      <c r="K6" s="4269">
        <f t="shared" si="1"/>
        <v>4.6005479452054798</v>
      </c>
      <c r="L6" s="4272">
        <v>3.68</v>
      </c>
      <c r="M6" s="4265">
        <v>28</v>
      </c>
      <c r="N6" s="4268">
        <v>46583</v>
      </c>
      <c r="O6" s="4271">
        <v>0.06</v>
      </c>
      <c r="P6" s="4270">
        <f t="shared" ref="P6:P7" si="4">+L6*(1+O6)</f>
        <v>3.9008000000000003</v>
      </c>
      <c r="Q6" s="4227">
        <f t="shared" si="0"/>
        <v>2981.7991452054798</v>
      </c>
      <c r="R6" s="4227">
        <f t="shared" si="2"/>
        <v>2385.1552000000001</v>
      </c>
    </row>
    <row r="7" spans="1:18" s="4227" customFormat="1" ht="18.600000000000001" customHeight="1">
      <c r="A7" s="4264">
        <v>4</v>
      </c>
      <c r="B7" s="4265">
        <v>2</v>
      </c>
      <c r="C7" s="4273">
        <v>403</v>
      </c>
      <c r="D7" s="4265" t="s">
        <v>4100</v>
      </c>
      <c r="E7" s="4265" t="s">
        <v>4057</v>
      </c>
      <c r="F7" s="4265" t="s">
        <v>19</v>
      </c>
      <c r="G7" s="4267">
        <v>235</v>
      </c>
      <c r="H7" s="4268">
        <v>45505</v>
      </c>
      <c r="I7" s="4268">
        <v>46599</v>
      </c>
      <c r="J7" s="4265">
        <f t="shared" si="3"/>
        <v>1095</v>
      </c>
      <c r="K7" s="4269">
        <f t="shared" si="1"/>
        <v>4.0005479452054793</v>
      </c>
      <c r="L7" s="4270">
        <v>3.08</v>
      </c>
      <c r="M7" s="4265">
        <v>28</v>
      </c>
      <c r="N7" s="4268">
        <v>46235</v>
      </c>
      <c r="O7" s="4271">
        <v>0.06</v>
      </c>
      <c r="P7" s="4270">
        <f t="shared" si="4"/>
        <v>3.2648000000000001</v>
      </c>
      <c r="Q7" s="4227">
        <f t="shared" si="0"/>
        <v>940.12876712328762</v>
      </c>
      <c r="R7" s="4227">
        <f t="shared" si="2"/>
        <v>723.80000000000007</v>
      </c>
    </row>
    <row r="8" spans="1:18" s="4227" customFormat="1" ht="18.600000000000001" customHeight="1">
      <c r="A8" s="4264">
        <v>5</v>
      </c>
      <c r="B8" s="4265">
        <v>2</v>
      </c>
      <c r="C8" s="4266">
        <v>501</v>
      </c>
      <c r="D8" s="4265" t="s">
        <v>4101</v>
      </c>
      <c r="E8" s="4265" t="s">
        <v>4057</v>
      </c>
      <c r="F8" s="4265" t="s">
        <v>19</v>
      </c>
      <c r="G8" s="4267">
        <v>709</v>
      </c>
      <c r="H8" s="4268">
        <v>45768</v>
      </c>
      <c r="I8" s="4268">
        <v>46863</v>
      </c>
      <c r="J8" s="4265">
        <f t="shared" si="3"/>
        <v>1096</v>
      </c>
      <c r="K8" s="4269">
        <f t="shared" si="1"/>
        <v>4.0005479452054793</v>
      </c>
      <c r="L8" s="4270">
        <v>3.08</v>
      </c>
      <c r="M8" s="4265">
        <v>28</v>
      </c>
      <c r="N8" s="4268"/>
      <c r="O8" s="4271"/>
      <c r="P8" s="4270"/>
      <c r="Q8" s="4227">
        <f t="shared" si="0"/>
        <v>2836.388493150685</v>
      </c>
      <c r="R8" s="4227">
        <f t="shared" si="2"/>
        <v>2183.7200000000003</v>
      </c>
    </row>
    <row r="9" spans="1:18" s="4227" customFormat="1" ht="18.600000000000001" customHeight="1">
      <c r="A9" s="4228">
        <v>6</v>
      </c>
      <c r="B9" s="4229">
        <v>2</v>
      </c>
      <c r="C9" s="4231" t="s">
        <v>4102</v>
      </c>
      <c r="D9" s="4229" t="s">
        <v>4103</v>
      </c>
      <c r="E9" s="4229" t="s">
        <v>4074</v>
      </c>
      <c r="F9" s="4229" t="s">
        <v>19</v>
      </c>
      <c r="G9" s="4232">
        <v>610</v>
      </c>
      <c r="H9" s="4233">
        <v>45383</v>
      </c>
      <c r="I9" s="4233">
        <v>46112</v>
      </c>
      <c r="J9" s="4229">
        <f t="shared" si="3"/>
        <v>730</v>
      </c>
      <c r="K9" s="4234">
        <f t="shared" si="1"/>
        <v>5.2005479452054795</v>
      </c>
      <c r="L9" s="4235">
        <v>4.28</v>
      </c>
      <c r="M9" s="4229">
        <v>28</v>
      </c>
      <c r="N9" s="4233"/>
      <c r="O9" s="4229"/>
      <c r="P9" s="4235"/>
      <c r="Q9" s="4227">
        <f t="shared" si="0"/>
        <v>3172.3342465753426</v>
      </c>
      <c r="R9" s="4227">
        <f t="shared" si="2"/>
        <v>2610.8000000000002</v>
      </c>
    </row>
    <row r="10" spans="1:18" s="4227" customFormat="1" ht="18.600000000000001" customHeight="1">
      <c r="A10" s="4264">
        <v>7</v>
      </c>
      <c r="B10" s="4265">
        <v>2</v>
      </c>
      <c r="C10" s="4266">
        <v>601</v>
      </c>
      <c r="D10" s="4265" t="s">
        <v>4104</v>
      </c>
      <c r="E10" s="4265" t="s">
        <v>4059</v>
      </c>
      <c r="F10" s="4265" t="s">
        <v>19</v>
      </c>
      <c r="G10" s="4267">
        <v>709</v>
      </c>
      <c r="H10" s="4268">
        <v>45767</v>
      </c>
      <c r="I10" s="4268">
        <v>46496</v>
      </c>
      <c r="J10" s="4265">
        <f t="shared" si="3"/>
        <v>730</v>
      </c>
      <c r="K10" s="4269">
        <f t="shared" si="1"/>
        <v>4.1005479452054798</v>
      </c>
      <c r="L10" s="4270">
        <f>3.18</f>
        <v>3.18</v>
      </c>
      <c r="M10" s="4265">
        <v>28</v>
      </c>
      <c r="N10" s="4268"/>
      <c r="O10" s="4271"/>
      <c r="P10" s="4270"/>
      <c r="Q10" s="4227">
        <f t="shared" si="0"/>
        <v>2907.2884931506851</v>
      </c>
      <c r="R10" s="4227">
        <f t="shared" si="2"/>
        <v>2254.62</v>
      </c>
    </row>
    <row r="11" spans="1:18" s="4227" customFormat="1" ht="18.600000000000001" customHeight="1">
      <c r="A11" s="4264">
        <v>8</v>
      </c>
      <c r="B11" s="4265">
        <v>2</v>
      </c>
      <c r="C11" s="4273">
        <v>602</v>
      </c>
      <c r="D11" s="4265" t="s">
        <v>4105</v>
      </c>
      <c r="E11" s="4265" t="s">
        <v>4106</v>
      </c>
      <c r="F11" s="4265" t="s">
        <v>19</v>
      </c>
      <c r="G11" s="4267">
        <v>648.14</v>
      </c>
      <c r="H11" s="4268">
        <v>45915</v>
      </c>
      <c r="I11" s="4268">
        <v>46644</v>
      </c>
      <c r="J11" s="4265">
        <f t="shared" si="3"/>
        <v>730</v>
      </c>
      <c r="K11" s="4269">
        <f t="shared" si="1"/>
        <v>3.7005479452054795</v>
      </c>
      <c r="L11" s="4270">
        <v>2.78</v>
      </c>
      <c r="M11" s="4265">
        <v>28</v>
      </c>
      <c r="N11" s="4268"/>
      <c r="O11" s="4271"/>
      <c r="P11" s="4270"/>
      <c r="Q11" s="4227">
        <f t="shared" si="0"/>
        <v>2398.4731452054793</v>
      </c>
      <c r="R11" s="4227">
        <f t="shared" si="2"/>
        <v>1801.8291999999999</v>
      </c>
    </row>
    <row r="12" spans="1:18" s="4227" customFormat="1" ht="18.600000000000001" customHeight="1">
      <c r="A12" s="4264">
        <v>9</v>
      </c>
      <c r="B12" s="4265">
        <v>2</v>
      </c>
      <c r="C12" s="4273" t="s">
        <v>4107</v>
      </c>
      <c r="D12" s="4265" t="s">
        <v>4108</v>
      </c>
      <c r="E12" s="4265" t="s">
        <v>4055</v>
      </c>
      <c r="F12" s="4265" t="s">
        <v>19</v>
      </c>
      <c r="G12" s="4267">
        <v>1357.14</v>
      </c>
      <c r="H12" s="4268">
        <v>45658</v>
      </c>
      <c r="I12" s="4268">
        <v>46387</v>
      </c>
      <c r="J12" s="4265">
        <f t="shared" si="3"/>
        <v>730</v>
      </c>
      <c r="K12" s="4269">
        <f t="shared" si="1"/>
        <v>5.6205479452054794</v>
      </c>
      <c r="L12" s="4270">
        <v>4.7</v>
      </c>
      <c r="M12" s="4265">
        <v>28</v>
      </c>
      <c r="N12" s="4268"/>
      <c r="O12" s="4265"/>
      <c r="P12" s="4270"/>
      <c r="Q12" s="4227">
        <f t="shared" si="0"/>
        <v>7627.8704383561653</v>
      </c>
      <c r="R12" s="4227">
        <f t="shared" si="2"/>
        <v>6378.5580000000009</v>
      </c>
    </row>
    <row r="13" spans="1:18" s="4227" customFormat="1" ht="18.600000000000001" customHeight="1">
      <c r="A13" s="4264">
        <v>10</v>
      </c>
      <c r="B13" s="4265">
        <v>2</v>
      </c>
      <c r="C13" s="4266">
        <v>801</v>
      </c>
      <c r="D13" s="4265" t="s">
        <v>4109</v>
      </c>
      <c r="E13" s="4265" t="s">
        <v>4059</v>
      </c>
      <c r="F13" s="4265" t="s">
        <v>19</v>
      </c>
      <c r="G13" s="4267">
        <v>474</v>
      </c>
      <c r="H13" s="4268">
        <v>45483</v>
      </c>
      <c r="I13" s="4268">
        <v>46212</v>
      </c>
      <c r="J13" s="4265">
        <f t="shared" si="3"/>
        <v>730</v>
      </c>
      <c r="K13" s="4269">
        <f t="shared" si="1"/>
        <v>4.5005479452054793</v>
      </c>
      <c r="L13" s="4270">
        <v>3.58</v>
      </c>
      <c r="M13" s="4265">
        <v>28</v>
      </c>
      <c r="N13" s="4268"/>
      <c r="O13" s="4265"/>
      <c r="P13" s="4270"/>
      <c r="Q13" s="4227">
        <f t="shared" si="0"/>
        <v>2133.2597260273974</v>
      </c>
      <c r="R13" s="4227">
        <f t="shared" si="2"/>
        <v>1696.92</v>
      </c>
    </row>
    <row r="14" spans="1:18" s="4227" customFormat="1" ht="18.600000000000001" customHeight="1">
      <c r="A14" s="4264">
        <v>11</v>
      </c>
      <c r="B14" s="4265">
        <v>2</v>
      </c>
      <c r="C14" s="4273" t="s">
        <v>4110</v>
      </c>
      <c r="D14" s="4265" t="s">
        <v>4111</v>
      </c>
      <c r="E14" s="4265" t="s">
        <v>4097</v>
      </c>
      <c r="F14" s="4265" t="s">
        <v>19</v>
      </c>
      <c r="G14" s="4267">
        <v>400</v>
      </c>
      <c r="H14" s="4268">
        <v>45505</v>
      </c>
      <c r="I14" s="4268">
        <v>46234</v>
      </c>
      <c r="J14" s="4265">
        <f t="shared" si="3"/>
        <v>730</v>
      </c>
      <c r="K14" s="4269">
        <f t="shared" si="1"/>
        <v>3.8005479452054791</v>
      </c>
      <c r="L14" s="4270">
        <v>2.88</v>
      </c>
      <c r="M14" s="4265">
        <v>28</v>
      </c>
      <c r="N14" s="4268"/>
      <c r="O14" s="4265"/>
      <c r="P14" s="4270"/>
      <c r="Q14" s="4227">
        <f t="shared" si="0"/>
        <v>1520.2191780821915</v>
      </c>
      <c r="R14" s="4227">
        <f t="shared" si="2"/>
        <v>1152</v>
      </c>
    </row>
    <row r="15" spans="1:18" s="4227" customFormat="1" ht="18.600000000000001" customHeight="1">
      <c r="A15" s="4264">
        <v>12</v>
      </c>
      <c r="B15" s="4265">
        <v>2</v>
      </c>
      <c r="C15" s="4273" t="s">
        <v>4112</v>
      </c>
      <c r="D15" s="4265" t="s">
        <v>4113</v>
      </c>
      <c r="E15" s="4265" t="s">
        <v>4097</v>
      </c>
      <c r="F15" s="4265" t="s">
        <v>19</v>
      </c>
      <c r="G15" s="4267">
        <v>248.14</v>
      </c>
      <c r="H15" s="4268">
        <v>45505</v>
      </c>
      <c r="I15" s="4268">
        <v>46234</v>
      </c>
      <c r="J15" s="4265">
        <f t="shared" si="3"/>
        <v>730</v>
      </c>
      <c r="K15" s="4269">
        <f t="shared" si="1"/>
        <v>3.8005479452054791</v>
      </c>
      <c r="L15" s="4270">
        <v>2.88</v>
      </c>
      <c r="M15" s="4265">
        <v>28</v>
      </c>
      <c r="N15" s="4268"/>
      <c r="O15" s="4265"/>
      <c r="P15" s="4270"/>
      <c r="Q15" s="4227">
        <f t="shared" si="0"/>
        <v>943.06796712328753</v>
      </c>
      <c r="R15" s="4227">
        <f t="shared" si="2"/>
        <v>714.64319999999998</v>
      </c>
    </row>
    <row r="16" spans="1:18" s="4227" customFormat="1" ht="18.600000000000001" customHeight="1">
      <c r="A16" s="4264">
        <v>13</v>
      </c>
      <c r="B16" s="4265">
        <v>2</v>
      </c>
      <c r="C16" s="4273">
        <v>803</v>
      </c>
      <c r="D16" s="4265" t="s">
        <v>4114</v>
      </c>
      <c r="E16" s="4265" t="s">
        <v>4057</v>
      </c>
      <c r="F16" s="4265" t="s">
        <v>19</v>
      </c>
      <c r="G16" s="4267">
        <v>235</v>
      </c>
      <c r="H16" s="4268">
        <v>45659</v>
      </c>
      <c r="I16" s="4268">
        <v>46388</v>
      </c>
      <c r="J16" s="4265">
        <f t="shared" si="3"/>
        <v>730</v>
      </c>
      <c r="K16" s="4269">
        <f t="shared" si="1"/>
        <v>3.9005479452054796</v>
      </c>
      <c r="L16" s="4270">
        <v>2.98</v>
      </c>
      <c r="M16" s="4265">
        <v>28</v>
      </c>
      <c r="N16" s="4268"/>
      <c r="O16" s="4271"/>
      <c r="P16" s="4270"/>
      <c r="Q16" s="4227">
        <f t="shared" si="0"/>
        <v>916.62876712328773</v>
      </c>
      <c r="R16" s="4227">
        <f t="shared" si="2"/>
        <v>700.3</v>
      </c>
    </row>
    <row r="17" spans="1:18" s="4227" customFormat="1" ht="18.600000000000001" customHeight="1">
      <c r="A17" s="4264">
        <v>14</v>
      </c>
      <c r="B17" s="4265">
        <v>2</v>
      </c>
      <c r="C17" s="4273">
        <v>901</v>
      </c>
      <c r="D17" s="4265" t="s">
        <v>4115</v>
      </c>
      <c r="E17" s="4265" t="s">
        <v>4057</v>
      </c>
      <c r="F17" s="4265" t="s">
        <v>19</v>
      </c>
      <c r="G17" s="4267">
        <v>664</v>
      </c>
      <c r="H17" s="4268">
        <v>45708</v>
      </c>
      <c r="I17" s="4268">
        <v>46740</v>
      </c>
      <c r="J17" s="4265">
        <f t="shared" si="3"/>
        <v>1033</v>
      </c>
      <c r="K17" s="4269">
        <f t="shared" si="1"/>
        <v>3.9005479452054796</v>
      </c>
      <c r="L17" s="4270">
        <v>2.98</v>
      </c>
      <c r="M17" s="4265">
        <v>28</v>
      </c>
      <c r="N17" s="4268"/>
      <c r="O17" s="4271"/>
      <c r="P17" s="4270"/>
      <c r="Q17" s="4227">
        <f t="shared" si="0"/>
        <v>2589.9638356164387</v>
      </c>
      <c r="R17" s="4227">
        <f t="shared" si="2"/>
        <v>1978.72</v>
      </c>
    </row>
    <row r="18" spans="1:18" s="4227" customFormat="1" ht="18.600000000000001" customHeight="1">
      <c r="A18" s="4264">
        <v>15</v>
      </c>
      <c r="B18" s="4265">
        <v>2</v>
      </c>
      <c r="C18" s="4266">
        <v>902</v>
      </c>
      <c r="D18" s="4265" t="s">
        <v>4116</v>
      </c>
      <c r="E18" s="4265" t="s">
        <v>4117</v>
      </c>
      <c r="F18" s="4265" t="s">
        <v>19</v>
      </c>
      <c r="G18" s="4267">
        <v>648.14</v>
      </c>
      <c r="H18" s="4268">
        <v>45916</v>
      </c>
      <c r="I18" s="4268">
        <v>47011</v>
      </c>
      <c r="J18" s="4265">
        <f t="shared" si="3"/>
        <v>1096</v>
      </c>
      <c r="K18" s="4269">
        <f t="shared" si="1"/>
        <v>3.6005479452054798</v>
      </c>
      <c r="L18" s="4267">
        <v>2.68</v>
      </c>
      <c r="M18" s="4265">
        <v>28</v>
      </c>
      <c r="N18" s="4268">
        <v>46646</v>
      </c>
      <c r="O18" s="4271">
        <v>0.06</v>
      </c>
      <c r="P18" s="4270">
        <f>+L18*(1+O18)</f>
        <v>2.8408000000000002</v>
      </c>
      <c r="Q18" s="4227">
        <f t="shared" si="0"/>
        <v>2333.6591452054795</v>
      </c>
      <c r="R18" s="4227">
        <f t="shared" si="2"/>
        <v>1737.0152</v>
      </c>
    </row>
    <row r="19" spans="1:18" s="4227" customFormat="1" ht="18.600000000000001" customHeight="1">
      <c r="A19" s="4264">
        <v>16</v>
      </c>
      <c r="B19" s="4265">
        <v>2</v>
      </c>
      <c r="C19" s="4273">
        <v>1001</v>
      </c>
      <c r="D19" s="4265" t="s">
        <v>4118</v>
      </c>
      <c r="E19" s="4265" t="s">
        <v>4117</v>
      </c>
      <c r="F19" s="4265" t="s">
        <v>19</v>
      </c>
      <c r="G19" s="4267">
        <v>709</v>
      </c>
      <c r="H19" s="4268">
        <v>45662</v>
      </c>
      <c r="I19" s="4268">
        <v>46026</v>
      </c>
      <c r="J19" s="4265">
        <f t="shared" si="3"/>
        <v>365</v>
      </c>
      <c r="K19" s="4269">
        <f t="shared" si="1"/>
        <v>5.5205479452054789</v>
      </c>
      <c r="L19" s="4270">
        <v>4.5999999999999996</v>
      </c>
      <c r="M19" s="4265">
        <v>28</v>
      </c>
      <c r="N19" s="4268"/>
      <c r="O19" s="4265"/>
      <c r="P19" s="4270"/>
      <c r="Q19" s="4227">
        <f t="shared" si="0"/>
        <v>3914.0684931506844</v>
      </c>
      <c r="R19" s="4227">
        <f t="shared" si="2"/>
        <v>3261.3999999999996</v>
      </c>
    </row>
    <row r="20" spans="1:18" s="4227" customFormat="1" ht="18.600000000000001" customHeight="1">
      <c r="A20" s="4264">
        <v>17</v>
      </c>
      <c r="B20" s="4265">
        <v>2</v>
      </c>
      <c r="C20" s="4266">
        <v>1002</v>
      </c>
      <c r="D20" s="4265" t="s">
        <v>4063</v>
      </c>
      <c r="E20" s="4265"/>
      <c r="F20" s="4265"/>
      <c r="G20" s="4267">
        <v>613.11</v>
      </c>
      <c r="H20" s="4268"/>
      <c r="I20" s="4268"/>
      <c r="J20" s="4265"/>
      <c r="K20" s="4267"/>
      <c r="L20" s="4270"/>
      <c r="M20" s="4265"/>
      <c r="N20" s="4268"/>
      <c r="O20" s="4265"/>
      <c r="P20" s="4270"/>
      <c r="R20" s="4227">
        <f t="shared" si="2"/>
        <v>0</v>
      </c>
    </row>
    <row r="21" spans="1:18" s="4227" customFormat="1" ht="18.600000000000001" customHeight="1">
      <c r="A21" s="4264">
        <v>18</v>
      </c>
      <c r="B21" s="4265">
        <v>2</v>
      </c>
      <c r="C21" s="4266">
        <v>1101</v>
      </c>
      <c r="D21" s="4274" t="s">
        <v>4063</v>
      </c>
      <c r="E21" s="4274"/>
      <c r="F21" s="4265"/>
      <c r="G21" s="4267">
        <v>220</v>
      </c>
      <c r="H21" s="4268"/>
      <c r="I21" s="4268"/>
      <c r="J21" s="4265"/>
      <c r="K21" s="4267"/>
      <c r="L21" s="4270"/>
      <c r="M21" s="4265"/>
      <c r="N21" s="4268"/>
      <c r="O21" s="4265"/>
      <c r="P21" s="4270"/>
      <c r="R21" s="4227">
        <f t="shared" si="2"/>
        <v>0</v>
      </c>
    </row>
    <row r="22" spans="1:18" s="4227" customFormat="1" ht="18.600000000000001" customHeight="1">
      <c r="A22" s="4264">
        <v>19</v>
      </c>
      <c r="B22" s="4265">
        <v>2</v>
      </c>
      <c r="C22" s="4273">
        <v>1102</v>
      </c>
      <c r="D22" s="4265" t="s">
        <v>4119</v>
      </c>
      <c r="E22" s="4265" t="s">
        <v>4120</v>
      </c>
      <c r="F22" s="4265" t="s">
        <v>19</v>
      </c>
      <c r="G22" s="4267">
        <v>166</v>
      </c>
      <c r="H22" s="4268">
        <v>45687</v>
      </c>
      <c r="I22" s="4268">
        <v>46781</v>
      </c>
      <c r="J22" s="4265">
        <f t="shared" ref="J22:J25" si="5">I22-H22+1</f>
        <v>1095</v>
      </c>
      <c r="K22" s="4269">
        <f t="shared" ref="K22:K40" si="6">L22+M22*12/365</f>
        <v>4.5005479452054793</v>
      </c>
      <c r="L22" s="4270">
        <v>3.58</v>
      </c>
      <c r="M22" s="4265">
        <v>28</v>
      </c>
      <c r="N22" s="4268">
        <v>46417</v>
      </c>
      <c r="O22" s="4271">
        <v>0.06</v>
      </c>
      <c r="P22" s="4270">
        <f t="shared" ref="P22:P24" si="7">+L22*(1+O22)</f>
        <v>3.7948000000000004</v>
      </c>
      <c r="Q22" s="4227">
        <f t="shared" ref="Q22:Q25" si="8">K22*G22</f>
        <v>747.09095890410958</v>
      </c>
      <c r="R22" s="4227">
        <f t="shared" si="2"/>
        <v>594.28</v>
      </c>
    </row>
    <row r="23" spans="1:18" s="4227" customFormat="1" ht="18.600000000000001" customHeight="1">
      <c r="A23" s="4264">
        <v>20</v>
      </c>
      <c r="B23" s="4265">
        <v>2</v>
      </c>
      <c r="C23" s="4266">
        <v>1103</v>
      </c>
      <c r="D23" s="4265" t="s">
        <v>4121</v>
      </c>
      <c r="E23" s="4265" t="s">
        <v>4074</v>
      </c>
      <c r="F23" s="4265" t="s">
        <v>19</v>
      </c>
      <c r="G23" s="4267">
        <v>120</v>
      </c>
      <c r="H23" s="4268">
        <v>45613</v>
      </c>
      <c r="I23" s="4268">
        <v>46342</v>
      </c>
      <c r="J23" s="4265">
        <f t="shared" si="5"/>
        <v>730</v>
      </c>
      <c r="K23" s="4269">
        <f t="shared" si="6"/>
        <v>4.5005479452054793</v>
      </c>
      <c r="L23" s="4270">
        <v>3.58</v>
      </c>
      <c r="M23" s="4265">
        <v>28</v>
      </c>
      <c r="N23" s="4268"/>
      <c r="O23" s="4265"/>
      <c r="P23" s="4270"/>
      <c r="Q23" s="4227">
        <f t="shared" si="8"/>
        <v>540.06575342465749</v>
      </c>
      <c r="R23" s="4227">
        <f t="shared" si="2"/>
        <v>429.6</v>
      </c>
    </row>
    <row r="24" spans="1:18" s="4227" customFormat="1" ht="18.600000000000001" customHeight="1">
      <c r="A24" s="4264">
        <v>21</v>
      </c>
      <c r="B24" s="4265">
        <v>2</v>
      </c>
      <c r="C24" s="4273">
        <v>1105</v>
      </c>
      <c r="D24" s="4265" t="s">
        <v>4122</v>
      </c>
      <c r="E24" s="4265" t="s">
        <v>4059</v>
      </c>
      <c r="F24" s="4265" t="s">
        <v>19</v>
      </c>
      <c r="G24" s="4267">
        <v>150</v>
      </c>
      <c r="H24" s="4268">
        <v>45687</v>
      </c>
      <c r="I24" s="4268">
        <v>46781</v>
      </c>
      <c r="J24" s="4265">
        <f t="shared" si="5"/>
        <v>1095</v>
      </c>
      <c r="K24" s="4269">
        <f t="shared" si="6"/>
        <v>4.5005479452054793</v>
      </c>
      <c r="L24" s="4270">
        <v>3.58</v>
      </c>
      <c r="M24" s="4265">
        <v>28</v>
      </c>
      <c r="N24" s="4268">
        <v>46417</v>
      </c>
      <c r="O24" s="4271">
        <v>0.06</v>
      </c>
      <c r="P24" s="4270">
        <f t="shared" si="7"/>
        <v>3.7948000000000004</v>
      </c>
      <c r="Q24" s="4227">
        <f t="shared" si="8"/>
        <v>675.08219178082186</v>
      </c>
      <c r="R24" s="4227">
        <f t="shared" si="2"/>
        <v>537</v>
      </c>
    </row>
    <row r="25" spans="1:18" s="4227" customFormat="1" ht="18.600000000000001" customHeight="1">
      <c r="A25" s="4264">
        <v>22</v>
      </c>
      <c r="B25" s="4265">
        <v>2</v>
      </c>
      <c r="C25" s="4266">
        <v>1106</v>
      </c>
      <c r="D25" s="4265" t="s">
        <v>4104</v>
      </c>
      <c r="E25" s="4265" t="s">
        <v>4059</v>
      </c>
      <c r="F25" s="4265" t="s">
        <v>19</v>
      </c>
      <c r="G25" s="4267">
        <v>150</v>
      </c>
      <c r="H25" s="4268">
        <v>45826</v>
      </c>
      <c r="I25" s="4268">
        <v>46738</v>
      </c>
      <c r="J25" s="4265">
        <f t="shared" si="5"/>
        <v>913</v>
      </c>
      <c r="K25" s="4269">
        <f t="shared" si="6"/>
        <v>4.1405479452054799</v>
      </c>
      <c r="L25" s="4270">
        <f>3.22</f>
        <v>3.22</v>
      </c>
      <c r="M25" s="4265">
        <f>28</f>
        <v>28</v>
      </c>
      <c r="N25" s="4268"/>
      <c r="O25" s="4271"/>
      <c r="P25" s="4270"/>
      <c r="Q25" s="4227">
        <f t="shared" si="8"/>
        <v>621.08219178082197</v>
      </c>
      <c r="R25" s="4227">
        <f t="shared" si="2"/>
        <v>483.00000000000006</v>
      </c>
    </row>
    <row r="26" spans="1:18" s="4227" customFormat="1" ht="18.600000000000001" customHeight="1">
      <c r="A26" s="4264">
        <v>23</v>
      </c>
      <c r="B26" s="4265">
        <v>2</v>
      </c>
      <c r="C26" s="4266">
        <v>1107</v>
      </c>
      <c r="D26" s="4265" t="s">
        <v>4063</v>
      </c>
      <c r="E26" s="4265"/>
      <c r="F26" s="4265"/>
      <c r="G26" s="4267">
        <v>220</v>
      </c>
      <c r="H26" s="4268"/>
      <c r="I26" s="4268"/>
      <c r="J26" s="4265"/>
      <c r="K26" s="4267"/>
      <c r="L26" s="4270"/>
      <c r="M26" s="4265"/>
      <c r="N26" s="4268"/>
      <c r="O26" s="4265"/>
      <c r="P26" s="4270"/>
      <c r="R26" s="4227">
        <f t="shared" si="2"/>
        <v>0</v>
      </c>
    </row>
    <row r="27" spans="1:18" s="4227" customFormat="1" ht="18.600000000000001" customHeight="1">
      <c r="A27" s="4264">
        <v>24</v>
      </c>
      <c r="B27" s="4265">
        <v>2</v>
      </c>
      <c r="C27" s="4273">
        <v>1108</v>
      </c>
      <c r="D27" s="4265" t="s">
        <v>4123</v>
      </c>
      <c r="E27" s="4265" t="s">
        <v>4059</v>
      </c>
      <c r="F27" s="4265" t="s">
        <v>19</v>
      </c>
      <c r="G27" s="4267">
        <v>166</v>
      </c>
      <c r="H27" s="4268">
        <v>45937</v>
      </c>
      <c r="I27" s="4268">
        <v>46675</v>
      </c>
      <c r="J27" s="4265">
        <f t="shared" ref="J27:J40" si="9">I27-H27+1</f>
        <v>739</v>
      </c>
      <c r="K27" s="4269">
        <f t="shared" si="6"/>
        <v>4.0005479452054793</v>
      </c>
      <c r="L27" s="4270">
        <v>3.08</v>
      </c>
      <c r="M27" s="4265">
        <v>28</v>
      </c>
      <c r="N27" s="4268"/>
      <c r="O27" s="4265"/>
      <c r="P27" s="4270"/>
      <c r="Q27" s="4227">
        <f t="shared" ref="Q27:Q35" si="10">K27*G27</f>
        <v>664.09095890410958</v>
      </c>
      <c r="R27" s="4227">
        <f t="shared" si="2"/>
        <v>511.28000000000003</v>
      </c>
    </row>
    <row r="28" spans="1:18" s="4227" customFormat="1" ht="18.600000000000001" customHeight="1">
      <c r="A28" s="4264">
        <v>25</v>
      </c>
      <c r="B28" s="4265">
        <v>2</v>
      </c>
      <c r="C28" s="4266">
        <v>1109</v>
      </c>
      <c r="D28" s="4265" t="s">
        <v>4124</v>
      </c>
      <c r="E28" s="4265" t="s">
        <v>4057</v>
      </c>
      <c r="F28" s="4265" t="s">
        <v>19</v>
      </c>
      <c r="G28" s="4267">
        <v>120</v>
      </c>
      <c r="H28" s="4268">
        <v>45884</v>
      </c>
      <c r="I28" s="4268">
        <v>46979</v>
      </c>
      <c r="J28" s="4265">
        <v>1096</v>
      </c>
      <c r="K28" s="4269">
        <f t="shared" si="6"/>
        <v>3.9005479452054796</v>
      </c>
      <c r="L28" s="4270">
        <v>2.98</v>
      </c>
      <c r="M28" s="4265">
        <v>28</v>
      </c>
      <c r="N28" s="4268">
        <v>46614</v>
      </c>
      <c r="O28" s="4271">
        <v>0.06</v>
      </c>
      <c r="P28" s="4270">
        <f t="shared" ref="P28:P33" si="11">+L28*(1+O28)</f>
        <v>3.1588000000000003</v>
      </c>
      <c r="Q28" s="4227">
        <f t="shared" si="10"/>
        <v>468.06575342465754</v>
      </c>
      <c r="R28" s="4227">
        <f t="shared" si="2"/>
        <v>357.6</v>
      </c>
    </row>
    <row r="29" spans="1:18" s="4227" customFormat="1" ht="18.600000000000001" customHeight="1">
      <c r="A29" s="4264">
        <v>26</v>
      </c>
      <c r="B29" s="4265">
        <v>2</v>
      </c>
      <c r="C29" s="4273" t="s">
        <v>4125</v>
      </c>
      <c r="D29" s="4265" t="s">
        <v>4126</v>
      </c>
      <c r="E29" s="4265" t="s">
        <v>4055</v>
      </c>
      <c r="F29" s="4265" t="s">
        <v>19</v>
      </c>
      <c r="G29" s="4267">
        <v>1277.1099999999999</v>
      </c>
      <c r="H29" s="4268">
        <v>45848</v>
      </c>
      <c r="I29" s="4268">
        <v>46212</v>
      </c>
      <c r="J29" s="4265">
        <f t="shared" si="9"/>
        <v>365</v>
      </c>
      <c r="K29" s="4269">
        <f t="shared" si="6"/>
        <v>3.8005479452054791</v>
      </c>
      <c r="L29" s="4270">
        <f>2.88</f>
        <v>2.88</v>
      </c>
      <c r="M29" s="4265">
        <v>28</v>
      </c>
      <c r="N29" s="4268"/>
      <c r="O29" s="4265"/>
      <c r="P29" s="4270"/>
      <c r="Q29" s="4227">
        <f t="shared" si="10"/>
        <v>4853.7177863013694</v>
      </c>
      <c r="R29" s="4227">
        <f t="shared" si="2"/>
        <v>3678.0767999999994</v>
      </c>
    </row>
    <row r="30" spans="1:18" s="4227" customFormat="1" ht="18.600000000000001" customHeight="1">
      <c r="A30" s="4264">
        <v>27</v>
      </c>
      <c r="B30" s="4265">
        <v>2</v>
      </c>
      <c r="C30" s="4266">
        <v>1301</v>
      </c>
      <c r="D30" s="4265" t="s">
        <v>4127</v>
      </c>
      <c r="E30" s="4265" t="s">
        <v>4048</v>
      </c>
      <c r="F30" s="4265" t="s">
        <v>19</v>
      </c>
      <c r="G30" s="4267">
        <v>400</v>
      </c>
      <c r="H30" s="4268">
        <v>45560</v>
      </c>
      <c r="I30" s="4268">
        <v>46654</v>
      </c>
      <c r="J30" s="4265">
        <f t="shared" si="9"/>
        <v>1095</v>
      </c>
      <c r="K30" s="4269">
        <f t="shared" si="6"/>
        <v>3.9005479452054796</v>
      </c>
      <c r="L30" s="4270">
        <v>2.98</v>
      </c>
      <c r="M30" s="4265">
        <v>28</v>
      </c>
      <c r="N30" s="4268">
        <v>46290</v>
      </c>
      <c r="O30" s="4271">
        <v>0.06</v>
      </c>
      <c r="P30" s="4270">
        <f t="shared" si="11"/>
        <v>3.1588000000000003</v>
      </c>
      <c r="Q30" s="4227">
        <f t="shared" si="10"/>
        <v>1560.2191780821918</v>
      </c>
      <c r="R30" s="4227">
        <f t="shared" si="2"/>
        <v>1192</v>
      </c>
    </row>
    <row r="31" spans="1:18" s="4227" customFormat="1" ht="18.600000000000001" customHeight="1">
      <c r="A31" s="4264">
        <v>28</v>
      </c>
      <c r="B31" s="4265">
        <v>2</v>
      </c>
      <c r="C31" s="4266">
        <v>1302</v>
      </c>
      <c r="D31" s="4265" t="s">
        <v>4128</v>
      </c>
      <c r="E31" s="4265" t="s">
        <v>4074</v>
      </c>
      <c r="F31" s="4265" t="s">
        <v>19</v>
      </c>
      <c r="G31" s="4267">
        <v>400</v>
      </c>
      <c r="H31" s="4268">
        <v>45560</v>
      </c>
      <c r="I31" s="4268">
        <v>46654</v>
      </c>
      <c r="J31" s="4265">
        <f t="shared" si="9"/>
        <v>1095</v>
      </c>
      <c r="K31" s="4269">
        <f t="shared" si="6"/>
        <v>3.9005479452054796</v>
      </c>
      <c r="L31" s="4270">
        <v>2.98</v>
      </c>
      <c r="M31" s="4265">
        <v>28</v>
      </c>
      <c r="N31" s="4268">
        <v>46290</v>
      </c>
      <c r="O31" s="4271">
        <v>0.06</v>
      </c>
      <c r="P31" s="4270">
        <f t="shared" si="11"/>
        <v>3.1588000000000003</v>
      </c>
      <c r="Q31" s="4227">
        <f t="shared" si="10"/>
        <v>1560.2191780821918</v>
      </c>
      <c r="R31" s="4227">
        <f t="shared" si="2"/>
        <v>1192</v>
      </c>
    </row>
    <row r="32" spans="1:18" s="4227" customFormat="1" ht="18.600000000000001" customHeight="1">
      <c r="A32" s="4264">
        <v>29</v>
      </c>
      <c r="B32" s="4265">
        <v>2</v>
      </c>
      <c r="C32" s="4266">
        <v>1303</v>
      </c>
      <c r="D32" s="4265" t="s">
        <v>4129</v>
      </c>
      <c r="E32" s="4265" t="s">
        <v>4048</v>
      </c>
      <c r="F32" s="4265" t="s">
        <v>19</v>
      </c>
      <c r="G32" s="4267">
        <v>300</v>
      </c>
      <c r="H32" s="4268">
        <v>45560</v>
      </c>
      <c r="I32" s="4268">
        <v>46654</v>
      </c>
      <c r="J32" s="4265">
        <f t="shared" si="9"/>
        <v>1095</v>
      </c>
      <c r="K32" s="4269">
        <f t="shared" si="6"/>
        <v>3.9005479452054796</v>
      </c>
      <c r="L32" s="4270">
        <v>2.98</v>
      </c>
      <c r="M32" s="4265">
        <v>28</v>
      </c>
      <c r="N32" s="4268">
        <v>46290</v>
      </c>
      <c r="O32" s="4271">
        <v>0.06</v>
      </c>
      <c r="P32" s="4270">
        <f t="shared" si="11"/>
        <v>3.1588000000000003</v>
      </c>
      <c r="Q32" s="4227">
        <f t="shared" si="10"/>
        <v>1170.1643835616439</v>
      </c>
      <c r="R32" s="4227">
        <f t="shared" si="2"/>
        <v>894</v>
      </c>
    </row>
    <row r="33" spans="1:18" s="4227" customFormat="1" ht="18.600000000000001" customHeight="1">
      <c r="A33" s="4264">
        <v>30</v>
      </c>
      <c r="B33" s="4265">
        <v>2</v>
      </c>
      <c r="C33" s="4266">
        <v>1304</v>
      </c>
      <c r="D33" s="4265" t="s">
        <v>4130</v>
      </c>
      <c r="E33" s="4265" t="s">
        <v>4074</v>
      </c>
      <c r="F33" s="4265" t="s">
        <v>19</v>
      </c>
      <c r="G33" s="4267">
        <v>257.14</v>
      </c>
      <c r="H33" s="4268">
        <v>45560</v>
      </c>
      <c r="I33" s="4268">
        <v>46654</v>
      </c>
      <c r="J33" s="4265">
        <f t="shared" si="9"/>
        <v>1095</v>
      </c>
      <c r="K33" s="4269">
        <f t="shared" si="6"/>
        <v>3.9005479452054796</v>
      </c>
      <c r="L33" s="4270">
        <v>2.98</v>
      </c>
      <c r="M33" s="4265">
        <v>28</v>
      </c>
      <c r="N33" s="4268">
        <v>46290</v>
      </c>
      <c r="O33" s="4271">
        <v>0.06</v>
      </c>
      <c r="P33" s="4270">
        <f t="shared" si="11"/>
        <v>3.1588000000000003</v>
      </c>
      <c r="Q33" s="4227">
        <f t="shared" si="10"/>
        <v>1002.986898630137</v>
      </c>
      <c r="R33" s="4227">
        <f t="shared" si="2"/>
        <v>766.27719999999999</v>
      </c>
    </row>
    <row r="34" spans="1:18" s="4227" customFormat="1" ht="18.600000000000001" customHeight="1">
      <c r="A34" s="4264">
        <v>31</v>
      </c>
      <c r="B34" s="4265">
        <v>2</v>
      </c>
      <c r="C34" s="4273">
        <v>1401</v>
      </c>
      <c r="D34" s="4265" t="s">
        <v>4131</v>
      </c>
      <c r="E34" s="4265" t="s">
        <v>4059</v>
      </c>
      <c r="F34" s="4265" t="s">
        <v>19</v>
      </c>
      <c r="G34" s="4267">
        <v>883.14</v>
      </c>
      <c r="H34" s="4268">
        <v>45550</v>
      </c>
      <c r="I34" s="4268">
        <v>46279</v>
      </c>
      <c r="J34" s="4265">
        <f t="shared" si="9"/>
        <v>730</v>
      </c>
      <c r="K34" s="4269">
        <f t="shared" si="6"/>
        <v>4.7005479452054795</v>
      </c>
      <c r="L34" s="4270">
        <v>3.78</v>
      </c>
      <c r="M34" s="4265">
        <v>28</v>
      </c>
      <c r="N34" s="4268"/>
      <c r="O34" s="4265"/>
      <c r="P34" s="4270"/>
      <c r="Q34" s="4227">
        <f t="shared" si="10"/>
        <v>4151.2419123287673</v>
      </c>
      <c r="R34" s="4227">
        <f t="shared" si="2"/>
        <v>3338.2691999999997</v>
      </c>
    </row>
    <row r="35" spans="1:18" s="4227" customFormat="1" ht="18.600000000000001" customHeight="1">
      <c r="A35" s="4264">
        <v>32</v>
      </c>
      <c r="B35" s="4265">
        <v>2</v>
      </c>
      <c r="C35" s="4266">
        <v>1402</v>
      </c>
      <c r="D35" s="4265" t="s">
        <v>4132</v>
      </c>
      <c r="E35" s="4265" t="s">
        <v>4059</v>
      </c>
      <c r="F35" s="4265" t="s">
        <v>19</v>
      </c>
      <c r="G35" s="4267">
        <v>474</v>
      </c>
      <c r="H35" s="4268">
        <v>45636</v>
      </c>
      <c r="I35" s="4268">
        <v>46365</v>
      </c>
      <c r="J35" s="4265">
        <f t="shared" si="9"/>
        <v>730</v>
      </c>
      <c r="K35" s="4269">
        <f t="shared" si="6"/>
        <v>4.8005479452054791</v>
      </c>
      <c r="L35" s="4270">
        <v>3.88</v>
      </c>
      <c r="M35" s="4265">
        <v>28</v>
      </c>
      <c r="N35" s="4268"/>
      <c r="O35" s="4265"/>
      <c r="P35" s="4270"/>
      <c r="Q35" s="4227">
        <f t="shared" si="10"/>
        <v>2275.4597260273972</v>
      </c>
      <c r="R35" s="4227">
        <f t="shared" si="2"/>
        <v>1839.12</v>
      </c>
    </row>
    <row r="36" spans="1:18" s="4227" customFormat="1" ht="18.600000000000001" customHeight="1">
      <c r="A36" s="4264">
        <v>33</v>
      </c>
      <c r="B36" s="4265">
        <v>2</v>
      </c>
      <c r="C36" s="4266">
        <v>1501</v>
      </c>
      <c r="D36" s="4265" t="s">
        <v>4063</v>
      </c>
      <c r="E36" s="4265"/>
      <c r="F36" s="4265" t="s">
        <v>19</v>
      </c>
      <c r="G36" s="4267">
        <v>474</v>
      </c>
      <c r="H36" s="4268"/>
      <c r="I36" s="4268"/>
      <c r="J36" s="4265"/>
      <c r="K36" s="4269"/>
      <c r="L36" s="4270"/>
      <c r="M36" s="4265"/>
      <c r="N36" s="4268"/>
      <c r="O36" s="4265"/>
      <c r="P36" s="4270"/>
      <c r="R36" s="4227">
        <f t="shared" si="2"/>
        <v>0</v>
      </c>
    </row>
    <row r="37" spans="1:18" s="4227" customFormat="1" ht="18.600000000000001" customHeight="1">
      <c r="A37" s="4264">
        <v>34</v>
      </c>
      <c r="B37" s="4265">
        <v>2</v>
      </c>
      <c r="C37" s="4266">
        <v>1502</v>
      </c>
      <c r="D37" s="4265" t="s">
        <v>4133</v>
      </c>
      <c r="E37" s="4265" t="s">
        <v>4057</v>
      </c>
      <c r="F37" s="4265" t="s">
        <v>19</v>
      </c>
      <c r="G37" s="4267">
        <v>838</v>
      </c>
      <c r="H37" s="4268">
        <v>45802</v>
      </c>
      <c r="I37" s="4268">
        <v>46897</v>
      </c>
      <c r="J37" s="4265">
        <f t="shared" si="9"/>
        <v>1096</v>
      </c>
      <c r="K37" s="4269">
        <f t="shared" si="6"/>
        <v>4.5005479452054793</v>
      </c>
      <c r="L37" s="4267">
        <v>3.58</v>
      </c>
      <c r="M37" s="4265">
        <v>28</v>
      </c>
      <c r="N37" s="4268">
        <v>46532</v>
      </c>
      <c r="O37" s="4271">
        <v>0.06</v>
      </c>
      <c r="P37" s="4270">
        <f t="shared" ref="P37:P40" si="12">+L37*(1+O37)</f>
        <v>3.7948000000000004</v>
      </c>
      <c r="Q37" s="4227">
        <f t="shared" ref="Q37:Q40" si="13">K37*G37</f>
        <v>3771.4591780821916</v>
      </c>
      <c r="R37" s="4227">
        <f t="shared" si="2"/>
        <v>3000.04</v>
      </c>
    </row>
    <row r="38" spans="1:18" s="4227" customFormat="1" ht="18.600000000000001" customHeight="1">
      <c r="A38" s="4228">
        <v>35</v>
      </c>
      <c r="B38" s="4229">
        <v>2</v>
      </c>
      <c r="C38" s="4230" t="s">
        <v>4134</v>
      </c>
      <c r="D38" s="4229" t="s">
        <v>4135</v>
      </c>
      <c r="E38" s="4229" t="s">
        <v>4059</v>
      </c>
      <c r="F38" s="4229" t="s">
        <v>19</v>
      </c>
      <c r="G38" s="4232">
        <v>1280.77</v>
      </c>
      <c r="H38" s="4233">
        <v>45992</v>
      </c>
      <c r="I38" s="4233">
        <v>47087</v>
      </c>
      <c r="J38" s="4229">
        <f t="shared" si="9"/>
        <v>1096</v>
      </c>
      <c r="K38" s="4234">
        <f t="shared" si="6"/>
        <v>5.5005479452054793</v>
      </c>
      <c r="L38" s="4235">
        <v>4.58</v>
      </c>
      <c r="M38" s="4229">
        <v>28</v>
      </c>
      <c r="N38" s="4233">
        <f>+H38+730</f>
        <v>46722</v>
      </c>
      <c r="O38" s="4236">
        <v>0.06</v>
      </c>
      <c r="P38" s="4235">
        <f t="shared" si="12"/>
        <v>4.8548</v>
      </c>
      <c r="Q38" s="4227">
        <f t="shared" si="13"/>
        <v>7044.9367917808213</v>
      </c>
      <c r="R38" s="4227">
        <f t="shared" si="2"/>
        <v>5865.9265999999998</v>
      </c>
    </row>
    <row r="39" spans="1:18" s="4227" customFormat="1" ht="18.600000000000001" customHeight="1">
      <c r="A39" s="4228">
        <v>36</v>
      </c>
      <c r="B39" s="4229">
        <v>2</v>
      </c>
      <c r="C39" s="4230" t="s">
        <v>4083</v>
      </c>
      <c r="D39" s="4229" t="s">
        <v>4135</v>
      </c>
      <c r="E39" s="4229" t="s">
        <v>4059</v>
      </c>
      <c r="F39" s="4229" t="s">
        <v>19</v>
      </c>
      <c r="G39" s="4232">
        <v>1217.4000000000001</v>
      </c>
      <c r="H39" s="4233">
        <v>45992</v>
      </c>
      <c r="I39" s="4233">
        <v>47087</v>
      </c>
      <c r="J39" s="4229">
        <f t="shared" si="9"/>
        <v>1096</v>
      </c>
      <c r="K39" s="4234">
        <f t="shared" si="6"/>
        <v>5.5005479452054793</v>
      </c>
      <c r="L39" s="4235">
        <v>4.58</v>
      </c>
      <c r="M39" s="4229">
        <v>28</v>
      </c>
      <c r="N39" s="4233">
        <f>+H39+730</f>
        <v>46722</v>
      </c>
      <c r="O39" s="4236">
        <v>0.06</v>
      </c>
      <c r="P39" s="4235">
        <f t="shared" si="12"/>
        <v>4.8548</v>
      </c>
      <c r="Q39" s="4227">
        <f t="shared" si="13"/>
        <v>6696.3670684931512</v>
      </c>
      <c r="R39" s="4227">
        <f t="shared" si="2"/>
        <v>5575.6920000000009</v>
      </c>
    </row>
    <row r="40" spans="1:18" s="4227" customFormat="1" ht="18.600000000000001" customHeight="1">
      <c r="A40" s="4228">
        <v>37</v>
      </c>
      <c r="B40" s="4229">
        <v>2</v>
      </c>
      <c r="C40" s="4230" t="s">
        <v>4086</v>
      </c>
      <c r="D40" s="4229" t="s">
        <v>4135</v>
      </c>
      <c r="E40" s="4229" t="s">
        <v>4059</v>
      </c>
      <c r="F40" s="4229" t="s">
        <v>19</v>
      </c>
      <c r="G40" s="4232">
        <v>982.11</v>
      </c>
      <c r="H40" s="4233">
        <v>45992</v>
      </c>
      <c r="I40" s="4233">
        <v>47087</v>
      </c>
      <c r="J40" s="4229">
        <f t="shared" si="9"/>
        <v>1096</v>
      </c>
      <c r="K40" s="4234">
        <f t="shared" si="6"/>
        <v>5.5005479452054793</v>
      </c>
      <c r="L40" s="4235">
        <v>4.58</v>
      </c>
      <c r="M40" s="4229">
        <v>28</v>
      </c>
      <c r="N40" s="4233">
        <f>+H40+730</f>
        <v>46722</v>
      </c>
      <c r="O40" s="4236">
        <v>0.06</v>
      </c>
      <c r="P40" s="4235">
        <f t="shared" si="12"/>
        <v>4.8548</v>
      </c>
      <c r="Q40" s="4227">
        <f t="shared" si="13"/>
        <v>5402.143142465753</v>
      </c>
      <c r="R40" s="4227">
        <f>L40*G40</f>
        <v>4498.0637999999999</v>
      </c>
    </row>
    <row r="41" spans="1:18" s="4227" customFormat="1" ht="18.600000000000001" customHeight="1">
      <c r="A41" s="4228"/>
      <c r="B41" s="4229"/>
      <c r="C41" s="4229"/>
      <c r="D41" s="4229"/>
      <c r="E41" s="4229"/>
      <c r="F41" s="4229"/>
      <c r="G41" s="4227">
        <f>SUM(G4:G40)-G20-G21-G26-G36</f>
        <v>19145.390000000003</v>
      </c>
      <c r="H41" s="4233"/>
      <c r="I41" s="4233"/>
      <c r="J41" s="4229"/>
      <c r="K41" s="4232">
        <f>Q41/G41</f>
        <v>4.5393140293646406</v>
      </c>
      <c r="L41" s="4235">
        <f>R41/G41</f>
        <v>3.6187660841591622</v>
      </c>
      <c r="M41" s="4229"/>
      <c r="N41" s="4233"/>
      <c r="O41" s="4236"/>
      <c r="P41" s="4235"/>
      <c r="Q41" s="4227">
        <f>SUM(Q4:Q40)-Q20-Q21-Q26-Q36</f>
        <v>86906.937424657517</v>
      </c>
      <c r="R41" s="4227">
        <f>SUM(R4:R40)</f>
        <v>69282.687999999995</v>
      </c>
    </row>
    <row r="42" spans="1:18" ht="18.600000000000001" customHeight="1">
      <c r="A42" s="4238"/>
      <c r="B42" s="4239"/>
      <c r="C42" s="4240"/>
      <c r="D42" s="4241" t="s">
        <v>4087</v>
      </c>
      <c r="E42" s="4275">
        <f>SUM(G4:G40)</f>
        <v>20672.500000000004</v>
      </c>
      <c r="F42" s="4275"/>
      <c r="G42" s="4276">
        <f>'1号楼'!G35</f>
        <v>19807.670000000002</v>
      </c>
      <c r="H42" s="4275"/>
      <c r="I42" s="4275"/>
      <c r="J42" s="4275"/>
      <c r="K42" s="4275"/>
      <c r="L42" s="4235"/>
      <c r="M42" s="4275"/>
      <c r="N42" s="4275"/>
      <c r="O42" s="4278"/>
      <c r="P42" s="4277"/>
      <c r="R42" s="4217">
        <f>'1号楼'!Q35</f>
        <v>61669.437699999995</v>
      </c>
    </row>
    <row r="43" spans="1:18" ht="18.600000000000001" customHeight="1">
      <c r="A43" s="4238"/>
      <c r="B43" s="4239"/>
      <c r="C43" s="4240"/>
      <c r="D43" s="4276" t="s">
        <v>4088</v>
      </c>
      <c r="E43" s="4275">
        <f>+SUMIF(F3:F40,"办公",G3:G40)</f>
        <v>19619.390000000003</v>
      </c>
      <c r="F43" s="4275"/>
      <c r="G43" s="4276">
        <f>G41+G42</f>
        <v>38953.060000000005</v>
      </c>
      <c r="H43" s="4276"/>
      <c r="I43" s="4276"/>
      <c r="J43" s="4275"/>
      <c r="K43" s="4275" t="s">
        <v>4298</v>
      </c>
      <c r="L43" s="4235">
        <f>R43/G43</f>
        <v>3.3617930324344218</v>
      </c>
      <c r="M43" s="4275"/>
      <c r="N43" s="4275"/>
      <c r="O43" s="4278"/>
      <c r="P43" s="4277"/>
      <c r="R43" s="4217">
        <f>R41+R42</f>
        <v>130952.12569999999</v>
      </c>
    </row>
    <row r="44" spans="1:18" ht="18.600000000000001" customHeight="1">
      <c r="A44" s="4238"/>
      <c r="B44" s="4239"/>
      <c r="C44" s="4240"/>
      <c r="D44" s="4276" t="s">
        <v>4092</v>
      </c>
      <c r="E44" s="4279">
        <f>(E43)/E42</f>
        <v>0.94905744346353849</v>
      </c>
      <c r="F44" s="4279"/>
      <c r="G44" s="4276"/>
      <c r="H44" s="4280"/>
      <c r="I44" s="4275"/>
      <c r="J44" s="4275"/>
      <c r="K44" s="4275" t="s">
        <v>4297</v>
      </c>
      <c r="L44" s="4277">
        <f>L43/1.09</f>
        <v>3.08421379122424</v>
      </c>
      <c r="M44" s="4275"/>
      <c r="N44" s="4275"/>
      <c r="O44" s="4278"/>
      <c r="P44" s="4277"/>
    </row>
    <row r="45" spans="1:18" ht="18.600000000000001" customHeight="1">
      <c r="A45" s="4245"/>
      <c r="B45" s="4246"/>
      <c r="C45" s="4247"/>
      <c r="D45" s="4281"/>
      <c r="E45" s="4282"/>
      <c r="F45" s="4282"/>
      <c r="G45" s="4281"/>
      <c r="H45" s="4283"/>
      <c r="I45" s="4283"/>
      <c r="J45" s="4283"/>
      <c r="K45" s="4283"/>
      <c r="L45" s="4284"/>
      <c r="M45" s="4283"/>
      <c r="N45" s="4283"/>
      <c r="O45" s="4285"/>
      <c r="P45" s="4284"/>
    </row>
    <row r="46" spans="1:18">
      <c r="A46" s="4286"/>
      <c r="B46" s="4258"/>
      <c r="C46" s="4258"/>
      <c r="O46" s="4287"/>
    </row>
    <row r="47" spans="1:18">
      <c r="A47" s="4286"/>
      <c r="B47" s="4258"/>
      <c r="C47" s="4258"/>
      <c r="E47" s="4259"/>
      <c r="F47" s="4259"/>
      <c r="M47" s="4217"/>
      <c r="O47" s="4287"/>
    </row>
    <row r="48" spans="1:18">
      <c r="A48" s="4258"/>
      <c r="B48" s="4258"/>
      <c r="C48" s="4258"/>
      <c r="M48" s="4217"/>
      <c r="O48" s="4287"/>
    </row>
    <row r="49" spans="1:15">
      <c r="A49" s="4258"/>
      <c r="B49" s="4258"/>
      <c r="C49" s="4258"/>
      <c r="M49" s="4217"/>
      <c r="O49" s="4287"/>
    </row>
    <row r="50" spans="1:15">
      <c r="A50" s="4258"/>
      <c r="B50" s="4258"/>
      <c r="C50" s="4258"/>
      <c r="M50" s="4217"/>
      <c r="O50" s="4287"/>
    </row>
    <row r="51" spans="1:15">
      <c r="A51" s="4258"/>
      <c r="B51" s="4258"/>
      <c r="C51" s="4258"/>
      <c r="F51" s="4652"/>
      <c r="M51" s="4217"/>
      <c r="O51" s="4287"/>
    </row>
    <row r="52" spans="1:15">
      <c r="A52" s="4258"/>
      <c r="B52" s="4258"/>
      <c r="C52" s="4258"/>
      <c r="F52" s="4652"/>
      <c r="M52" s="4217"/>
      <c r="O52" s="4287"/>
    </row>
    <row r="53" spans="1:15">
      <c r="A53" s="4258"/>
      <c r="B53" s="4258"/>
      <c r="C53" s="4258"/>
      <c r="E53" s="4260"/>
      <c r="F53" s="4261"/>
      <c r="O53" s="4287"/>
    </row>
    <row r="54" spans="1:15">
      <c r="A54" s="4258"/>
      <c r="B54" s="4258"/>
      <c r="C54" s="4258"/>
      <c r="D54" s="4262"/>
      <c r="O54" s="4287"/>
    </row>
    <row r="55" spans="1:15">
      <c r="A55" s="4258"/>
      <c r="B55" s="4258"/>
      <c r="C55" s="4258"/>
      <c r="O55" s="4287"/>
    </row>
    <row r="56" spans="1:15">
      <c r="A56" s="4258"/>
      <c r="B56" s="4258"/>
      <c r="C56" s="4258"/>
      <c r="O56" s="4287"/>
    </row>
    <row r="57" spans="1:15">
      <c r="A57" s="4258"/>
      <c r="B57" s="4258"/>
      <c r="C57" s="4258"/>
      <c r="O57" s="4287"/>
    </row>
    <row r="58" spans="1:15">
      <c r="A58" s="4258"/>
      <c r="B58" s="4258"/>
      <c r="C58" s="4258"/>
      <c r="O58" s="4287"/>
    </row>
    <row r="59" spans="1:15">
      <c r="A59" s="4258"/>
      <c r="B59" s="4258"/>
      <c r="C59" s="4258"/>
      <c r="O59" s="4287"/>
    </row>
    <row r="60" spans="1:15">
      <c r="A60" s="4258"/>
      <c r="B60" s="4258"/>
      <c r="C60" s="4258"/>
      <c r="O60" s="4287"/>
    </row>
    <row r="61" spans="1:15">
      <c r="A61" s="4258"/>
      <c r="B61" s="4258"/>
      <c r="C61" s="4258"/>
      <c r="O61" s="4287"/>
    </row>
    <row r="62" spans="1:15">
      <c r="A62" s="4258"/>
      <c r="B62" s="4258"/>
      <c r="C62" s="4258"/>
      <c r="O62" s="4287"/>
    </row>
    <row r="63" spans="1:15">
      <c r="A63" s="4258"/>
      <c r="B63" s="4258"/>
      <c r="C63" s="4258"/>
      <c r="O63" s="4287"/>
    </row>
    <row r="64" spans="1:15">
      <c r="A64" s="4258"/>
      <c r="B64" s="4258"/>
      <c r="C64" s="4258"/>
      <c r="O64" s="4287"/>
    </row>
    <row r="65" spans="1:15">
      <c r="A65" s="4258"/>
      <c r="B65" s="4258"/>
      <c r="C65" s="4258"/>
      <c r="O65" s="4287"/>
    </row>
    <row r="66" spans="1:15">
      <c r="A66" s="4258"/>
      <c r="B66" s="4258"/>
      <c r="C66" s="4258"/>
      <c r="O66" s="4287"/>
    </row>
    <row r="67" spans="1:15">
      <c r="A67" s="4258"/>
      <c r="B67" s="4258"/>
      <c r="C67" s="4258"/>
      <c r="O67" s="4287"/>
    </row>
    <row r="68" spans="1:15">
      <c r="A68" s="4258"/>
      <c r="B68" s="4258"/>
      <c r="C68" s="4258"/>
      <c r="O68" s="4287"/>
    </row>
    <row r="69" spans="1:15">
      <c r="A69" s="4258"/>
      <c r="B69" s="4258"/>
      <c r="C69" s="4258"/>
      <c r="O69" s="4287"/>
    </row>
    <row r="70" spans="1:15">
      <c r="A70" s="4258"/>
      <c r="B70" s="4258"/>
      <c r="C70" s="4258"/>
      <c r="O70" s="4287"/>
    </row>
    <row r="71" spans="1:15">
      <c r="A71" s="4258"/>
      <c r="B71" s="4258"/>
      <c r="C71" s="4258"/>
      <c r="O71" s="4287"/>
    </row>
    <row r="72" spans="1:15">
      <c r="A72" s="4258"/>
      <c r="B72" s="4258"/>
      <c r="C72" s="4258"/>
      <c r="O72" s="4287"/>
    </row>
    <row r="73" spans="1:15">
      <c r="A73" s="4258"/>
      <c r="B73" s="4258"/>
      <c r="C73" s="4258"/>
      <c r="O73" s="4287"/>
    </row>
    <row r="74" spans="1:15">
      <c r="A74" s="4258"/>
      <c r="B74" s="4258"/>
      <c r="C74" s="4258"/>
      <c r="O74" s="4287"/>
    </row>
    <row r="75" spans="1:15">
      <c r="A75" s="4258"/>
      <c r="B75" s="4258"/>
      <c r="C75" s="4258"/>
      <c r="O75" s="4287"/>
    </row>
    <row r="76" spans="1:15">
      <c r="A76" s="4258"/>
      <c r="B76" s="4258"/>
      <c r="C76" s="4258"/>
      <c r="O76" s="4287"/>
    </row>
    <row r="77" spans="1:15">
      <c r="A77" s="4258"/>
      <c r="B77" s="4258"/>
      <c r="C77" s="4258"/>
      <c r="O77" s="4287"/>
    </row>
    <row r="78" spans="1:15">
      <c r="A78" s="4258"/>
      <c r="B78" s="4258"/>
      <c r="C78" s="4258"/>
      <c r="O78" s="4287"/>
    </row>
    <row r="79" spans="1:15">
      <c r="A79" s="4258"/>
      <c r="B79" s="4258"/>
      <c r="C79" s="4258"/>
      <c r="O79" s="4287"/>
    </row>
    <row r="80" spans="1:15">
      <c r="A80" s="4258"/>
      <c r="B80" s="4258"/>
      <c r="C80" s="4258"/>
      <c r="O80" s="4287"/>
    </row>
    <row r="81" spans="1:15">
      <c r="A81" s="4258"/>
      <c r="B81" s="4258"/>
      <c r="C81" s="4258"/>
      <c r="O81" s="4287"/>
    </row>
    <row r="82" spans="1:15">
      <c r="A82" s="4258"/>
      <c r="B82" s="4258"/>
      <c r="C82" s="4258"/>
      <c r="O82" s="4287"/>
    </row>
    <row r="83" spans="1:15">
      <c r="A83" s="4258"/>
      <c r="B83" s="4258"/>
      <c r="C83" s="4258"/>
      <c r="O83" s="4287"/>
    </row>
    <row r="84" spans="1:15">
      <c r="A84" s="4258"/>
      <c r="B84" s="4258"/>
      <c r="C84" s="4258"/>
      <c r="O84" s="4287"/>
    </row>
    <row r="85" spans="1:15">
      <c r="A85" s="4258"/>
      <c r="B85" s="4258"/>
      <c r="C85" s="4258"/>
      <c r="O85" s="4287"/>
    </row>
    <row r="86" spans="1:15">
      <c r="A86" s="4258"/>
      <c r="B86" s="4258"/>
      <c r="C86" s="4258"/>
      <c r="O86" s="4287"/>
    </row>
    <row r="87" spans="1:15">
      <c r="A87" s="4258"/>
      <c r="B87" s="4258"/>
      <c r="C87" s="4258"/>
      <c r="O87" s="4287"/>
    </row>
    <row r="88" spans="1:15">
      <c r="A88" s="4258"/>
      <c r="B88" s="4258"/>
      <c r="C88" s="4258"/>
      <c r="O88" s="4287"/>
    </row>
    <row r="89" spans="1:15">
      <c r="A89" s="4258"/>
      <c r="B89" s="4258"/>
      <c r="C89" s="4258"/>
      <c r="O89" s="4287"/>
    </row>
    <row r="90" spans="1:15">
      <c r="A90" s="4258"/>
      <c r="B90" s="4258"/>
      <c r="C90" s="4258"/>
      <c r="O90" s="4287"/>
    </row>
    <row r="91" spans="1:15">
      <c r="A91" s="4258"/>
      <c r="B91" s="4258"/>
      <c r="C91" s="4258"/>
      <c r="O91" s="4287"/>
    </row>
    <row r="92" spans="1:15">
      <c r="A92" s="4258"/>
      <c r="B92" s="4258"/>
      <c r="C92" s="4258"/>
      <c r="O92" s="4287"/>
    </row>
    <row r="93" spans="1:15">
      <c r="A93" s="4258"/>
      <c r="B93" s="4258"/>
      <c r="C93" s="4258"/>
      <c r="O93" s="4287"/>
    </row>
    <row r="94" spans="1:15">
      <c r="A94" s="4258"/>
      <c r="B94" s="4258"/>
      <c r="C94" s="4258"/>
      <c r="O94" s="4287"/>
    </row>
    <row r="95" spans="1:15">
      <c r="A95" s="4258"/>
      <c r="B95" s="4258"/>
      <c r="C95" s="4258"/>
      <c r="O95" s="4287"/>
    </row>
    <row r="96" spans="1:15">
      <c r="A96" s="4258"/>
      <c r="B96" s="4258"/>
      <c r="C96" s="4258"/>
      <c r="O96" s="4287"/>
    </row>
    <row r="97" spans="1:15">
      <c r="A97" s="4258"/>
      <c r="B97" s="4258"/>
      <c r="C97" s="4258"/>
      <c r="O97" s="4287"/>
    </row>
    <row r="98" spans="1:15">
      <c r="A98" s="4258"/>
      <c r="B98" s="4258"/>
      <c r="C98" s="4258"/>
      <c r="O98" s="4287"/>
    </row>
    <row r="99" spans="1:15">
      <c r="A99" s="4258"/>
      <c r="B99" s="4258"/>
      <c r="C99" s="4258"/>
      <c r="O99" s="4287"/>
    </row>
    <row r="100" spans="1:15">
      <c r="A100" s="4258"/>
      <c r="B100" s="4258"/>
      <c r="C100" s="4258"/>
      <c r="O100" s="4287"/>
    </row>
    <row r="101" spans="1:15">
      <c r="A101" s="4258"/>
      <c r="B101" s="4258"/>
      <c r="C101" s="4258"/>
      <c r="O101" s="4287"/>
    </row>
    <row r="102" spans="1:15">
      <c r="A102" s="4258"/>
      <c r="B102" s="4258"/>
      <c r="C102" s="4258"/>
      <c r="O102" s="4287"/>
    </row>
    <row r="103" spans="1:15">
      <c r="A103" s="4258"/>
      <c r="B103" s="4258"/>
      <c r="C103" s="4258"/>
      <c r="O103" s="4287"/>
    </row>
    <row r="104" spans="1:15">
      <c r="A104" s="4258"/>
      <c r="B104" s="4258"/>
      <c r="C104" s="4258"/>
      <c r="O104" s="4287"/>
    </row>
    <row r="105" spans="1:15">
      <c r="A105" s="4258"/>
      <c r="B105" s="4258"/>
      <c r="C105" s="4258"/>
      <c r="O105" s="4287"/>
    </row>
    <row r="106" spans="1:15">
      <c r="A106" s="4258"/>
      <c r="B106" s="4258"/>
      <c r="C106" s="4258"/>
      <c r="O106" s="4287"/>
    </row>
    <row r="107" spans="1:15">
      <c r="A107" s="4258"/>
      <c r="B107" s="4258"/>
      <c r="C107" s="4258"/>
      <c r="O107" s="4287"/>
    </row>
    <row r="108" spans="1:15">
      <c r="A108" s="4258"/>
      <c r="B108" s="4258"/>
      <c r="C108" s="4258"/>
      <c r="O108" s="4287"/>
    </row>
    <row r="109" spans="1:15">
      <c r="A109" s="4258"/>
      <c r="B109" s="4258"/>
      <c r="C109" s="4258"/>
      <c r="O109" s="4287"/>
    </row>
    <row r="110" spans="1:15">
      <c r="A110" s="4258"/>
      <c r="B110" s="4258"/>
      <c r="C110" s="4258"/>
      <c r="O110" s="4287"/>
    </row>
    <row r="111" spans="1:15">
      <c r="A111" s="4258"/>
      <c r="B111" s="4258"/>
      <c r="C111" s="4258"/>
      <c r="O111" s="4287"/>
    </row>
    <row r="112" spans="1:15">
      <c r="A112" s="4258"/>
      <c r="B112" s="4258"/>
      <c r="C112" s="4258"/>
      <c r="O112" s="4287"/>
    </row>
    <row r="113" spans="1:15">
      <c r="A113" s="4258"/>
      <c r="B113" s="4258"/>
      <c r="C113" s="4258"/>
      <c r="O113" s="4287"/>
    </row>
    <row r="114" spans="1:15">
      <c r="A114" s="4258"/>
      <c r="B114" s="4258"/>
      <c r="C114" s="4258"/>
      <c r="O114" s="4287"/>
    </row>
    <row r="115" spans="1:15">
      <c r="A115" s="4258"/>
      <c r="B115" s="4258"/>
      <c r="C115" s="4258"/>
      <c r="O115" s="4287"/>
    </row>
    <row r="116" spans="1:15">
      <c r="A116" s="4258"/>
      <c r="B116" s="4258"/>
      <c r="C116" s="4258"/>
      <c r="O116" s="4287"/>
    </row>
    <row r="117" spans="1:15">
      <c r="A117" s="4258"/>
      <c r="B117" s="4258"/>
      <c r="C117" s="4258"/>
      <c r="O117" s="4287"/>
    </row>
    <row r="118" spans="1:15">
      <c r="A118" s="4258"/>
      <c r="B118" s="4258"/>
      <c r="C118" s="4258"/>
      <c r="O118" s="4287"/>
    </row>
    <row r="119" spans="1:15">
      <c r="A119" s="4258"/>
      <c r="B119" s="4258"/>
      <c r="C119" s="4258"/>
      <c r="O119" s="4287"/>
    </row>
    <row r="120" spans="1:15">
      <c r="A120" s="4258"/>
      <c r="B120" s="4258"/>
      <c r="C120" s="4258"/>
      <c r="O120" s="4287"/>
    </row>
    <row r="121" spans="1:15">
      <c r="A121" s="4258"/>
      <c r="B121" s="4258"/>
      <c r="C121" s="4258"/>
      <c r="O121" s="4287"/>
    </row>
    <row r="122" spans="1:15">
      <c r="A122" s="4258"/>
      <c r="B122" s="4258"/>
      <c r="C122" s="4258"/>
      <c r="O122" s="4287"/>
    </row>
    <row r="123" spans="1:15">
      <c r="A123" s="4258"/>
      <c r="B123" s="4258"/>
      <c r="C123" s="4258"/>
      <c r="O123" s="4287"/>
    </row>
    <row r="124" spans="1:15">
      <c r="A124" s="4258"/>
      <c r="B124" s="4258"/>
      <c r="C124" s="4258"/>
      <c r="O124" s="4287"/>
    </row>
    <row r="125" spans="1:15">
      <c r="A125" s="4258"/>
      <c r="B125" s="4258"/>
      <c r="C125" s="4258"/>
      <c r="O125" s="4287"/>
    </row>
    <row r="126" spans="1:15">
      <c r="A126" s="4258"/>
      <c r="B126" s="4258"/>
      <c r="C126" s="4258"/>
      <c r="O126" s="4287"/>
    </row>
    <row r="127" spans="1:15">
      <c r="A127" s="4258"/>
      <c r="B127" s="4258"/>
      <c r="C127" s="4258"/>
      <c r="O127" s="4287"/>
    </row>
    <row r="128" spans="1:15">
      <c r="A128" s="4258"/>
      <c r="B128" s="4258"/>
      <c r="C128" s="4258"/>
      <c r="O128" s="4287"/>
    </row>
    <row r="129" spans="1:15">
      <c r="A129" s="4258"/>
      <c r="B129" s="4258"/>
      <c r="C129" s="4258"/>
      <c r="O129" s="4287"/>
    </row>
    <row r="130" spans="1:15">
      <c r="A130" s="4258"/>
      <c r="B130" s="4258"/>
      <c r="C130" s="4258"/>
      <c r="O130" s="4287"/>
    </row>
    <row r="131" spans="1:15">
      <c r="A131" s="4258"/>
      <c r="B131" s="4258"/>
      <c r="C131" s="4258"/>
      <c r="O131" s="4287"/>
    </row>
    <row r="132" spans="1:15">
      <c r="A132" s="4258"/>
      <c r="B132" s="4258"/>
      <c r="C132" s="4258"/>
      <c r="O132" s="4287"/>
    </row>
    <row r="133" spans="1:15">
      <c r="A133" s="4258"/>
      <c r="B133" s="4258"/>
      <c r="C133" s="4258"/>
      <c r="O133" s="4287"/>
    </row>
    <row r="134" spans="1:15">
      <c r="A134" s="4258"/>
      <c r="B134" s="4258"/>
      <c r="C134" s="4258"/>
      <c r="O134" s="4287"/>
    </row>
    <row r="135" spans="1:15">
      <c r="A135" s="4258"/>
      <c r="B135" s="4258"/>
      <c r="C135" s="4258"/>
      <c r="O135" s="4287"/>
    </row>
    <row r="136" spans="1:15">
      <c r="A136" s="4258"/>
      <c r="B136" s="4258"/>
      <c r="C136" s="4258"/>
      <c r="O136" s="4287"/>
    </row>
    <row r="137" spans="1:15">
      <c r="A137" s="4258"/>
      <c r="B137" s="4258"/>
      <c r="C137" s="4258"/>
      <c r="O137" s="4287"/>
    </row>
    <row r="138" spans="1:15">
      <c r="A138" s="4258"/>
      <c r="B138" s="4258"/>
      <c r="C138" s="4258"/>
      <c r="O138" s="4287"/>
    </row>
    <row r="139" spans="1:15">
      <c r="A139" s="4258"/>
      <c r="B139" s="4258"/>
      <c r="C139" s="4258"/>
      <c r="O139" s="4287"/>
    </row>
    <row r="140" spans="1:15">
      <c r="A140" s="4258"/>
      <c r="B140" s="4258"/>
      <c r="C140" s="4258"/>
      <c r="O140" s="4287"/>
    </row>
    <row r="141" spans="1:15">
      <c r="A141" s="4258"/>
      <c r="B141" s="4258"/>
      <c r="C141" s="4258"/>
      <c r="O141" s="4287"/>
    </row>
    <row r="142" spans="1:15">
      <c r="A142" s="4258"/>
      <c r="B142" s="4258"/>
      <c r="C142" s="4258"/>
      <c r="O142" s="4287"/>
    </row>
    <row r="143" spans="1:15">
      <c r="A143" s="4258"/>
      <c r="B143" s="4258"/>
      <c r="C143" s="4258"/>
      <c r="O143" s="4287"/>
    </row>
    <row r="144" spans="1:15">
      <c r="A144" s="4258"/>
      <c r="B144" s="4258"/>
      <c r="C144" s="4258"/>
      <c r="O144" s="4287"/>
    </row>
    <row r="145" spans="1:15">
      <c r="A145" s="4258"/>
      <c r="B145" s="4258"/>
      <c r="C145" s="4258"/>
      <c r="O145" s="4287"/>
    </row>
    <row r="146" spans="1:15">
      <c r="A146" s="4258"/>
      <c r="B146" s="4258"/>
      <c r="C146" s="4258"/>
      <c r="O146" s="4287"/>
    </row>
    <row r="147" spans="1:15">
      <c r="A147" s="4258"/>
      <c r="B147" s="4258"/>
      <c r="C147" s="4258"/>
      <c r="O147" s="4287"/>
    </row>
    <row r="148" spans="1:15">
      <c r="A148" s="4258"/>
      <c r="B148" s="4258"/>
      <c r="C148" s="4258"/>
      <c r="O148" s="4287"/>
    </row>
    <row r="149" spans="1:15">
      <c r="A149" s="4258"/>
      <c r="B149" s="4258"/>
      <c r="C149" s="4258"/>
      <c r="O149" s="4287"/>
    </row>
    <row r="150" spans="1:15">
      <c r="A150" s="4258"/>
      <c r="B150" s="4258"/>
      <c r="C150" s="4258"/>
      <c r="O150" s="4287"/>
    </row>
    <row r="151" spans="1:15">
      <c r="A151" s="4258"/>
      <c r="B151" s="4258"/>
      <c r="C151" s="4258"/>
      <c r="O151" s="4287"/>
    </row>
    <row r="152" spans="1:15">
      <c r="A152" s="4258"/>
      <c r="B152" s="4258"/>
      <c r="C152" s="4258"/>
      <c r="O152" s="4287"/>
    </row>
    <row r="153" spans="1:15">
      <c r="A153" s="4258"/>
      <c r="B153" s="4258"/>
      <c r="C153" s="4258"/>
      <c r="O153" s="4287"/>
    </row>
    <row r="154" spans="1:15">
      <c r="A154" s="4258"/>
      <c r="B154" s="4258"/>
      <c r="C154" s="4258"/>
      <c r="O154" s="4287"/>
    </row>
    <row r="155" spans="1:15">
      <c r="A155" s="4258"/>
      <c r="B155" s="4258"/>
      <c r="C155" s="4258"/>
      <c r="O155" s="4287"/>
    </row>
    <row r="156" spans="1:15">
      <c r="A156" s="4258"/>
      <c r="B156" s="4258"/>
      <c r="C156" s="4258"/>
      <c r="O156" s="4287"/>
    </row>
    <row r="157" spans="1:15">
      <c r="A157" s="4258"/>
      <c r="B157" s="4258"/>
      <c r="C157" s="4258"/>
      <c r="O157" s="4287"/>
    </row>
    <row r="158" spans="1:15">
      <c r="A158" s="4258"/>
      <c r="B158" s="4258"/>
      <c r="C158" s="4258"/>
      <c r="O158" s="4287"/>
    </row>
    <row r="159" spans="1:15">
      <c r="A159" s="4258"/>
      <c r="B159" s="4258"/>
      <c r="C159" s="4258"/>
      <c r="O159" s="4287"/>
    </row>
    <row r="160" spans="1:15">
      <c r="A160" s="4258"/>
      <c r="B160" s="4258"/>
      <c r="C160" s="4258"/>
      <c r="O160" s="4287"/>
    </row>
    <row r="161" spans="1:15">
      <c r="A161" s="4258"/>
      <c r="B161" s="4258"/>
      <c r="C161" s="4258"/>
      <c r="O161" s="4287"/>
    </row>
    <row r="162" spans="1:15">
      <c r="A162" s="4258"/>
      <c r="B162" s="4258"/>
      <c r="C162" s="4258"/>
      <c r="O162" s="4287"/>
    </row>
    <row r="163" spans="1:15">
      <c r="A163" s="4258"/>
      <c r="B163" s="4258"/>
      <c r="C163" s="4258"/>
      <c r="O163" s="4287"/>
    </row>
    <row r="164" spans="1:15">
      <c r="A164" s="4258"/>
      <c r="B164" s="4258"/>
      <c r="C164" s="4258"/>
      <c r="O164" s="4287"/>
    </row>
    <row r="165" spans="1:15">
      <c r="A165" s="4258"/>
      <c r="B165" s="4258"/>
      <c r="C165" s="4258"/>
      <c r="O165" s="4287"/>
    </row>
    <row r="166" spans="1:15">
      <c r="A166" s="4258"/>
      <c r="B166" s="4258"/>
      <c r="C166" s="4258"/>
      <c r="O166" s="4287"/>
    </row>
    <row r="167" spans="1:15">
      <c r="A167" s="4258"/>
      <c r="B167" s="4258"/>
      <c r="C167" s="4258"/>
      <c r="O167" s="4287"/>
    </row>
    <row r="168" spans="1:15">
      <c r="A168" s="4258"/>
      <c r="B168" s="4258"/>
      <c r="C168" s="4258"/>
      <c r="O168" s="4287"/>
    </row>
    <row r="169" spans="1:15">
      <c r="A169" s="4258"/>
      <c r="B169" s="4258"/>
      <c r="C169" s="4258"/>
      <c r="O169" s="4287"/>
    </row>
    <row r="170" spans="1:15">
      <c r="A170" s="4258"/>
      <c r="B170" s="4258"/>
      <c r="C170" s="4258"/>
      <c r="O170" s="4287"/>
    </row>
    <row r="171" spans="1:15">
      <c r="A171" s="4258"/>
      <c r="B171" s="4258"/>
      <c r="C171" s="4258"/>
      <c r="O171" s="4287"/>
    </row>
    <row r="172" spans="1:15">
      <c r="A172" s="4258"/>
      <c r="B172" s="4258"/>
      <c r="C172" s="4258"/>
      <c r="O172" s="4287"/>
    </row>
    <row r="173" spans="1:15">
      <c r="A173" s="4258"/>
      <c r="B173" s="4258"/>
      <c r="C173" s="4258"/>
      <c r="O173" s="4287"/>
    </row>
    <row r="174" spans="1:15">
      <c r="A174" s="4258"/>
      <c r="B174" s="4258"/>
      <c r="C174" s="4258"/>
      <c r="O174" s="4287"/>
    </row>
    <row r="175" spans="1:15">
      <c r="A175" s="4258"/>
      <c r="B175" s="4258"/>
      <c r="C175" s="4258"/>
      <c r="O175" s="4287"/>
    </row>
    <row r="176" spans="1:15">
      <c r="A176" s="4258"/>
      <c r="B176" s="4258"/>
      <c r="C176" s="4258"/>
      <c r="O176" s="4287"/>
    </row>
    <row r="177" spans="1:15">
      <c r="A177" s="4258"/>
      <c r="B177" s="4258"/>
      <c r="C177" s="4258"/>
      <c r="O177" s="4287"/>
    </row>
    <row r="178" spans="1:15">
      <c r="A178" s="4258"/>
      <c r="B178" s="4258"/>
      <c r="C178" s="4258"/>
      <c r="O178" s="4287"/>
    </row>
    <row r="179" spans="1:15">
      <c r="A179" s="4258"/>
      <c r="B179" s="4258"/>
      <c r="C179" s="4258"/>
      <c r="O179" s="4287"/>
    </row>
    <row r="180" spans="1:15">
      <c r="A180" s="4258"/>
      <c r="B180" s="4258"/>
      <c r="C180" s="4258"/>
      <c r="O180" s="4287"/>
    </row>
    <row r="181" spans="1:15">
      <c r="A181" s="4258"/>
      <c r="B181" s="4258"/>
      <c r="C181" s="4258"/>
      <c r="O181" s="4287"/>
    </row>
    <row r="182" spans="1:15">
      <c r="A182" s="4258"/>
      <c r="B182" s="4258"/>
      <c r="C182" s="4258"/>
      <c r="O182" s="4287"/>
    </row>
    <row r="183" spans="1:15">
      <c r="A183" s="4258"/>
      <c r="B183" s="4258"/>
      <c r="C183" s="4258"/>
      <c r="O183" s="4287"/>
    </row>
    <row r="184" spans="1:15">
      <c r="A184" s="4258"/>
      <c r="B184" s="4258"/>
      <c r="C184" s="4258"/>
      <c r="O184" s="4287"/>
    </row>
    <row r="185" spans="1:15">
      <c r="A185" s="4258"/>
      <c r="B185" s="4258"/>
      <c r="C185" s="4258"/>
      <c r="O185" s="4287"/>
    </row>
    <row r="186" spans="1:15">
      <c r="A186" s="4258"/>
      <c r="B186" s="4258"/>
      <c r="C186" s="4258"/>
      <c r="O186" s="4287"/>
    </row>
    <row r="187" spans="1:15">
      <c r="A187" s="4258"/>
      <c r="B187" s="4258"/>
      <c r="C187" s="4258"/>
      <c r="O187" s="4287"/>
    </row>
    <row r="188" spans="1:15">
      <c r="A188" s="4258"/>
      <c r="B188" s="4258"/>
      <c r="C188" s="4258"/>
      <c r="O188" s="4287"/>
    </row>
    <row r="189" spans="1:15">
      <c r="A189" s="4258"/>
      <c r="B189" s="4258"/>
      <c r="C189" s="4258"/>
      <c r="O189" s="4287"/>
    </row>
    <row r="190" spans="1:15">
      <c r="A190" s="4258"/>
      <c r="B190" s="4258"/>
      <c r="C190" s="4258"/>
      <c r="O190" s="4287"/>
    </row>
    <row r="191" spans="1:15">
      <c r="A191" s="4258"/>
      <c r="B191" s="4258"/>
      <c r="C191" s="4258"/>
      <c r="O191" s="4287"/>
    </row>
    <row r="192" spans="1:15">
      <c r="A192" s="4258"/>
      <c r="B192" s="4258"/>
      <c r="C192" s="4258"/>
      <c r="O192" s="4287"/>
    </row>
    <row r="193" spans="1:15">
      <c r="A193" s="4258"/>
      <c r="B193" s="4258"/>
      <c r="C193" s="4258"/>
      <c r="O193" s="4287"/>
    </row>
    <row r="194" spans="1:15">
      <c r="A194" s="4258"/>
      <c r="B194" s="4258"/>
      <c r="C194" s="4258"/>
      <c r="O194" s="4287"/>
    </row>
    <row r="195" spans="1:15">
      <c r="A195" s="4258"/>
      <c r="B195" s="4258"/>
      <c r="C195" s="4258"/>
      <c r="O195" s="4287"/>
    </row>
    <row r="196" spans="1:15">
      <c r="A196" s="4258"/>
      <c r="B196" s="4258"/>
      <c r="C196" s="4258"/>
      <c r="O196" s="4287"/>
    </row>
    <row r="197" spans="1:15">
      <c r="A197" s="4258"/>
      <c r="B197" s="4258"/>
      <c r="C197" s="4258"/>
      <c r="O197" s="4287"/>
    </row>
    <row r="198" spans="1:15">
      <c r="A198" s="4258"/>
      <c r="B198" s="4258"/>
      <c r="C198" s="4258"/>
      <c r="O198" s="4287"/>
    </row>
    <row r="199" spans="1:15">
      <c r="A199" s="4258"/>
      <c r="B199" s="4258"/>
      <c r="C199" s="4258"/>
      <c r="O199" s="4287"/>
    </row>
    <row r="200" spans="1:15">
      <c r="A200" s="4258"/>
      <c r="B200" s="4258"/>
      <c r="C200" s="4258"/>
      <c r="O200" s="4287"/>
    </row>
    <row r="201" spans="1:15">
      <c r="A201" s="4258"/>
      <c r="B201" s="4258"/>
      <c r="C201" s="4258"/>
      <c r="O201" s="4287"/>
    </row>
    <row r="202" spans="1:15">
      <c r="A202" s="4258"/>
      <c r="B202" s="4258"/>
      <c r="C202" s="4258"/>
      <c r="O202" s="4287"/>
    </row>
    <row r="203" spans="1:15">
      <c r="A203" s="4258"/>
      <c r="B203" s="4258"/>
      <c r="C203" s="4258"/>
      <c r="O203" s="4287"/>
    </row>
    <row r="204" spans="1:15">
      <c r="A204" s="4258"/>
      <c r="B204" s="4258"/>
      <c r="C204" s="4258"/>
      <c r="O204" s="4287"/>
    </row>
    <row r="205" spans="1:15">
      <c r="A205" s="4258"/>
      <c r="B205" s="4258"/>
      <c r="C205" s="4258"/>
      <c r="O205" s="4287"/>
    </row>
    <row r="206" spans="1:15">
      <c r="A206" s="4258"/>
      <c r="B206" s="4258"/>
      <c r="C206" s="4258"/>
      <c r="O206" s="4287"/>
    </row>
    <row r="207" spans="1:15">
      <c r="A207" s="4258"/>
      <c r="B207" s="4258"/>
      <c r="C207" s="4258"/>
      <c r="O207" s="4287"/>
    </row>
    <row r="208" spans="1:15">
      <c r="A208" s="4258"/>
      <c r="B208" s="4258"/>
      <c r="C208" s="4258"/>
      <c r="O208" s="4287"/>
    </row>
    <row r="209" spans="1:15">
      <c r="A209" s="4258"/>
      <c r="B209" s="4258"/>
      <c r="C209" s="4258"/>
      <c r="O209" s="4287"/>
    </row>
    <row r="210" spans="1:15">
      <c r="A210" s="4258"/>
      <c r="B210" s="4258"/>
      <c r="C210" s="4258"/>
      <c r="O210" s="4287"/>
    </row>
    <row r="211" spans="1:15">
      <c r="A211" s="4258"/>
      <c r="B211" s="4258"/>
      <c r="C211" s="4258"/>
      <c r="O211" s="4287"/>
    </row>
    <row r="212" spans="1:15">
      <c r="A212" s="4258"/>
      <c r="B212" s="4258"/>
      <c r="C212" s="4258"/>
      <c r="O212" s="4287"/>
    </row>
    <row r="213" spans="1:15">
      <c r="A213" s="4258"/>
      <c r="B213" s="4258"/>
      <c r="C213" s="4258"/>
      <c r="O213" s="4287"/>
    </row>
    <row r="214" spans="1:15">
      <c r="A214" s="4258"/>
      <c r="B214" s="4258"/>
      <c r="C214" s="4258"/>
      <c r="O214" s="4287"/>
    </row>
    <row r="215" spans="1:15">
      <c r="A215" s="4258"/>
      <c r="B215" s="4258"/>
      <c r="C215" s="4258"/>
      <c r="O215" s="4287"/>
    </row>
    <row r="216" spans="1:15">
      <c r="A216" s="4258"/>
      <c r="B216" s="4258"/>
      <c r="C216" s="4258"/>
      <c r="O216" s="4287"/>
    </row>
    <row r="217" spans="1:15">
      <c r="A217" s="4258"/>
      <c r="B217" s="4258"/>
      <c r="C217" s="4258"/>
      <c r="O217" s="4287"/>
    </row>
    <row r="218" spans="1:15">
      <c r="A218" s="4258"/>
      <c r="B218" s="4258"/>
      <c r="C218" s="4258"/>
      <c r="O218" s="4287"/>
    </row>
    <row r="219" spans="1:15">
      <c r="A219" s="4258"/>
      <c r="B219" s="4258"/>
      <c r="C219" s="4258"/>
      <c r="O219" s="4287"/>
    </row>
    <row r="220" spans="1:15">
      <c r="A220" s="4258"/>
      <c r="B220" s="4258"/>
      <c r="C220" s="4258"/>
      <c r="O220" s="4287"/>
    </row>
    <row r="221" spans="1:15">
      <c r="A221" s="4258"/>
      <c r="B221" s="4258"/>
      <c r="C221" s="4258"/>
      <c r="O221" s="4287"/>
    </row>
    <row r="222" spans="1:15">
      <c r="A222" s="4258"/>
      <c r="B222" s="4258"/>
      <c r="C222" s="4258"/>
      <c r="O222" s="4287"/>
    </row>
    <row r="223" spans="1:15">
      <c r="A223" s="4258"/>
      <c r="B223" s="4258"/>
      <c r="C223" s="4258"/>
      <c r="O223" s="4287"/>
    </row>
    <row r="224" spans="1:15">
      <c r="A224" s="4258"/>
      <c r="B224" s="4258"/>
      <c r="C224" s="4258"/>
      <c r="O224" s="4287"/>
    </row>
    <row r="225" spans="1:15">
      <c r="A225" s="4258"/>
      <c r="B225" s="4258"/>
      <c r="C225" s="4258"/>
      <c r="O225" s="4287"/>
    </row>
    <row r="226" spans="1:15">
      <c r="A226" s="4258"/>
      <c r="B226" s="4258"/>
      <c r="C226" s="4258"/>
      <c r="O226" s="4287"/>
    </row>
    <row r="227" spans="1:15">
      <c r="A227" s="4258"/>
      <c r="B227" s="4258"/>
      <c r="C227" s="4258"/>
      <c r="O227" s="4287"/>
    </row>
    <row r="228" spans="1:15">
      <c r="A228" s="4258"/>
      <c r="B228" s="4258"/>
      <c r="C228" s="4258"/>
      <c r="O228" s="4287"/>
    </row>
    <row r="229" spans="1:15">
      <c r="A229" s="4258"/>
      <c r="B229" s="4258"/>
      <c r="C229" s="4258"/>
      <c r="O229" s="4287"/>
    </row>
    <row r="230" spans="1:15">
      <c r="A230" s="4258"/>
      <c r="B230" s="4258"/>
      <c r="C230" s="4258"/>
      <c r="O230" s="4287"/>
    </row>
    <row r="231" spans="1:15">
      <c r="A231" s="4258"/>
      <c r="B231" s="4258"/>
      <c r="C231" s="4258"/>
      <c r="O231" s="4287"/>
    </row>
    <row r="232" spans="1:15">
      <c r="A232" s="4258"/>
      <c r="B232" s="4258"/>
      <c r="C232" s="4258"/>
      <c r="O232" s="4287"/>
    </row>
    <row r="233" spans="1:15">
      <c r="A233" s="4258"/>
      <c r="B233" s="4258"/>
      <c r="C233" s="4258"/>
      <c r="O233" s="4287"/>
    </row>
    <row r="234" spans="1:15">
      <c r="A234" s="4258"/>
      <c r="B234" s="4258"/>
      <c r="C234" s="4258"/>
      <c r="O234" s="4287"/>
    </row>
    <row r="235" spans="1:15">
      <c r="A235" s="4258"/>
      <c r="B235" s="4258"/>
      <c r="C235" s="4258"/>
      <c r="O235" s="4287"/>
    </row>
    <row r="236" spans="1:15">
      <c r="A236" s="4258"/>
      <c r="B236" s="4258"/>
      <c r="C236" s="4258"/>
      <c r="O236" s="4287"/>
    </row>
    <row r="237" spans="1:15">
      <c r="A237" s="4258"/>
      <c r="B237" s="4258"/>
      <c r="C237" s="4258"/>
      <c r="O237" s="4287"/>
    </row>
    <row r="238" spans="1:15">
      <c r="A238" s="4258"/>
      <c r="B238" s="4258"/>
      <c r="C238" s="4258"/>
      <c r="O238" s="4287"/>
    </row>
    <row r="239" spans="1:15">
      <c r="A239" s="4258"/>
      <c r="B239" s="4258"/>
      <c r="C239" s="4258"/>
      <c r="O239" s="4287"/>
    </row>
    <row r="240" spans="1:15">
      <c r="A240" s="4258"/>
      <c r="B240" s="4258"/>
      <c r="C240" s="4258"/>
      <c r="O240" s="4287"/>
    </row>
    <row r="241" spans="1:15">
      <c r="A241" s="4258"/>
      <c r="B241" s="4258"/>
      <c r="C241" s="4258"/>
      <c r="O241" s="4287"/>
    </row>
    <row r="242" spans="1:15">
      <c r="A242" s="4258"/>
      <c r="B242" s="4258"/>
      <c r="C242" s="4258"/>
      <c r="O242" s="4287"/>
    </row>
    <row r="243" spans="1:15">
      <c r="A243" s="4258"/>
      <c r="B243" s="4258"/>
      <c r="C243" s="4258"/>
      <c r="O243" s="4287"/>
    </row>
    <row r="244" spans="1:15">
      <c r="A244" s="4258"/>
      <c r="B244" s="4258"/>
      <c r="C244" s="4258"/>
      <c r="O244" s="4287"/>
    </row>
    <row r="245" spans="1:15">
      <c r="A245" s="4258"/>
      <c r="B245" s="4258"/>
      <c r="C245" s="4258"/>
      <c r="O245" s="4287"/>
    </row>
    <row r="246" spans="1:15">
      <c r="A246" s="4258"/>
      <c r="B246" s="4258"/>
      <c r="C246" s="4258"/>
      <c r="O246" s="4287"/>
    </row>
    <row r="247" spans="1:15">
      <c r="A247" s="4258"/>
      <c r="B247" s="4258"/>
      <c r="C247" s="4258"/>
      <c r="O247" s="4287"/>
    </row>
    <row r="248" spans="1:15">
      <c r="A248" s="4258"/>
      <c r="B248" s="4258"/>
      <c r="C248" s="4258"/>
      <c r="O248" s="4287"/>
    </row>
    <row r="249" spans="1:15">
      <c r="A249" s="4258"/>
      <c r="B249" s="4258"/>
      <c r="C249" s="4258"/>
      <c r="O249" s="4287"/>
    </row>
    <row r="250" spans="1:15">
      <c r="A250" s="4258"/>
      <c r="B250" s="4258"/>
      <c r="C250" s="4258"/>
      <c r="O250" s="4287"/>
    </row>
    <row r="251" spans="1:15">
      <c r="A251" s="4258"/>
      <c r="B251" s="4258"/>
      <c r="C251" s="4258"/>
      <c r="O251" s="4287"/>
    </row>
    <row r="252" spans="1:15">
      <c r="A252" s="4258"/>
      <c r="B252" s="4258"/>
      <c r="C252" s="4258"/>
      <c r="O252" s="4287"/>
    </row>
    <row r="253" spans="1:15">
      <c r="A253" s="4258"/>
      <c r="B253" s="4258"/>
      <c r="C253" s="4258"/>
      <c r="O253" s="4287"/>
    </row>
    <row r="254" spans="1:15">
      <c r="O254" s="4288"/>
    </row>
    <row r="255" spans="1:15">
      <c r="O255" s="4288"/>
    </row>
    <row r="256" spans="1:15">
      <c r="O256" s="4288"/>
    </row>
    <row r="257" spans="15:15">
      <c r="O257" s="4288"/>
    </row>
    <row r="258" spans="15:15">
      <c r="O258" s="4288"/>
    </row>
    <row r="259" spans="15:15">
      <c r="O259" s="4288"/>
    </row>
    <row r="260" spans="15:15">
      <c r="O260" s="4288"/>
    </row>
    <row r="261" spans="15:15">
      <c r="O261" s="4288"/>
    </row>
    <row r="262" spans="15:15">
      <c r="O262" s="4288"/>
    </row>
    <row r="263" spans="15:15">
      <c r="O263" s="4288"/>
    </row>
    <row r="264" spans="15:15">
      <c r="O264" s="4288"/>
    </row>
    <row r="265" spans="15:15">
      <c r="O265" s="4288"/>
    </row>
    <row r="266" spans="15:15">
      <c r="O266" s="4288"/>
    </row>
    <row r="267" spans="15:15">
      <c r="O267" s="4288"/>
    </row>
    <row r="268" spans="15:15">
      <c r="O268" s="4288"/>
    </row>
    <row r="269" spans="15:15">
      <c r="O269" s="4288"/>
    </row>
    <row r="270" spans="15:15">
      <c r="O270" s="4288"/>
    </row>
    <row r="271" spans="15:15">
      <c r="O271" s="4288"/>
    </row>
    <row r="272" spans="15:15">
      <c r="O272" s="4288"/>
    </row>
    <row r="273" spans="15:15">
      <c r="O273" s="4288"/>
    </row>
    <row r="274" spans="15:15">
      <c r="O274" s="4288"/>
    </row>
    <row r="275" spans="15:15">
      <c r="O275" s="4288"/>
    </row>
    <row r="276" spans="15:15">
      <c r="O276" s="4288"/>
    </row>
    <row r="277" spans="15:15">
      <c r="O277" s="4288"/>
    </row>
    <row r="278" spans="15:15">
      <c r="O278" s="4288"/>
    </row>
    <row r="279" spans="15:15">
      <c r="O279" s="4288"/>
    </row>
    <row r="280" spans="15:15">
      <c r="O280" s="4288"/>
    </row>
    <row r="281" spans="15:15">
      <c r="O281" s="4288"/>
    </row>
    <row r="282" spans="15:15">
      <c r="O282" s="4288"/>
    </row>
    <row r="283" spans="15:15">
      <c r="O283" s="4288"/>
    </row>
    <row r="284" spans="15:15">
      <c r="O284" s="4288"/>
    </row>
    <row r="285" spans="15:15">
      <c r="O285" s="4288"/>
    </row>
    <row r="286" spans="15:15">
      <c r="O286" s="4288"/>
    </row>
    <row r="287" spans="15:15">
      <c r="O287" s="4288"/>
    </row>
    <row r="288" spans="15:15">
      <c r="O288" s="4288"/>
    </row>
    <row r="289" spans="15:15">
      <c r="O289" s="4288"/>
    </row>
    <row r="290" spans="15:15">
      <c r="O290" s="4288"/>
    </row>
    <row r="291" spans="15:15">
      <c r="O291" s="4288"/>
    </row>
    <row r="292" spans="15:15">
      <c r="O292" s="4288"/>
    </row>
    <row r="293" spans="15:15">
      <c r="O293" s="4288"/>
    </row>
    <row r="294" spans="15:15">
      <c r="O294" s="4288"/>
    </row>
    <row r="295" spans="15:15">
      <c r="O295" s="4288"/>
    </row>
    <row r="296" spans="15:15">
      <c r="O296" s="4288"/>
    </row>
    <row r="297" spans="15:15">
      <c r="O297" s="4288"/>
    </row>
    <row r="298" spans="15:15">
      <c r="O298" s="4288"/>
    </row>
    <row r="299" spans="15:15">
      <c r="O299" s="4288"/>
    </row>
    <row r="300" spans="15:15">
      <c r="O300" s="4288"/>
    </row>
    <row r="301" spans="15:15">
      <c r="O301" s="4288"/>
    </row>
    <row r="302" spans="15:15">
      <c r="O302" s="4288"/>
    </row>
    <row r="303" spans="15:15">
      <c r="O303" s="4288"/>
    </row>
    <row r="304" spans="15:15">
      <c r="O304" s="4288"/>
    </row>
    <row r="305" spans="15:15">
      <c r="O305" s="4288"/>
    </row>
    <row r="306" spans="15:15">
      <c r="O306" s="4288"/>
    </row>
    <row r="307" spans="15:15">
      <c r="O307" s="4288"/>
    </row>
    <row r="308" spans="15:15">
      <c r="O308" s="4288"/>
    </row>
    <row r="309" spans="15:15">
      <c r="O309" s="4288"/>
    </row>
    <row r="310" spans="15:15">
      <c r="O310" s="4288"/>
    </row>
    <row r="311" spans="15:15">
      <c r="O311" s="4288"/>
    </row>
    <row r="312" spans="15:15">
      <c r="O312" s="4288"/>
    </row>
    <row r="313" spans="15:15">
      <c r="O313" s="4288"/>
    </row>
    <row r="314" spans="15:15">
      <c r="O314" s="4288"/>
    </row>
    <row r="315" spans="15:15">
      <c r="O315" s="4288"/>
    </row>
    <row r="316" spans="15:15">
      <c r="O316" s="4288"/>
    </row>
    <row r="317" spans="15:15">
      <c r="O317" s="4288"/>
    </row>
    <row r="318" spans="15:15">
      <c r="O318" s="4288"/>
    </row>
    <row r="319" spans="15:15">
      <c r="O319" s="4288"/>
    </row>
    <row r="320" spans="15:15">
      <c r="O320" s="4288"/>
    </row>
    <row r="321" spans="15:15">
      <c r="O321" s="4288"/>
    </row>
    <row r="322" spans="15:15">
      <c r="O322" s="4288"/>
    </row>
    <row r="323" spans="15:15">
      <c r="O323" s="4288"/>
    </row>
    <row r="324" spans="15:15">
      <c r="O324" s="4288"/>
    </row>
    <row r="325" spans="15:15">
      <c r="O325" s="4288"/>
    </row>
    <row r="326" spans="15:15">
      <c r="O326" s="4288"/>
    </row>
    <row r="327" spans="15:15">
      <c r="O327" s="4288"/>
    </row>
    <row r="328" spans="15:15">
      <c r="O328" s="4288"/>
    </row>
    <row r="329" spans="15:15">
      <c r="O329" s="4288"/>
    </row>
    <row r="330" spans="15:15">
      <c r="O330" s="4288"/>
    </row>
    <row r="331" spans="15:15">
      <c r="O331" s="4288"/>
    </row>
    <row r="332" spans="15:15">
      <c r="O332" s="4288"/>
    </row>
    <row r="333" spans="15:15">
      <c r="O333" s="4288"/>
    </row>
    <row r="334" spans="15:15">
      <c r="O334" s="4288"/>
    </row>
    <row r="335" spans="15:15">
      <c r="O335" s="4288"/>
    </row>
    <row r="336" spans="15:15">
      <c r="O336" s="4288"/>
    </row>
    <row r="337" spans="15:15">
      <c r="O337" s="4288"/>
    </row>
    <row r="338" spans="15:15">
      <c r="O338" s="4288"/>
    </row>
    <row r="339" spans="15:15">
      <c r="O339" s="4288"/>
    </row>
    <row r="340" spans="15:15">
      <c r="O340" s="4288"/>
    </row>
    <row r="341" spans="15:15">
      <c r="O341" s="4288"/>
    </row>
    <row r="342" spans="15:15">
      <c r="O342" s="4288"/>
    </row>
    <row r="343" spans="15:15">
      <c r="O343" s="4288"/>
    </row>
    <row r="344" spans="15:15">
      <c r="O344" s="4288"/>
    </row>
    <row r="345" spans="15:15">
      <c r="O345" s="4288"/>
    </row>
    <row r="346" spans="15:15">
      <c r="O346" s="4288"/>
    </row>
    <row r="347" spans="15:15">
      <c r="O347" s="4288"/>
    </row>
    <row r="348" spans="15:15">
      <c r="O348" s="4288"/>
    </row>
    <row r="349" spans="15:15">
      <c r="O349" s="4288"/>
    </row>
    <row r="350" spans="15:15">
      <c r="O350" s="4288"/>
    </row>
    <row r="351" spans="15:15">
      <c r="O351" s="4288"/>
    </row>
    <row r="352" spans="15:15">
      <c r="O352" s="4288"/>
    </row>
    <row r="353" spans="15:15">
      <c r="O353" s="4288"/>
    </row>
    <row r="354" spans="15:15">
      <c r="O354" s="4288"/>
    </row>
    <row r="355" spans="15:15">
      <c r="O355" s="4288"/>
    </row>
    <row r="356" spans="15:15">
      <c r="O356" s="4288"/>
    </row>
    <row r="357" spans="15:15">
      <c r="O357" s="4288"/>
    </row>
    <row r="358" spans="15:15">
      <c r="O358" s="4288"/>
    </row>
    <row r="359" spans="15:15">
      <c r="O359" s="4288"/>
    </row>
    <row r="360" spans="15:15">
      <c r="O360" s="4288"/>
    </row>
    <row r="361" spans="15:15">
      <c r="O361" s="4288"/>
    </row>
    <row r="362" spans="15:15">
      <c r="O362" s="4288"/>
    </row>
    <row r="363" spans="15:15">
      <c r="O363" s="4288"/>
    </row>
    <row r="364" spans="15:15">
      <c r="O364" s="4288"/>
    </row>
    <row r="365" spans="15:15">
      <c r="O365" s="4288"/>
    </row>
    <row r="366" spans="15:15">
      <c r="O366" s="4288"/>
    </row>
    <row r="367" spans="15:15">
      <c r="O367" s="4288"/>
    </row>
    <row r="368" spans="15:15">
      <c r="O368" s="4288"/>
    </row>
    <row r="369" spans="15:15">
      <c r="O369" s="4288"/>
    </row>
    <row r="370" spans="15:15">
      <c r="O370" s="4288"/>
    </row>
    <row r="371" spans="15:15">
      <c r="O371" s="4288"/>
    </row>
    <row r="372" spans="15:15">
      <c r="O372" s="4288"/>
    </row>
    <row r="373" spans="15:15">
      <c r="O373" s="4288"/>
    </row>
    <row r="374" spans="15:15">
      <c r="O374" s="4288"/>
    </row>
    <row r="375" spans="15:15">
      <c r="O375" s="4288"/>
    </row>
    <row r="376" spans="15:15">
      <c r="O376" s="4288"/>
    </row>
    <row r="377" spans="15:15">
      <c r="O377" s="4288"/>
    </row>
    <row r="378" spans="15:15">
      <c r="O378" s="4288"/>
    </row>
    <row r="379" spans="15:15">
      <c r="O379" s="4288"/>
    </row>
    <row r="380" spans="15:15">
      <c r="O380" s="4288"/>
    </row>
    <row r="381" spans="15:15">
      <c r="O381" s="4288"/>
    </row>
    <row r="382" spans="15:15">
      <c r="O382" s="4288"/>
    </row>
    <row r="383" spans="15:15">
      <c r="O383" s="4288"/>
    </row>
    <row r="384" spans="15:15">
      <c r="O384" s="4288"/>
    </row>
    <row r="385" spans="15:15">
      <c r="O385" s="4288"/>
    </row>
    <row r="386" spans="15:15">
      <c r="O386" s="4288"/>
    </row>
    <row r="387" spans="15:15">
      <c r="O387" s="4288"/>
    </row>
    <row r="388" spans="15:15">
      <c r="O388" s="4288"/>
    </row>
    <row r="389" spans="15:15">
      <c r="O389" s="4288"/>
    </row>
    <row r="390" spans="15:15">
      <c r="O390" s="4288"/>
    </row>
    <row r="391" spans="15:15">
      <c r="O391" s="4288"/>
    </row>
    <row r="392" spans="15:15">
      <c r="O392" s="4288"/>
    </row>
    <row r="393" spans="15:15">
      <c r="O393" s="4288"/>
    </row>
    <row r="394" spans="15:15">
      <c r="O394" s="4288"/>
    </row>
    <row r="395" spans="15:15">
      <c r="O395" s="4288"/>
    </row>
    <row r="396" spans="15:15">
      <c r="O396" s="4288"/>
    </row>
    <row r="397" spans="15:15">
      <c r="O397" s="4288"/>
    </row>
    <row r="398" spans="15:15">
      <c r="O398" s="4288"/>
    </row>
    <row r="399" spans="15:15">
      <c r="O399" s="4288"/>
    </row>
    <row r="400" spans="15:15">
      <c r="O400" s="4288"/>
    </row>
    <row r="401" spans="15:15">
      <c r="O401" s="4288"/>
    </row>
    <row r="402" spans="15:15">
      <c r="O402" s="4288"/>
    </row>
    <row r="403" spans="15:15">
      <c r="O403" s="4288"/>
    </row>
    <row r="404" spans="15:15">
      <c r="O404" s="4288"/>
    </row>
    <row r="405" spans="15:15">
      <c r="O405" s="4288"/>
    </row>
    <row r="406" spans="15:15">
      <c r="O406" s="4288"/>
    </row>
    <row r="407" spans="15:15">
      <c r="O407" s="4288"/>
    </row>
    <row r="408" spans="15:15">
      <c r="O408" s="4288"/>
    </row>
    <row r="409" spans="15:15">
      <c r="O409" s="4288"/>
    </row>
    <row r="410" spans="15:15">
      <c r="O410" s="4288"/>
    </row>
    <row r="411" spans="15:15">
      <c r="O411" s="4288"/>
    </row>
    <row r="412" spans="15:15">
      <c r="O412" s="4288"/>
    </row>
    <row r="413" spans="15:15">
      <c r="O413" s="4288"/>
    </row>
    <row r="414" spans="15:15">
      <c r="O414" s="4288"/>
    </row>
    <row r="415" spans="15:15">
      <c r="O415" s="4288"/>
    </row>
    <row r="416" spans="15:15">
      <c r="O416" s="4288"/>
    </row>
    <row r="417" spans="15:15">
      <c r="O417" s="4288"/>
    </row>
    <row r="418" spans="15:15">
      <c r="O418" s="4288"/>
    </row>
    <row r="419" spans="15:15">
      <c r="O419" s="4288"/>
    </row>
    <row r="420" spans="15:15">
      <c r="O420" s="4288"/>
    </row>
    <row r="421" spans="15:15">
      <c r="O421" s="4288"/>
    </row>
    <row r="422" spans="15:15">
      <c r="O422" s="4288"/>
    </row>
    <row r="423" spans="15:15">
      <c r="O423" s="4288"/>
    </row>
    <row r="424" spans="15:15">
      <c r="O424" s="4288"/>
    </row>
    <row r="425" spans="15:15">
      <c r="O425" s="4288"/>
    </row>
    <row r="426" spans="15:15">
      <c r="O426" s="4288"/>
    </row>
    <row r="427" spans="15:15">
      <c r="O427" s="4288"/>
    </row>
    <row r="428" spans="15:15">
      <c r="O428" s="4288"/>
    </row>
    <row r="429" spans="15:15">
      <c r="O429" s="4288"/>
    </row>
    <row r="430" spans="15:15">
      <c r="O430" s="4288"/>
    </row>
    <row r="431" spans="15:15">
      <c r="O431" s="4288"/>
    </row>
    <row r="432" spans="15:15">
      <c r="O432" s="4288"/>
    </row>
    <row r="433" spans="15:15">
      <c r="O433" s="4288"/>
    </row>
    <row r="434" spans="15:15">
      <c r="O434" s="4288"/>
    </row>
    <row r="435" spans="15:15">
      <c r="O435" s="4288"/>
    </row>
    <row r="436" spans="15:15">
      <c r="O436" s="4288"/>
    </row>
    <row r="437" spans="15:15">
      <c r="O437" s="4288"/>
    </row>
    <row r="438" spans="15:15">
      <c r="O438" s="4288"/>
    </row>
    <row r="439" spans="15:15">
      <c r="O439" s="4288"/>
    </row>
    <row r="440" spans="15:15">
      <c r="O440" s="4288"/>
    </row>
    <row r="441" spans="15:15">
      <c r="O441" s="4288"/>
    </row>
    <row r="442" spans="15:15">
      <c r="O442" s="4288"/>
    </row>
    <row r="443" spans="15:15">
      <c r="O443" s="4288"/>
    </row>
    <row r="444" spans="15:15">
      <c r="O444" s="4288"/>
    </row>
    <row r="445" spans="15:15">
      <c r="O445" s="4288"/>
    </row>
    <row r="446" spans="15:15">
      <c r="O446" s="4288"/>
    </row>
    <row r="447" spans="15:15">
      <c r="O447" s="4288"/>
    </row>
    <row r="448" spans="15:15">
      <c r="O448" s="4288"/>
    </row>
    <row r="449" spans="15:15">
      <c r="O449" s="4288"/>
    </row>
    <row r="450" spans="15:15">
      <c r="O450" s="4288"/>
    </row>
    <row r="451" spans="15:15">
      <c r="O451" s="4288"/>
    </row>
    <row r="452" spans="15:15">
      <c r="O452" s="4288"/>
    </row>
    <row r="453" spans="15:15">
      <c r="O453" s="4288"/>
    </row>
    <row r="454" spans="15:15">
      <c r="O454" s="4288"/>
    </row>
    <row r="455" spans="15:15">
      <c r="O455" s="4288"/>
    </row>
    <row r="456" spans="15:15">
      <c r="O456" s="4288"/>
    </row>
    <row r="457" spans="15:15">
      <c r="O457" s="4288"/>
    </row>
    <row r="458" spans="15:15">
      <c r="O458" s="4288"/>
    </row>
    <row r="459" spans="15:15">
      <c r="O459" s="4288"/>
    </row>
    <row r="460" spans="15:15">
      <c r="O460" s="4288"/>
    </row>
    <row r="461" spans="15:15">
      <c r="O461" s="4288"/>
    </row>
    <row r="462" spans="15:15">
      <c r="O462" s="4288"/>
    </row>
    <row r="463" spans="15:15">
      <c r="O463" s="4288"/>
    </row>
    <row r="464" spans="15:15">
      <c r="O464" s="4288"/>
    </row>
    <row r="465" spans="15:15">
      <c r="O465" s="4288"/>
    </row>
    <row r="466" spans="15:15">
      <c r="O466" s="4288"/>
    </row>
    <row r="467" spans="15:15">
      <c r="O467" s="4288"/>
    </row>
    <row r="468" spans="15:15">
      <c r="O468" s="4288"/>
    </row>
    <row r="469" spans="15:15">
      <c r="O469" s="4288"/>
    </row>
    <row r="470" spans="15:15">
      <c r="O470" s="4288"/>
    </row>
    <row r="471" spans="15:15">
      <c r="O471" s="4288"/>
    </row>
    <row r="472" spans="15:15">
      <c r="O472" s="4288"/>
    </row>
    <row r="473" spans="15:15">
      <c r="O473" s="4288"/>
    </row>
    <row r="474" spans="15:15">
      <c r="O474" s="4288"/>
    </row>
    <row r="475" spans="15:15">
      <c r="O475" s="4288"/>
    </row>
    <row r="476" spans="15:15">
      <c r="O476" s="4288"/>
    </row>
    <row r="477" spans="15:15">
      <c r="O477" s="4288"/>
    </row>
    <row r="478" spans="15:15">
      <c r="O478" s="4288"/>
    </row>
    <row r="479" spans="15:15">
      <c r="O479" s="4288"/>
    </row>
    <row r="480" spans="15:15">
      <c r="O480" s="4288"/>
    </row>
    <row r="481" spans="15:15">
      <c r="O481" s="4288"/>
    </row>
    <row r="482" spans="15:15">
      <c r="O482" s="4288"/>
    </row>
    <row r="483" spans="15:15">
      <c r="O483" s="4288"/>
    </row>
    <row r="484" spans="15:15">
      <c r="O484" s="4288"/>
    </row>
    <row r="485" spans="15:15">
      <c r="O485" s="4288"/>
    </row>
    <row r="486" spans="15:15">
      <c r="O486" s="4288"/>
    </row>
    <row r="487" spans="15:15">
      <c r="O487" s="4288"/>
    </row>
    <row r="488" spans="15:15">
      <c r="O488" s="4288"/>
    </row>
    <row r="489" spans="15:15">
      <c r="O489" s="4288"/>
    </row>
    <row r="490" spans="15:15">
      <c r="O490" s="4288"/>
    </row>
    <row r="491" spans="15:15">
      <c r="O491" s="4288"/>
    </row>
    <row r="492" spans="15:15">
      <c r="O492" s="4288"/>
    </row>
    <row r="493" spans="15:15">
      <c r="O493" s="4288"/>
    </row>
    <row r="494" spans="15:15">
      <c r="O494" s="4288"/>
    </row>
    <row r="495" spans="15:15">
      <c r="O495" s="4288"/>
    </row>
    <row r="496" spans="15:15">
      <c r="O496" s="4288"/>
    </row>
    <row r="497" spans="15:15">
      <c r="O497" s="4288"/>
    </row>
    <row r="498" spans="15:15">
      <c r="O498" s="4288"/>
    </row>
    <row r="499" spans="15:15">
      <c r="O499" s="4288"/>
    </row>
    <row r="500" spans="15:15">
      <c r="O500" s="4288"/>
    </row>
    <row r="501" spans="15:15">
      <c r="O501" s="4288"/>
    </row>
    <row r="502" spans="15:15">
      <c r="O502" s="4288"/>
    </row>
    <row r="503" spans="15:15">
      <c r="O503" s="4288"/>
    </row>
    <row r="504" spans="15:15">
      <c r="O504" s="4288"/>
    </row>
    <row r="505" spans="15:15">
      <c r="O505" s="4288"/>
    </row>
    <row r="506" spans="15:15">
      <c r="O506" s="4288"/>
    </row>
    <row r="507" spans="15:15">
      <c r="O507" s="4288"/>
    </row>
    <row r="508" spans="15:15">
      <c r="O508" s="4288"/>
    </row>
    <row r="509" spans="15:15">
      <c r="O509" s="4288"/>
    </row>
    <row r="510" spans="15:15">
      <c r="O510" s="4288"/>
    </row>
    <row r="511" spans="15:15">
      <c r="O511" s="4288"/>
    </row>
    <row r="512" spans="15:15">
      <c r="O512" s="4288"/>
    </row>
    <row r="513" spans="15:15">
      <c r="O513" s="4288"/>
    </row>
    <row r="514" spans="15:15">
      <c r="O514" s="4288"/>
    </row>
    <row r="515" spans="15:15">
      <c r="O515" s="4288"/>
    </row>
    <row r="516" spans="15:15">
      <c r="O516" s="4288"/>
    </row>
    <row r="517" spans="15:15">
      <c r="O517" s="4288"/>
    </row>
    <row r="518" spans="15:15">
      <c r="O518" s="4288"/>
    </row>
    <row r="519" spans="15:15">
      <c r="O519" s="4288"/>
    </row>
    <row r="520" spans="15:15">
      <c r="O520" s="4288"/>
    </row>
    <row r="521" spans="15:15">
      <c r="O521" s="4288"/>
    </row>
    <row r="522" spans="15:15">
      <c r="O522" s="4288"/>
    </row>
    <row r="523" spans="15:15">
      <c r="O523" s="4288"/>
    </row>
    <row r="524" spans="15:15">
      <c r="O524" s="4288"/>
    </row>
    <row r="525" spans="15:15">
      <c r="O525" s="4288"/>
    </row>
    <row r="526" spans="15:15">
      <c r="O526" s="4288"/>
    </row>
    <row r="527" spans="15:15">
      <c r="O527" s="4288"/>
    </row>
    <row r="528" spans="15:15">
      <c r="O528" s="4288"/>
    </row>
    <row r="529" spans="15:15">
      <c r="O529" s="4288"/>
    </row>
    <row r="530" spans="15:15">
      <c r="O530" s="4288"/>
    </row>
    <row r="531" spans="15:15">
      <c r="O531" s="4288"/>
    </row>
    <row r="532" spans="15:15">
      <c r="O532" s="4288"/>
    </row>
    <row r="533" spans="15:15">
      <c r="O533" s="4288"/>
    </row>
    <row r="534" spans="15:15">
      <c r="O534" s="4288"/>
    </row>
    <row r="535" spans="15:15">
      <c r="O535" s="4288"/>
    </row>
    <row r="536" spans="15:15">
      <c r="O536" s="4288"/>
    </row>
    <row r="537" spans="15:15">
      <c r="O537" s="4288"/>
    </row>
    <row r="538" spans="15:15">
      <c r="O538" s="4288"/>
    </row>
    <row r="539" spans="15:15">
      <c r="O539" s="4288"/>
    </row>
    <row r="540" spans="15:15">
      <c r="O540" s="4288"/>
    </row>
    <row r="541" spans="15:15">
      <c r="O541" s="4288"/>
    </row>
    <row r="542" spans="15:15">
      <c r="O542" s="4288"/>
    </row>
    <row r="543" spans="15:15">
      <c r="O543" s="4288"/>
    </row>
    <row r="544" spans="15:15">
      <c r="O544" s="4288"/>
    </row>
    <row r="545" spans="15:15">
      <c r="O545" s="4288"/>
    </row>
    <row r="546" spans="15:15">
      <c r="O546" s="4288"/>
    </row>
    <row r="547" spans="15:15">
      <c r="O547" s="4288"/>
    </row>
    <row r="548" spans="15:15">
      <c r="O548" s="4288"/>
    </row>
    <row r="549" spans="15:15">
      <c r="O549" s="4288"/>
    </row>
    <row r="550" spans="15:15">
      <c r="O550" s="4288"/>
    </row>
    <row r="551" spans="15:15">
      <c r="O551" s="4288"/>
    </row>
    <row r="552" spans="15:15">
      <c r="O552" s="4288"/>
    </row>
    <row r="553" spans="15:15">
      <c r="O553" s="4288"/>
    </row>
    <row r="554" spans="15:15">
      <c r="O554" s="4288"/>
    </row>
    <row r="555" spans="15:15">
      <c r="O555" s="4288"/>
    </row>
    <row r="556" spans="15:15">
      <c r="O556" s="4288"/>
    </row>
    <row r="557" spans="15:15">
      <c r="O557" s="4288"/>
    </row>
    <row r="558" spans="15:15">
      <c r="O558" s="4288"/>
    </row>
    <row r="559" spans="15:15">
      <c r="O559" s="4288"/>
    </row>
    <row r="560" spans="15:15">
      <c r="O560" s="4288"/>
    </row>
    <row r="561" spans="15:15">
      <c r="O561" s="4288"/>
    </row>
    <row r="562" spans="15:15">
      <c r="O562" s="4288"/>
    </row>
    <row r="563" spans="15:15">
      <c r="O563" s="4288"/>
    </row>
    <row r="564" spans="15:15">
      <c r="O564" s="4288"/>
    </row>
    <row r="565" spans="15:15">
      <c r="O565" s="4288"/>
    </row>
    <row r="566" spans="15:15">
      <c r="O566" s="4288"/>
    </row>
    <row r="567" spans="15:15">
      <c r="O567" s="4288"/>
    </row>
    <row r="568" spans="15:15">
      <c r="O568" s="4288"/>
    </row>
    <row r="569" spans="15:15">
      <c r="O569" s="4288"/>
    </row>
    <row r="570" spans="15:15">
      <c r="O570" s="4288"/>
    </row>
    <row r="571" spans="15:15">
      <c r="O571" s="4288"/>
    </row>
    <row r="572" spans="15:15">
      <c r="O572" s="4288"/>
    </row>
    <row r="573" spans="15:15">
      <c r="O573" s="4288"/>
    </row>
    <row r="574" spans="15:15">
      <c r="O574" s="4288"/>
    </row>
    <row r="575" spans="15:15">
      <c r="O575" s="4288"/>
    </row>
    <row r="576" spans="15:15">
      <c r="O576" s="4288"/>
    </row>
    <row r="577" spans="15:15">
      <c r="O577" s="4288"/>
    </row>
    <row r="578" spans="15:15">
      <c r="O578" s="4288"/>
    </row>
    <row r="579" spans="15:15">
      <c r="O579" s="4288"/>
    </row>
    <row r="580" spans="15:15">
      <c r="O580" s="4288"/>
    </row>
    <row r="581" spans="15:15">
      <c r="O581" s="4288"/>
    </row>
    <row r="582" spans="15:15">
      <c r="O582" s="4288"/>
    </row>
    <row r="583" spans="15:15">
      <c r="O583" s="4288"/>
    </row>
    <row r="584" spans="15:15">
      <c r="O584" s="4288"/>
    </row>
    <row r="585" spans="15:15">
      <c r="O585" s="4288"/>
    </row>
    <row r="586" spans="15:15">
      <c r="O586" s="4288"/>
    </row>
    <row r="587" spans="15:15">
      <c r="O587" s="4288"/>
    </row>
    <row r="588" spans="15:15">
      <c r="O588" s="4288"/>
    </row>
    <row r="589" spans="15:15">
      <c r="O589" s="4288"/>
    </row>
    <row r="590" spans="15:15">
      <c r="O590" s="4288"/>
    </row>
    <row r="591" spans="15:15">
      <c r="O591" s="4288"/>
    </row>
    <row r="592" spans="15:15">
      <c r="O592" s="4288"/>
    </row>
    <row r="593" spans="15:15">
      <c r="O593" s="4288"/>
    </row>
    <row r="594" spans="15:15">
      <c r="O594" s="4288"/>
    </row>
    <row r="595" spans="15:15">
      <c r="O595" s="4288"/>
    </row>
    <row r="596" spans="15:15">
      <c r="O596" s="4288"/>
    </row>
    <row r="597" spans="15:15">
      <c r="O597" s="4288"/>
    </row>
    <row r="598" spans="15:15">
      <c r="O598" s="4288"/>
    </row>
    <row r="599" spans="15:15">
      <c r="O599" s="4288"/>
    </row>
    <row r="600" spans="15:15">
      <c r="O600" s="4288"/>
    </row>
    <row r="601" spans="15:15">
      <c r="O601" s="4288"/>
    </row>
    <row r="602" spans="15:15">
      <c r="O602" s="4288"/>
    </row>
    <row r="603" spans="15:15">
      <c r="O603" s="4288"/>
    </row>
    <row r="604" spans="15:15">
      <c r="O604" s="4288"/>
    </row>
    <row r="605" spans="15:15">
      <c r="O605" s="4288"/>
    </row>
    <row r="606" spans="15:15">
      <c r="O606" s="4288"/>
    </row>
    <row r="607" spans="15:15">
      <c r="O607" s="4288"/>
    </row>
    <row r="608" spans="15:15">
      <c r="O608" s="4288"/>
    </row>
    <row r="609" spans="15:15">
      <c r="O609" s="4288"/>
    </row>
    <row r="610" spans="15:15">
      <c r="O610" s="4288"/>
    </row>
    <row r="611" spans="15:15">
      <c r="O611" s="4288"/>
    </row>
    <row r="612" spans="15:15">
      <c r="O612" s="4288"/>
    </row>
    <row r="613" spans="15:15">
      <c r="O613" s="4288"/>
    </row>
    <row r="614" spans="15:15">
      <c r="O614" s="4288"/>
    </row>
    <row r="615" spans="15:15">
      <c r="O615" s="4288"/>
    </row>
    <row r="616" spans="15:15">
      <c r="O616" s="4288"/>
    </row>
    <row r="617" spans="15:15">
      <c r="O617" s="4288"/>
    </row>
    <row r="618" spans="15:15">
      <c r="O618" s="4288"/>
    </row>
    <row r="619" spans="15:15">
      <c r="O619" s="4288"/>
    </row>
    <row r="620" spans="15:15">
      <c r="O620" s="4288"/>
    </row>
    <row r="621" spans="15:15">
      <c r="O621" s="4288"/>
    </row>
    <row r="622" spans="15:15">
      <c r="O622" s="4288"/>
    </row>
    <row r="623" spans="15:15">
      <c r="O623" s="4288"/>
    </row>
    <row r="624" spans="15:15">
      <c r="O624" s="4288"/>
    </row>
    <row r="625" spans="15:15">
      <c r="O625" s="4288"/>
    </row>
    <row r="626" spans="15:15">
      <c r="O626" s="4288"/>
    </row>
    <row r="627" spans="15:15">
      <c r="O627" s="4288"/>
    </row>
    <row r="628" spans="15:15">
      <c r="O628" s="4288"/>
    </row>
    <row r="629" spans="15:15">
      <c r="O629" s="4288"/>
    </row>
    <row r="630" spans="15:15">
      <c r="O630" s="4288"/>
    </row>
    <row r="631" spans="15:15">
      <c r="O631" s="4288"/>
    </row>
    <row r="632" spans="15:15">
      <c r="O632" s="4288"/>
    </row>
    <row r="633" spans="15:15">
      <c r="O633" s="4288"/>
    </row>
    <row r="634" spans="15:15">
      <c r="O634" s="4288"/>
    </row>
    <row r="635" spans="15:15">
      <c r="O635" s="4288"/>
    </row>
    <row r="636" spans="15:15">
      <c r="O636" s="4288"/>
    </row>
    <row r="637" spans="15:15">
      <c r="O637" s="4288"/>
    </row>
    <row r="638" spans="15:15">
      <c r="O638" s="4288"/>
    </row>
    <row r="639" spans="15:15">
      <c r="O639" s="4288"/>
    </row>
    <row r="640" spans="15:15">
      <c r="O640" s="4288"/>
    </row>
    <row r="641" spans="15:15">
      <c r="O641" s="4288"/>
    </row>
    <row r="642" spans="15:15">
      <c r="O642" s="4288"/>
    </row>
    <row r="643" spans="15:15">
      <c r="O643" s="4288"/>
    </row>
    <row r="644" spans="15:15">
      <c r="O644" s="4288"/>
    </row>
    <row r="645" spans="15:15">
      <c r="O645" s="4288"/>
    </row>
    <row r="646" spans="15:15">
      <c r="O646" s="4288"/>
    </row>
    <row r="647" spans="15:15">
      <c r="O647" s="4288"/>
    </row>
    <row r="648" spans="15:15">
      <c r="O648" s="4288"/>
    </row>
    <row r="649" spans="15:15">
      <c r="O649" s="4288"/>
    </row>
    <row r="650" spans="15:15">
      <c r="O650" s="4288"/>
    </row>
    <row r="651" spans="15:15">
      <c r="O651" s="4288"/>
    </row>
    <row r="652" spans="15:15">
      <c r="O652" s="4288"/>
    </row>
    <row r="653" spans="15:15">
      <c r="O653" s="4288"/>
    </row>
    <row r="654" spans="15:15">
      <c r="O654" s="4288"/>
    </row>
    <row r="655" spans="15:15">
      <c r="O655" s="4288"/>
    </row>
    <row r="656" spans="15:15">
      <c r="O656" s="4288"/>
    </row>
    <row r="657" spans="15:15">
      <c r="O657" s="4288"/>
    </row>
    <row r="658" spans="15:15">
      <c r="O658" s="4288"/>
    </row>
    <row r="659" spans="15:15">
      <c r="O659" s="4288"/>
    </row>
    <row r="660" spans="15:15">
      <c r="O660" s="4288"/>
    </row>
    <row r="661" spans="15:15">
      <c r="O661" s="4288"/>
    </row>
    <row r="662" spans="15:15">
      <c r="O662" s="4288"/>
    </row>
    <row r="663" spans="15:15">
      <c r="O663" s="4288"/>
    </row>
    <row r="664" spans="15:15">
      <c r="O664" s="4288"/>
    </row>
    <row r="665" spans="15:15">
      <c r="O665" s="4288"/>
    </row>
    <row r="666" spans="15:15">
      <c r="O666" s="4288"/>
    </row>
    <row r="667" spans="15:15">
      <c r="O667" s="4288"/>
    </row>
    <row r="668" spans="15:15">
      <c r="O668" s="4288"/>
    </row>
    <row r="669" spans="15:15">
      <c r="O669" s="4288"/>
    </row>
    <row r="670" spans="15:15">
      <c r="O670" s="4288"/>
    </row>
    <row r="671" spans="15:15">
      <c r="O671" s="4288"/>
    </row>
    <row r="672" spans="15:15">
      <c r="O672" s="4288"/>
    </row>
    <row r="673" spans="15:15">
      <c r="O673" s="4288"/>
    </row>
    <row r="674" spans="15:15">
      <c r="O674" s="4288"/>
    </row>
    <row r="675" spans="15:15">
      <c r="O675" s="4288"/>
    </row>
    <row r="676" spans="15:15">
      <c r="O676" s="4288"/>
    </row>
    <row r="677" spans="15:15">
      <c r="O677" s="4288"/>
    </row>
    <row r="678" spans="15:15">
      <c r="O678" s="4288"/>
    </row>
    <row r="679" spans="15:15">
      <c r="O679" s="4288"/>
    </row>
    <row r="680" spans="15:15">
      <c r="O680" s="4288"/>
    </row>
    <row r="681" spans="15:15">
      <c r="O681" s="4288"/>
    </row>
    <row r="682" spans="15:15">
      <c r="O682" s="4288"/>
    </row>
    <row r="683" spans="15:15">
      <c r="O683" s="4288"/>
    </row>
    <row r="684" spans="15:15">
      <c r="O684" s="4288"/>
    </row>
    <row r="685" spans="15:15">
      <c r="O685" s="4288"/>
    </row>
    <row r="686" spans="15:15">
      <c r="O686" s="4288"/>
    </row>
    <row r="687" spans="15:15">
      <c r="O687" s="4288"/>
    </row>
    <row r="688" spans="15:15">
      <c r="O688" s="4288"/>
    </row>
    <row r="689" spans="15:15">
      <c r="O689" s="4288"/>
    </row>
    <row r="690" spans="15:15">
      <c r="O690" s="4288"/>
    </row>
    <row r="691" spans="15:15">
      <c r="O691" s="4288"/>
    </row>
    <row r="692" spans="15:15">
      <c r="O692" s="4288"/>
    </row>
    <row r="693" spans="15:15">
      <c r="O693" s="4288"/>
    </row>
    <row r="694" spans="15:15">
      <c r="O694" s="4288"/>
    </row>
    <row r="695" spans="15:15">
      <c r="O695" s="4288"/>
    </row>
    <row r="696" spans="15:15">
      <c r="O696" s="4288"/>
    </row>
    <row r="697" spans="15:15">
      <c r="O697" s="4288"/>
    </row>
    <row r="698" spans="15:15">
      <c r="O698" s="4288"/>
    </row>
    <row r="699" spans="15:15">
      <c r="O699" s="4288"/>
    </row>
    <row r="700" spans="15:15">
      <c r="O700" s="4288"/>
    </row>
    <row r="701" spans="15:15">
      <c r="O701" s="4288"/>
    </row>
    <row r="702" spans="15:15">
      <c r="O702" s="4288"/>
    </row>
    <row r="703" spans="15:15">
      <c r="O703" s="4288"/>
    </row>
    <row r="704" spans="15:15">
      <c r="O704" s="4288"/>
    </row>
    <row r="705" spans="15:15">
      <c r="O705" s="4288"/>
    </row>
    <row r="706" spans="15:15">
      <c r="O706" s="4288"/>
    </row>
    <row r="707" spans="15:15">
      <c r="O707" s="4288"/>
    </row>
    <row r="708" spans="15:15">
      <c r="O708" s="4288"/>
    </row>
    <row r="709" spans="15:15">
      <c r="O709" s="4288"/>
    </row>
    <row r="710" spans="15:15">
      <c r="O710" s="4288"/>
    </row>
    <row r="711" spans="15:15">
      <c r="O711" s="4288"/>
    </row>
    <row r="712" spans="15:15">
      <c r="O712" s="4288"/>
    </row>
    <row r="713" spans="15:15">
      <c r="O713" s="4288"/>
    </row>
    <row r="714" spans="15:15">
      <c r="O714" s="4288"/>
    </row>
    <row r="715" spans="15:15">
      <c r="O715" s="4288"/>
    </row>
    <row r="716" spans="15:15">
      <c r="O716" s="4288"/>
    </row>
    <row r="717" spans="15:15">
      <c r="O717" s="4288"/>
    </row>
    <row r="718" spans="15:15">
      <c r="O718" s="4288"/>
    </row>
    <row r="719" spans="15:15">
      <c r="O719" s="4288"/>
    </row>
    <row r="720" spans="15:15">
      <c r="O720" s="4288"/>
    </row>
    <row r="721" spans="15:15">
      <c r="O721" s="4288"/>
    </row>
    <row r="722" spans="15:15">
      <c r="O722" s="4288"/>
    </row>
    <row r="723" spans="15:15">
      <c r="O723" s="4288"/>
    </row>
    <row r="724" spans="15:15">
      <c r="O724" s="4288"/>
    </row>
    <row r="725" spans="15:15">
      <c r="O725" s="4288"/>
    </row>
    <row r="726" spans="15:15">
      <c r="O726" s="4288"/>
    </row>
    <row r="727" spans="15:15">
      <c r="O727" s="4288"/>
    </row>
    <row r="728" spans="15:15">
      <c r="O728" s="4288"/>
    </row>
    <row r="729" spans="15:15">
      <c r="O729" s="4288"/>
    </row>
    <row r="730" spans="15:15">
      <c r="O730" s="4288"/>
    </row>
    <row r="731" spans="15:15">
      <c r="O731" s="4288"/>
    </row>
    <row r="732" spans="15:15">
      <c r="O732" s="4288"/>
    </row>
    <row r="733" spans="15:15">
      <c r="O733" s="4288"/>
    </row>
    <row r="734" spans="15:15">
      <c r="O734" s="4288"/>
    </row>
    <row r="735" spans="15:15">
      <c r="O735" s="4288"/>
    </row>
    <row r="736" spans="15:15">
      <c r="O736" s="4288"/>
    </row>
    <row r="737" spans="15:15">
      <c r="O737" s="4288"/>
    </row>
    <row r="738" spans="15:15">
      <c r="O738" s="4288"/>
    </row>
    <row r="739" spans="15:15">
      <c r="O739" s="4288"/>
    </row>
    <row r="740" spans="15:15">
      <c r="O740" s="4288"/>
    </row>
    <row r="741" spans="15:15">
      <c r="O741" s="4288"/>
    </row>
    <row r="742" spans="15:15">
      <c r="O742" s="4288"/>
    </row>
    <row r="743" spans="15:15">
      <c r="O743" s="4288"/>
    </row>
    <row r="744" spans="15:15">
      <c r="O744" s="4288"/>
    </row>
    <row r="745" spans="15:15">
      <c r="O745" s="4288"/>
    </row>
    <row r="746" spans="15:15">
      <c r="O746" s="4288"/>
    </row>
    <row r="747" spans="15:15">
      <c r="O747" s="4288"/>
    </row>
    <row r="748" spans="15:15">
      <c r="O748" s="4288"/>
    </row>
    <row r="749" spans="15:15">
      <c r="O749" s="4288"/>
    </row>
    <row r="750" spans="15:15">
      <c r="O750" s="4288"/>
    </row>
    <row r="751" spans="15:15">
      <c r="O751" s="4288"/>
    </row>
    <row r="752" spans="15:15">
      <c r="O752" s="4288"/>
    </row>
    <row r="753" spans="15:15">
      <c r="O753" s="4288"/>
    </row>
    <row r="754" spans="15:15">
      <c r="O754" s="4288"/>
    </row>
    <row r="755" spans="15:15">
      <c r="O755" s="4288"/>
    </row>
    <row r="756" spans="15:15">
      <c r="O756" s="4288"/>
    </row>
    <row r="757" spans="15:15">
      <c r="O757" s="4288"/>
    </row>
    <row r="758" spans="15:15">
      <c r="O758" s="4288"/>
    </row>
    <row r="759" spans="15:15">
      <c r="O759" s="4288"/>
    </row>
    <row r="760" spans="15:15">
      <c r="O760" s="4288"/>
    </row>
    <row r="761" spans="15:15">
      <c r="O761" s="4288"/>
    </row>
    <row r="762" spans="15:15">
      <c r="O762" s="4288"/>
    </row>
    <row r="763" spans="15:15">
      <c r="O763" s="4288"/>
    </row>
    <row r="764" spans="15:15">
      <c r="O764" s="4288"/>
    </row>
    <row r="765" spans="15:15">
      <c r="O765" s="4288"/>
    </row>
    <row r="766" spans="15:15">
      <c r="O766" s="4288"/>
    </row>
    <row r="767" spans="15:15">
      <c r="O767" s="4288"/>
    </row>
    <row r="768" spans="15:15">
      <c r="O768" s="4288"/>
    </row>
    <row r="769" spans="15:15">
      <c r="O769" s="4288"/>
    </row>
    <row r="770" spans="15:15">
      <c r="O770" s="4288"/>
    </row>
    <row r="771" spans="15:15">
      <c r="O771" s="4288"/>
    </row>
    <row r="772" spans="15:15">
      <c r="O772" s="4288"/>
    </row>
    <row r="773" spans="15:15">
      <c r="O773" s="4288"/>
    </row>
    <row r="774" spans="15:15">
      <c r="O774" s="4288"/>
    </row>
    <row r="775" spans="15:15">
      <c r="O775" s="4288"/>
    </row>
    <row r="776" spans="15:15">
      <c r="O776" s="4288"/>
    </row>
    <row r="777" spans="15:15">
      <c r="O777" s="4288"/>
    </row>
    <row r="778" spans="15:15">
      <c r="O778" s="4288"/>
    </row>
    <row r="779" spans="15:15">
      <c r="O779" s="4288"/>
    </row>
    <row r="780" spans="15:15">
      <c r="O780" s="4288"/>
    </row>
    <row r="781" spans="15:15">
      <c r="O781" s="4288"/>
    </row>
    <row r="782" spans="15:15">
      <c r="O782" s="4288"/>
    </row>
    <row r="783" spans="15:15">
      <c r="O783" s="4288"/>
    </row>
    <row r="784" spans="15:15">
      <c r="O784" s="4288"/>
    </row>
    <row r="785" spans="15:15">
      <c r="O785" s="4288"/>
    </row>
    <row r="786" spans="15:15">
      <c r="O786" s="4288"/>
    </row>
    <row r="787" spans="15:15">
      <c r="O787" s="4288"/>
    </row>
    <row r="788" spans="15:15">
      <c r="O788" s="4288"/>
    </row>
    <row r="789" spans="15:15">
      <c r="O789" s="4288"/>
    </row>
    <row r="790" spans="15:15">
      <c r="O790" s="4288"/>
    </row>
    <row r="791" spans="15:15">
      <c r="O791" s="4288"/>
    </row>
    <row r="792" spans="15:15">
      <c r="O792" s="4288"/>
    </row>
    <row r="793" spans="15:15">
      <c r="O793" s="4288"/>
    </row>
    <row r="794" spans="15:15">
      <c r="O794" s="4288"/>
    </row>
    <row r="795" spans="15:15">
      <c r="O795" s="4288"/>
    </row>
    <row r="796" spans="15:15">
      <c r="O796" s="4288"/>
    </row>
    <row r="797" spans="15:15">
      <c r="O797" s="4288"/>
    </row>
    <row r="798" spans="15:15">
      <c r="O798" s="4288"/>
    </row>
    <row r="799" spans="15:15">
      <c r="O799" s="4288"/>
    </row>
    <row r="800" spans="15:15">
      <c r="O800" s="4288"/>
    </row>
    <row r="801" spans="15:15">
      <c r="O801" s="4288"/>
    </row>
    <row r="802" spans="15:15">
      <c r="O802" s="4288"/>
    </row>
    <row r="803" spans="15:15">
      <c r="O803" s="4288"/>
    </row>
    <row r="804" spans="15:15">
      <c r="O804" s="4288"/>
    </row>
    <row r="805" spans="15:15">
      <c r="O805" s="4288"/>
    </row>
    <row r="806" spans="15:15">
      <c r="O806" s="4288"/>
    </row>
    <row r="807" spans="15:15">
      <c r="O807" s="4288"/>
    </row>
    <row r="808" spans="15:15">
      <c r="O808" s="4288"/>
    </row>
    <row r="809" spans="15:15">
      <c r="O809" s="4288"/>
    </row>
    <row r="810" spans="15:15">
      <c r="O810" s="4288"/>
    </row>
    <row r="811" spans="15:15">
      <c r="O811" s="4288"/>
    </row>
    <row r="812" spans="15:15">
      <c r="O812" s="4288"/>
    </row>
    <row r="813" spans="15:15">
      <c r="O813" s="4288"/>
    </row>
    <row r="814" spans="15:15">
      <c r="O814" s="4288"/>
    </row>
    <row r="815" spans="15:15">
      <c r="O815" s="4288"/>
    </row>
    <row r="816" spans="15:15">
      <c r="O816" s="4288"/>
    </row>
    <row r="817" spans="15:15">
      <c r="O817" s="4288"/>
    </row>
    <row r="818" spans="15:15">
      <c r="O818" s="4288"/>
    </row>
    <row r="819" spans="15:15">
      <c r="O819" s="4288"/>
    </row>
    <row r="820" spans="15:15">
      <c r="O820" s="4288"/>
    </row>
    <row r="821" spans="15:15">
      <c r="O821" s="4288"/>
    </row>
    <row r="822" spans="15:15">
      <c r="O822" s="4288"/>
    </row>
    <row r="823" spans="15:15">
      <c r="O823" s="4288"/>
    </row>
    <row r="824" spans="15:15">
      <c r="O824" s="4288"/>
    </row>
    <row r="825" spans="15:15">
      <c r="O825" s="4288"/>
    </row>
    <row r="826" spans="15:15">
      <c r="O826" s="4288"/>
    </row>
    <row r="827" spans="15:15">
      <c r="O827" s="4288"/>
    </row>
    <row r="828" spans="15:15">
      <c r="O828" s="4288"/>
    </row>
    <row r="829" spans="15:15">
      <c r="O829" s="4288"/>
    </row>
    <row r="830" spans="15:15">
      <c r="O830" s="4288"/>
    </row>
    <row r="831" spans="15:15">
      <c r="O831" s="4288"/>
    </row>
    <row r="832" spans="15:15">
      <c r="O832" s="4288"/>
    </row>
    <row r="833" spans="15:15">
      <c r="O833" s="4288"/>
    </row>
    <row r="834" spans="15:15">
      <c r="O834" s="4288"/>
    </row>
    <row r="835" spans="15:15">
      <c r="O835" s="4288"/>
    </row>
    <row r="836" spans="15:15">
      <c r="O836" s="4288"/>
    </row>
    <row r="837" spans="15:15">
      <c r="O837" s="4288"/>
    </row>
    <row r="838" spans="15:15">
      <c r="O838" s="4288"/>
    </row>
    <row r="839" spans="15:15">
      <c r="O839" s="4288"/>
    </row>
    <row r="840" spans="15:15">
      <c r="O840" s="4288"/>
    </row>
    <row r="841" spans="15:15">
      <c r="O841" s="4288"/>
    </row>
    <row r="842" spans="15:15">
      <c r="O842" s="4288"/>
    </row>
    <row r="843" spans="15:15">
      <c r="O843" s="4288"/>
    </row>
    <row r="844" spans="15:15">
      <c r="O844" s="4288"/>
    </row>
    <row r="845" spans="15:15">
      <c r="O845" s="4288"/>
    </row>
    <row r="846" spans="15:15">
      <c r="O846" s="4288"/>
    </row>
    <row r="847" spans="15:15">
      <c r="O847" s="4288"/>
    </row>
    <row r="848" spans="15:15">
      <c r="O848" s="4288"/>
    </row>
    <row r="849" spans="15:15">
      <c r="O849" s="4288"/>
    </row>
    <row r="850" spans="15:15">
      <c r="O850" s="4288"/>
    </row>
    <row r="851" spans="15:15">
      <c r="O851" s="4288"/>
    </row>
    <row r="852" spans="15:15">
      <c r="O852" s="4288"/>
    </row>
    <row r="853" spans="15:15">
      <c r="O853" s="4288"/>
    </row>
    <row r="854" spans="15:15">
      <c r="O854" s="4288"/>
    </row>
    <row r="855" spans="15:15">
      <c r="O855" s="4288"/>
    </row>
    <row r="856" spans="15:15">
      <c r="O856" s="4288"/>
    </row>
    <row r="857" spans="15:15">
      <c r="O857" s="4288"/>
    </row>
    <row r="858" spans="15:15">
      <c r="O858" s="4288"/>
    </row>
    <row r="859" spans="15:15">
      <c r="O859" s="4288"/>
    </row>
    <row r="860" spans="15:15">
      <c r="O860" s="4288"/>
    </row>
    <row r="861" spans="15:15">
      <c r="O861" s="4288"/>
    </row>
    <row r="862" spans="15:15">
      <c r="O862" s="4288"/>
    </row>
    <row r="863" spans="15:15">
      <c r="O863" s="4288"/>
    </row>
    <row r="864" spans="15:15">
      <c r="O864" s="4288"/>
    </row>
    <row r="865" spans="15:15">
      <c r="O865" s="4288"/>
    </row>
    <row r="866" spans="15:15">
      <c r="O866" s="4288"/>
    </row>
    <row r="867" spans="15:15">
      <c r="O867" s="4288"/>
    </row>
    <row r="868" spans="15:15">
      <c r="O868" s="4288"/>
    </row>
    <row r="869" spans="15:15">
      <c r="O869" s="4288"/>
    </row>
    <row r="870" spans="15:15">
      <c r="O870" s="4288"/>
    </row>
    <row r="871" spans="15:15">
      <c r="O871" s="4288"/>
    </row>
    <row r="872" spans="15:15">
      <c r="O872" s="4288"/>
    </row>
    <row r="873" spans="15:15">
      <c r="O873" s="4288"/>
    </row>
    <row r="874" spans="15:15">
      <c r="O874" s="4288"/>
    </row>
    <row r="875" spans="15:15">
      <c r="O875" s="4288"/>
    </row>
    <row r="876" spans="15:15">
      <c r="O876" s="4288"/>
    </row>
    <row r="877" spans="15:15">
      <c r="O877" s="4288"/>
    </row>
    <row r="878" spans="15:15">
      <c r="O878" s="4288"/>
    </row>
    <row r="879" spans="15:15">
      <c r="O879" s="4288"/>
    </row>
    <row r="880" spans="15:15">
      <c r="O880" s="4288"/>
    </row>
    <row r="881" spans="15:15">
      <c r="O881" s="4288"/>
    </row>
    <row r="882" spans="15:15">
      <c r="O882" s="4288"/>
    </row>
    <row r="883" spans="15:15">
      <c r="O883" s="4288"/>
    </row>
    <row r="884" spans="15:15">
      <c r="O884" s="4288"/>
    </row>
    <row r="885" spans="15:15">
      <c r="O885" s="4288"/>
    </row>
    <row r="886" spans="15:15">
      <c r="O886" s="4288"/>
    </row>
    <row r="887" spans="15:15">
      <c r="O887" s="4288"/>
    </row>
    <row r="888" spans="15:15">
      <c r="O888" s="4288"/>
    </row>
    <row r="889" spans="15:15">
      <c r="O889" s="4288"/>
    </row>
    <row r="890" spans="15:15">
      <c r="O890" s="4288"/>
    </row>
    <row r="891" spans="15:15">
      <c r="O891" s="4288"/>
    </row>
    <row r="892" spans="15:15">
      <c r="O892" s="4288"/>
    </row>
    <row r="893" spans="15:15">
      <c r="O893" s="4288"/>
    </row>
    <row r="894" spans="15:15">
      <c r="O894" s="4288"/>
    </row>
    <row r="895" spans="15:15">
      <c r="O895" s="4288"/>
    </row>
    <row r="896" spans="15:15">
      <c r="O896" s="4288"/>
    </row>
    <row r="897" spans="15:15">
      <c r="O897" s="4288"/>
    </row>
    <row r="898" spans="15:15">
      <c r="O898" s="4288"/>
    </row>
    <row r="899" spans="15:15">
      <c r="O899" s="4288"/>
    </row>
    <row r="900" spans="15:15">
      <c r="O900" s="4288"/>
    </row>
    <row r="901" spans="15:15">
      <c r="O901" s="4288"/>
    </row>
    <row r="902" spans="15:15">
      <c r="O902" s="4288"/>
    </row>
    <row r="903" spans="15:15">
      <c r="O903" s="4288"/>
    </row>
    <row r="904" spans="15:15">
      <c r="O904" s="4288"/>
    </row>
    <row r="905" spans="15:15">
      <c r="O905" s="4288"/>
    </row>
    <row r="906" spans="15:15">
      <c r="O906" s="4288"/>
    </row>
    <row r="907" spans="15:15">
      <c r="O907" s="4288"/>
    </row>
    <row r="908" spans="15:15">
      <c r="O908" s="4288"/>
    </row>
    <row r="909" spans="15:15">
      <c r="O909" s="4288"/>
    </row>
    <row r="910" spans="15:15">
      <c r="O910" s="4288"/>
    </row>
    <row r="911" spans="15:15">
      <c r="O911" s="4288"/>
    </row>
    <row r="912" spans="15:15">
      <c r="O912" s="4288"/>
    </row>
    <row r="913" spans="15:15">
      <c r="O913" s="4288"/>
    </row>
    <row r="914" spans="15:15">
      <c r="O914" s="4288"/>
    </row>
    <row r="915" spans="15:15">
      <c r="O915" s="4288"/>
    </row>
    <row r="916" spans="15:15">
      <c r="O916" s="4288"/>
    </row>
    <row r="917" spans="15:15">
      <c r="O917" s="4288"/>
    </row>
    <row r="918" spans="15:15">
      <c r="O918" s="4288"/>
    </row>
    <row r="919" spans="15:15">
      <c r="O919" s="4288"/>
    </row>
    <row r="920" spans="15:15">
      <c r="O920" s="4288"/>
    </row>
    <row r="921" spans="15:15">
      <c r="O921" s="4288"/>
    </row>
    <row r="922" spans="15:15">
      <c r="O922" s="4288"/>
    </row>
    <row r="923" spans="15:15">
      <c r="O923" s="4288"/>
    </row>
    <row r="924" spans="15:15">
      <c r="O924" s="4288"/>
    </row>
    <row r="925" spans="15:15">
      <c r="O925" s="4288"/>
    </row>
    <row r="926" spans="15:15">
      <c r="O926" s="4288"/>
    </row>
    <row r="927" spans="15:15">
      <c r="O927" s="4288"/>
    </row>
    <row r="928" spans="15:15">
      <c r="O928" s="4288"/>
    </row>
    <row r="929" spans="15:15">
      <c r="O929" s="4288"/>
    </row>
    <row r="930" spans="15:15">
      <c r="O930" s="4288"/>
    </row>
    <row r="931" spans="15:15">
      <c r="O931" s="4288"/>
    </row>
    <row r="932" spans="15:15">
      <c r="O932" s="4288"/>
    </row>
    <row r="933" spans="15:15">
      <c r="O933" s="4288"/>
    </row>
    <row r="934" spans="15:15">
      <c r="O934" s="4288"/>
    </row>
    <row r="935" spans="15:15">
      <c r="O935" s="4288"/>
    </row>
    <row r="936" spans="15:15">
      <c r="O936" s="4288"/>
    </row>
    <row r="937" spans="15:15">
      <c r="O937" s="4288"/>
    </row>
    <row r="938" spans="15:15">
      <c r="O938" s="4288"/>
    </row>
    <row r="939" spans="15:15">
      <c r="O939" s="4288"/>
    </row>
    <row r="940" spans="15:15">
      <c r="O940" s="4288"/>
    </row>
    <row r="941" spans="15:15">
      <c r="O941" s="4288"/>
    </row>
    <row r="942" spans="15:15">
      <c r="O942" s="4288"/>
    </row>
    <row r="943" spans="15:15">
      <c r="O943" s="4288"/>
    </row>
    <row r="944" spans="15:15">
      <c r="O944" s="4288"/>
    </row>
    <row r="945" spans="15:15">
      <c r="O945" s="4288"/>
    </row>
    <row r="946" spans="15:15">
      <c r="O946" s="4288"/>
    </row>
    <row r="947" spans="15:15">
      <c r="O947" s="4288"/>
    </row>
    <row r="948" spans="15:15">
      <c r="O948" s="4288"/>
    </row>
    <row r="949" spans="15:15">
      <c r="O949" s="4288"/>
    </row>
    <row r="950" spans="15:15">
      <c r="O950" s="4288"/>
    </row>
    <row r="951" spans="15:15">
      <c r="O951" s="4288"/>
    </row>
    <row r="952" spans="15:15">
      <c r="O952" s="4288"/>
    </row>
    <row r="953" spans="15:15">
      <c r="O953" s="4288"/>
    </row>
    <row r="954" spans="15:15">
      <c r="O954" s="4288"/>
    </row>
    <row r="955" spans="15:15">
      <c r="O955" s="4288"/>
    </row>
    <row r="956" spans="15:15">
      <c r="O956" s="4288"/>
    </row>
    <row r="957" spans="15:15">
      <c r="O957" s="4288"/>
    </row>
    <row r="958" spans="15:15">
      <c r="O958" s="4288"/>
    </row>
    <row r="959" spans="15:15">
      <c r="O959" s="4288"/>
    </row>
    <row r="960" spans="15:15">
      <c r="O960" s="4288"/>
    </row>
    <row r="961" spans="15:15">
      <c r="O961" s="4288"/>
    </row>
    <row r="962" spans="15:15">
      <c r="O962" s="4288"/>
    </row>
    <row r="963" spans="15:15">
      <c r="O963" s="4288"/>
    </row>
    <row r="964" spans="15:15">
      <c r="O964" s="4288"/>
    </row>
    <row r="965" spans="15:15">
      <c r="O965" s="4288"/>
    </row>
    <row r="966" spans="15:15">
      <c r="O966" s="4288"/>
    </row>
    <row r="967" spans="15:15">
      <c r="O967" s="4288"/>
    </row>
    <row r="968" spans="15:15">
      <c r="O968" s="4288"/>
    </row>
    <row r="969" spans="15:15">
      <c r="O969" s="4288"/>
    </row>
    <row r="970" spans="15:15">
      <c r="O970" s="4288"/>
    </row>
    <row r="971" spans="15:15">
      <c r="O971" s="4288"/>
    </row>
    <row r="972" spans="15:15">
      <c r="O972" s="4288"/>
    </row>
    <row r="973" spans="15:15">
      <c r="O973" s="4288"/>
    </row>
    <row r="974" spans="15:15">
      <c r="O974" s="4288"/>
    </row>
    <row r="975" spans="15:15">
      <c r="O975" s="4288"/>
    </row>
    <row r="976" spans="15:15">
      <c r="O976" s="4288"/>
    </row>
    <row r="977" spans="15:15">
      <c r="O977" s="4288"/>
    </row>
    <row r="978" spans="15:15">
      <c r="O978" s="4288"/>
    </row>
    <row r="979" spans="15:15">
      <c r="O979" s="4288"/>
    </row>
    <row r="980" spans="15:15">
      <c r="O980" s="4288"/>
    </row>
    <row r="981" spans="15:15">
      <c r="O981" s="4288"/>
    </row>
    <row r="982" spans="15:15">
      <c r="O982" s="4288"/>
    </row>
    <row r="983" spans="15:15">
      <c r="O983" s="4288"/>
    </row>
    <row r="984" spans="15:15">
      <c r="O984" s="4288"/>
    </row>
    <row r="985" spans="15:15">
      <c r="O985" s="4288"/>
    </row>
    <row r="986" spans="15:15">
      <c r="O986" s="4288"/>
    </row>
    <row r="987" spans="15:15">
      <c r="O987" s="4288"/>
    </row>
    <row r="988" spans="15:15">
      <c r="O988" s="4288"/>
    </row>
    <row r="989" spans="15:15">
      <c r="O989" s="4288"/>
    </row>
    <row r="990" spans="15:15">
      <c r="O990" s="4288"/>
    </row>
    <row r="991" spans="15:15">
      <c r="O991" s="4288"/>
    </row>
    <row r="992" spans="15:15">
      <c r="O992" s="4288"/>
    </row>
    <row r="993" spans="15:15">
      <c r="O993" s="4288"/>
    </row>
    <row r="994" spans="15:15">
      <c r="O994" s="4288"/>
    </row>
    <row r="995" spans="15:15">
      <c r="O995" s="4288"/>
    </row>
    <row r="996" spans="15:15">
      <c r="O996" s="4288"/>
    </row>
    <row r="997" spans="15:15">
      <c r="O997" s="4288"/>
    </row>
    <row r="998" spans="15:15">
      <c r="O998" s="4288"/>
    </row>
    <row r="999" spans="15:15">
      <c r="O999" s="4288"/>
    </row>
    <row r="1000" spans="15:15">
      <c r="O1000" s="4288"/>
    </row>
    <row r="1001" spans="15:15">
      <c r="O1001" s="4288"/>
    </row>
    <row r="1002" spans="15:15">
      <c r="O1002" s="4288"/>
    </row>
    <row r="1003" spans="15:15">
      <c r="O1003" s="4288"/>
    </row>
    <row r="1004" spans="15:15">
      <c r="O1004" s="4288"/>
    </row>
    <row r="1005" spans="15:15">
      <c r="O1005" s="4288"/>
    </row>
    <row r="1006" spans="15:15">
      <c r="O1006" s="4288"/>
    </row>
    <row r="1007" spans="15:15">
      <c r="O1007" s="4288"/>
    </row>
    <row r="1008" spans="15:15">
      <c r="O1008" s="4288"/>
    </row>
    <row r="1009" spans="15:15">
      <c r="O1009" s="4288"/>
    </row>
    <row r="1010" spans="15:15">
      <c r="O1010" s="4288"/>
    </row>
    <row r="1011" spans="15:15">
      <c r="O1011" s="4288"/>
    </row>
    <row r="1012" spans="15:15">
      <c r="O1012" s="4288"/>
    </row>
    <row r="1013" spans="15:15">
      <c r="O1013" s="4288"/>
    </row>
    <row r="1014" spans="15:15">
      <c r="O1014" s="4288"/>
    </row>
    <row r="1015" spans="15:15">
      <c r="O1015" s="4288"/>
    </row>
    <row r="1016" spans="15:15">
      <c r="O1016" s="4288"/>
    </row>
    <row r="1017" spans="15:15">
      <c r="O1017" s="4288"/>
    </row>
    <row r="1018" spans="15:15">
      <c r="O1018" s="4288"/>
    </row>
    <row r="1019" spans="15:15">
      <c r="O1019" s="4288"/>
    </row>
    <row r="1020" spans="15:15">
      <c r="O1020" s="4288"/>
    </row>
    <row r="1021" spans="15:15">
      <c r="O1021" s="4288"/>
    </row>
    <row r="1022" spans="15:15">
      <c r="O1022" s="4288"/>
    </row>
    <row r="1023" spans="15:15">
      <c r="O1023" s="4288"/>
    </row>
    <row r="1024" spans="15:15">
      <c r="O1024" s="4288"/>
    </row>
    <row r="1025" spans="15:15">
      <c r="O1025" s="4288"/>
    </row>
    <row r="1026" spans="15:15">
      <c r="O1026" s="4288"/>
    </row>
    <row r="1027" spans="15:15">
      <c r="O1027" s="4288"/>
    </row>
    <row r="1028" spans="15:15">
      <c r="O1028" s="4288"/>
    </row>
    <row r="1029" spans="15:15">
      <c r="O1029" s="4288"/>
    </row>
    <row r="1030" spans="15:15">
      <c r="O1030" s="4288"/>
    </row>
    <row r="1031" spans="15:15">
      <c r="O1031" s="4288"/>
    </row>
    <row r="1032" spans="15:15">
      <c r="O1032" s="4288"/>
    </row>
    <row r="1033" spans="15:15">
      <c r="O1033" s="4288"/>
    </row>
    <row r="1034" spans="15:15">
      <c r="O1034" s="4288"/>
    </row>
    <row r="1035" spans="15:15">
      <c r="O1035" s="4288"/>
    </row>
    <row r="1036" spans="15:15">
      <c r="O1036" s="4288"/>
    </row>
    <row r="1037" spans="15:15">
      <c r="O1037" s="4288"/>
    </row>
    <row r="1038" spans="15:15">
      <c r="O1038" s="4288"/>
    </row>
    <row r="1039" spans="15:15">
      <c r="O1039" s="4288"/>
    </row>
    <row r="1040" spans="15:15">
      <c r="O1040" s="4288"/>
    </row>
    <row r="1041" spans="15:15">
      <c r="O1041" s="4288"/>
    </row>
    <row r="1042" spans="15:15">
      <c r="O1042" s="4288"/>
    </row>
    <row r="1043" spans="15:15">
      <c r="O1043" s="4288"/>
    </row>
    <row r="1044" spans="15:15">
      <c r="O1044" s="4288"/>
    </row>
    <row r="1045" spans="15:15">
      <c r="O1045" s="4288"/>
    </row>
    <row r="1046" spans="15:15">
      <c r="O1046" s="4288"/>
    </row>
    <row r="1047" spans="15:15">
      <c r="O1047" s="4288"/>
    </row>
    <row r="1048" spans="15:15">
      <c r="O1048" s="4288"/>
    </row>
    <row r="1049" spans="15:15">
      <c r="O1049" s="4288"/>
    </row>
    <row r="1050" spans="15:15">
      <c r="O1050" s="4288"/>
    </row>
    <row r="1051" spans="15:15">
      <c r="O1051" s="4288"/>
    </row>
    <row r="1052" spans="15:15">
      <c r="O1052" s="4288"/>
    </row>
    <row r="1053" spans="15:15">
      <c r="O1053" s="4288"/>
    </row>
    <row r="1054" spans="15:15">
      <c r="O1054" s="4288"/>
    </row>
    <row r="1055" spans="15:15">
      <c r="O1055" s="4288"/>
    </row>
    <row r="1056" spans="15:15">
      <c r="O1056" s="4288"/>
    </row>
    <row r="1057" spans="15:15">
      <c r="O1057" s="4288"/>
    </row>
    <row r="1058" spans="15:15">
      <c r="O1058" s="4288"/>
    </row>
    <row r="1059" spans="15:15">
      <c r="O1059" s="4288"/>
    </row>
    <row r="1060" spans="15:15">
      <c r="O1060" s="4288"/>
    </row>
    <row r="1061" spans="15:15">
      <c r="O1061" s="4288"/>
    </row>
    <row r="1062" spans="15:15">
      <c r="O1062" s="4288"/>
    </row>
    <row r="1063" spans="15:15">
      <c r="O1063" s="4288"/>
    </row>
    <row r="1064" spans="15:15">
      <c r="O1064" s="4288"/>
    </row>
    <row r="1065" spans="15:15">
      <c r="O1065" s="4288"/>
    </row>
    <row r="1066" spans="15:15">
      <c r="O1066" s="4288"/>
    </row>
    <row r="1067" spans="15:15">
      <c r="O1067" s="4288"/>
    </row>
    <row r="1068" spans="15:15">
      <c r="O1068" s="4288"/>
    </row>
    <row r="1069" spans="15:15">
      <c r="O1069" s="4288"/>
    </row>
    <row r="1070" spans="15:15">
      <c r="O1070" s="4288"/>
    </row>
    <row r="1071" spans="15:15">
      <c r="O1071" s="4288"/>
    </row>
    <row r="1072" spans="15:15">
      <c r="O1072" s="4288"/>
    </row>
    <row r="1073" spans="15:15">
      <c r="O1073" s="4288"/>
    </row>
    <row r="1074" spans="15:15">
      <c r="O1074" s="4288"/>
    </row>
    <row r="1075" spans="15:15">
      <c r="O1075" s="4288"/>
    </row>
    <row r="1076" spans="15:15">
      <c r="O1076" s="4288"/>
    </row>
    <row r="1077" spans="15:15">
      <c r="O1077" s="4288"/>
    </row>
    <row r="1078" spans="15:15">
      <c r="O1078" s="4288"/>
    </row>
    <row r="1079" spans="15:15">
      <c r="O1079" s="4288"/>
    </row>
    <row r="1080" spans="15:15">
      <c r="O1080" s="4288"/>
    </row>
    <row r="1081" spans="15:15">
      <c r="O1081" s="4288"/>
    </row>
    <row r="1082" spans="15:15">
      <c r="O1082" s="4288"/>
    </row>
    <row r="1083" spans="15:15">
      <c r="O1083" s="4288"/>
    </row>
    <row r="1084" spans="15:15">
      <c r="O1084" s="4288"/>
    </row>
    <row r="1085" spans="15:15">
      <c r="O1085" s="4288"/>
    </row>
    <row r="1086" spans="15:15">
      <c r="O1086" s="4288"/>
    </row>
    <row r="1087" spans="15:15">
      <c r="O1087" s="4288"/>
    </row>
    <row r="1088" spans="15:15">
      <c r="O1088" s="4288"/>
    </row>
    <row r="1089" spans="15:15">
      <c r="O1089" s="4288"/>
    </row>
    <row r="1090" spans="15:15">
      <c r="O1090" s="4288"/>
    </row>
    <row r="1091" spans="15:15">
      <c r="O1091" s="4288"/>
    </row>
    <row r="1092" spans="15:15">
      <c r="O1092" s="4288"/>
    </row>
    <row r="1093" spans="15:15">
      <c r="O1093" s="4288"/>
    </row>
    <row r="1094" spans="15:15">
      <c r="O1094" s="4288"/>
    </row>
    <row r="1095" spans="15:15">
      <c r="O1095" s="4288"/>
    </row>
    <row r="1096" spans="15:15">
      <c r="O1096" s="4288"/>
    </row>
    <row r="1097" spans="15:15">
      <c r="O1097" s="4288"/>
    </row>
    <row r="1098" spans="15:15">
      <c r="O1098" s="4288"/>
    </row>
    <row r="1099" spans="15:15">
      <c r="O1099" s="4288"/>
    </row>
    <row r="1100" spans="15:15">
      <c r="O1100" s="4288"/>
    </row>
    <row r="1101" spans="15:15">
      <c r="O1101" s="4288"/>
    </row>
    <row r="1102" spans="15:15">
      <c r="O1102" s="4288"/>
    </row>
    <row r="1103" spans="15:15">
      <c r="O1103" s="4288"/>
    </row>
    <row r="1104" spans="15:15">
      <c r="O1104" s="4288"/>
    </row>
    <row r="1105" spans="15:15">
      <c r="O1105" s="4288"/>
    </row>
    <row r="1106" spans="15:15">
      <c r="O1106" s="4288"/>
    </row>
    <row r="1107" spans="15:15">
      <c r="O1107" s="4288"/>
    </row>
    <row r="1108" spans="15:15">
      <c r="O1108" s="4288"/>
    </row>
    <row r="1109" spans="15:15">
      <c r="O1109" s="4288"/>
    </row>
    <row r="1110" spans="15:15">
      <c r="O1110" s="4288"/>
    </row>
    <row r="1111" spans="15:15">
      <c r="O1111" s="4288"/>
    </row>
    <row r="1112" spans="15:15">
      <c r="O1112" s="4288"/>
    </row>
    <row r="1113" spans="15:15">
      <c r="O1113" s="4288"/>
    </row>
    <row r="1114" spans="15:15">
      <c r="O1114" s="4288"/>
    </row>
    <row r="1115" spans="15:15">
      <c r="O1115" s="4288"/>
    </row>
    <row r="1116" spans="15:15">
      <c r="O1116" s="4288"/>
    </row>
    <row r="1117" spans="15:15">
      <c r="O1117" s="4288"/>
    </row>
    <row r="1118" spans="15:15">
      <c r="O1118" s="4288"/>
    </row>
    <row r="1119" spans="15:15">
      <c r="O1119" s="4288"/>
    </row>
    <row r="1120" spans="15:15">
      <c r="O1120" s="4288"/>
    </row>
    <row r="1121" spans="15:15">
      <c r="O1121" s="4288"/>
    </row>
    <row r="1122" spans="15:15">
      <c r="O1122" s="4288"/>
    </row>
    <row r="1123" spans="15:15">
      <c r="O1123" s="4288"/>
    </row>
    <row r="1124" spans="15:15">
      <c r="O1124" s="4288"/>
    </row>
    <row r="1125" spans="15:15">
      <c r="O1125" s="4288"/>
    </row>
    <row r="1126" spans="15:15">
      <c r="O1126" s="4288"/>
    </row>
    <row r="1127" spans="15:15">
      <c r="O1127" s="4288"/>
    </row>
    <row r="1128" spans="15:15">
      <c r="O1128" s="4288"/>
    </row>
    <row r="1129" spans="15:15">
      <c r="O1129" s="4288"/>
    </row>
    <row r="1130" spans="15:15">
      <c r="O1130" s="4288"/>
    </row>
    <row r="1131" spans="15:15">
      <c r="O1131" s="4288"/>
    </row>
    <row r="1132" spans="15:15">
      <c r="O1132" s="4288"/>
    </row>
    <row r="1133" spans="15:15">
      <c r="O1133" s="4288"/>
    </row>
    <row r="1134" spans="15:15">
      <c r="O1134" s="4288"/>
    </row>
    <row r="1135" spans="15:15">
      <c r="O1135" s="4288"/>
    </row>
    <row r="1136" spans="15:15">
      <c r="O1136" s="4288"/>
    </row>
    <row r="1137" spans="15:15">
      <c r="O1137" s="4288"/>
    </row>
    <row r="1138" spans="15:15">
      <c r="O1138" s="4288"/>
    </row>
    <row r="1139" spans="15:15">
      <c r="O1139" s="4288"/>
    </row>
    <row r="1140" spans="15:15">
      <c r="O1140" s="4288"/>
    </row>
    <row r="1141" spans="15:15">
      <c r="O1141" s="4288"/>
    </row>
    <row r="1142" spans="15:15">
      <c r="O1142" s="4288"/>
    </row>
    <row r="1143" spans="15:15">
      <c r="O1143" s="4288"/>
    </row>
    <row r="1144" spans="15:15">
      <c r="O1144" s="4288"/>
    </row>
    <row r="1145" spans="15:15">
      <c r="O1145" s="4288"/>
    </row>
    <row r="1146" spans="15:15">
      <c r="O1146" s="4288"/>
    </row>
    <row r="1147" spans="15:15">
      <c r="O1147" s="4288"/>
    </row>
    <row r="1148" spans="15:15">
      <c r="O1148" s="4288"/>
    </row>
    <row r="1149" spans="15:15">
      <c r="O1149" s="4288"/>
    </row>
    <row r="1150" spans="15:15">
      <c r="O1150" s="4288"/>
    </row>
    <row r="1151" spans="15:15">
      <c r="O1151" s="4288"/>
    </row>
    <row r="1152" spans="15:15">
      <c r="O1152" s="4288"/>
    </row>
    <row r="1153" spans="15:15">
      <c r="O1153" s="4288"/>
    </row>
    <row r="1154" spans="15:15">
      <c r="O1154" s="4288"/>
    </row>
    <row r="1155" spans="15:15">
      <c r="O1155" s="4288"/>
    </row>
    <row r="1156" spans="15:15">
      <c r="O1156" s="4288"/>
    </row>
    <row r="1157" spans="15:15">
      <c r="O1157" s="4288"/>
    </row>
    <row r="1158" spans="15:15">
      <c r="O1158" s="4288"/>
    </row>
    <row r="1159" spans="15:15">
      <c r="O1159" s="4288"/>
    </row>
    <row r="1160" spans="15:15">
      <c r="O1160" s="4288"/>
    </row>
    <row r="1161" spans="15:15">
      <c r="O1161" s="4288"/>
    </row>
    <row r="1162" spans="15:15">
      <c r="O1162" s="4288"/>
    </row>
    <row r="1163" spans="15:15">
      <c r="O1163" s="4288"/>
    </row>
    <row r="1164" spans="15:15">
      <c r="O1164" s="4288"/>
    </row>
    <row r="1165" spans="15:15">
      <c r="O1165" s="4288"/>
    </row>
    <row r="1166" spans="15:15">
      <c r="O1166" s="4288"/>
    </row>
    <row r="1167" spans="15:15">
      <c r="O1167" s="4288"/>
    </row>
    <row r="1168" spans="15:15">
      <c r="O1168" s="4288"/>
    </row>
    <row r="1169" spans="15:15">
      <c r="O1169" s="4288"/>
    </row>
    <row r="1170" spans="15:15">
      <c r="O1170" s="4288"/>
    </row>
    <row r="1171" spans="15:15">
      <c r="O1171" s="4288"/>
    </row>
    <row r="1172" spans="15:15">
      <c r="O1172" s="4288"/>
    </row>
    <row r="1173" spans="15:15">
      <c r="O1173" s="4288"/>
    </row>
    <row r="1174" spans="15:15">
      <c r="O1174" s="4288"/>
    </row>
    <row r="1175" spans="15:15">
      <c r="O1175" s="4288"/>
    </row>
    <row r="1176" spans="15:15">
      <c r="O1176" s="4288"/>
    </row>
    <row r="1177" spans="15:15">
      <c r="O1177" s="4288"/>
    </row>
    <row r="1178" spans="15:15">
      <c r="O1178" s="4288"/>
    </row>
    <row r="1179" spans="15:15">
      <c r="O1179" s="4288"/>
    </row>
    <row r="1180" spans="15:15">
      <c r="O1180" s="4288"/>
    </row>
    <row r="1181" spans="15:15">
      <c r="O1181" s="4288"/>
    </row>
    <row r="1182" spans="15:15">
      <c r="O1182" s="4288"/>
    </row>
    <row r="1183" spans="15:15">
      <c r="O1183" s="4288"/>
    </row>
    <row r="1184" spans="15:15">
      <c r="O1184" s="4288"/>
    </row>
    <row r="1185" spans="15:15">
      <c r="O1185" s="4288"/>
    </row>
    <row r="1186" spans="15:15">
      <c r="O1186" s="4288"/>
    </row>
    <row r="1187" spans="15:15">
      <c r="O1187" s="4288"/>
    </row>
    <row r="1188" spans="15:15">
      <c r="O1188" s="4288"/>
    </row>
    <row r="1189" spans="15:15">
      <c r="O1189" s="4288"/>
    </row>
    <row r="1190" spans="15:15">
      <c r="O1190" s="4288"/>
    </row>
    <row r="1191" spans="15:15">
      <c r="O1191" s="4288"/>
    </row>
    <row r="1192" spans="15:15">
      <c r="O1192" s="4288"/>
    </row>
    <row r="1193" spans="15:15">
      <c r="O1193" s="4288"/>
    </row>
    <row r="1194" spans="15:15">
      <c r="O1194" s="4288"/>
    </row>
    <row r="1195" spans="15:15">
      <c r="O1195" s="4288"/>
    </row>
    <row r="1196" spans="15:15">
      <c r="O1196" s="4288"/>
    </row>
    <row r="1197" spans="15:15">
      <c r="O1197" s="4288"/>
    </row>
    <row r="1198" spans="15:15">
      <c r="O1198" s="4288"/>
    </row>
    <row r="1199" spans="15:15">
      <c r="O1199" s="4288"/>
    </row>
    <row r="1200" spans="15:15">
      <c r="O1200" s="4288"/>
    </row>
    <row r="1201" spans="15:15">
      <c r="O1201" s="4288"/>
    </row>
    <row r="1202" spans="15:15">
      <c r="O1202" s="4288"/>
    </row>
    <row r="1203" spans="15:15">
      <c r="O1203" s="4288"/>
    </row>
    <row r="1204" spans="15:15">
      <c r="O1204" s="4288"/>
    </row>
    <row r="1205" spans="15:15">
      <c r="O1205" s="4288"/>
    </row>
    <row r="1206" spans="15:15">
      <c r="O1206" s="4288"/>
    </row>
    <row r="1207" spans="15:15">
      <c r="O1207" s="4288"/>
    </row>
    <row r="1208" spans="15:15">
      <c r="O1208" s="4288"/>
    </row>
    <row r="1209" spans="15:15">
      <c r="O1209" s="4288"/>
    </row>
    <row r="1210" spans="15:15">
      <c r="O1210" s="4288"/>
    </row>
    <row r="1211" spans="15:15">
      <c r="O1211" s="4288"/>
    </row>
    <row r="1212" spans="15:15">
      <c r="O1212" s="4288"/>
    </row>
    <row r="1213" spans="15:15">
      <c r="O1213" s="4288"/>
    </row>
    <row r="1214" spans="15:15">
      <c r="O1214" s="4288"/>
    </row>
    <row r="1215" spans="15:15">
      <c r="O1215" s="4288"/>
    </row>
    <row r="1216" spans="15:15">
      <c r="O1216" s="4288"/>
    </row>
    <row r="1217" spans="15:15">
      <c r="O1217" s="4288"/>
    </row>
    <row r="1218" spans="15:15">
      <c r="O1218" s="4288"/>
    </row>
    <row r="1219" spans="15:15">
      <c r="O1219" s="4288"/>
    </row>
    <row r="1220" spans="15:15">
      <c r="O1220" s="4288"/>
    </row>
    <row r="1221" spans="15:15">
      <c r="O1221" s="4288"/>
    </row>
    <row r="1222" spans="15:15">
      <c r="O1222" s="4288"/>
    </row>
    <row r="1223" spans="15:15">
      <c r="O1223" s="4288"/>
    </row>
    <row r="1224" spans="15:15">
      <c r="O1224" s="4288"/>
    </row>
    <row r="1225" spans="15:15">
      <c r="O1225" s="4288"/>
    </row>
    <row r="1226" spans="15:15">
      <c r="O1226" s="4288"/>
    </row>
    <row r="1227" spans="15:15">
      <c r="O1227" s="4288"/>
    </row>
    <row r="1228" spans="15:15">
      <c r="O1228" s="4288"/>
    </row>
    <row r="1229" spans="15:15">
      <c r="O1229" s="4288"/>
    </row>
    <row r="1230" spans="15:15">
      <c r="O1230" s="4288"/>
    </row>
    <row r="1231" spans="15:15">
      <c r="O1231" s="4288"/>
    </row>
    <row r="1232" spans="15:15">
      <c r="O1232" s="4288"/>
    </row>
    <row r="1233" spans="15:15">
      <c r="O1233" s="4288"/>
    </row>
    <row r="1234" spans="15:15">
      <c r="O1234" s="4288"/>
    </row>
    <row r="1235" spans="15:15">
      <c r="O1235" s="4288"/>
    </row>
    <row r="1236" spans="15:15">
      <c r="O1236" s="4288"/>
    </row>
    <row r="1237" spans="15:15">
      <c r="O1237" s="4288"/>
    </row>
    <row r="1238" spans="15:15">
      <c r="O1238" s="4288"/>
    </row>
    <row r="1239" spans="15:15">
      <c r="O1239" s="4288"/>
    </row>
    <row r="1240" spans="15:15">
      <c r="O1240" s="4288"/>
    </row>
    <row r="1241" spans="15:15">
      <c r="O1241" s="4288"/>
    </row>
    <row r="1242" spans="15:15">
      <c r="O1242" s="4288"/>
    </row>
    <row r="1243" spans="15:15">
      <c r="O1243" s="4288"/>
    </row>
    <row r="1244" spans="15:15">
      <c r="O1244" s="4288"/>
    </row>
    <row r="1245" spans="15:15">
      <c r="O1245" s="4288"/>
    </row>
    <row r="1246" spans="15:15">
      <c r="O1246" s="4288"/>
    </row>
    <row r="1247" spans="15:15">
      <c r="O1247" s="4288"/>
    </row>
    <row r="1248" spans="15:15">
      <c r="O1248" s="4288"/>
    </row>
    <row r="1249" spans="15:15">
      <c r="O1249" s="4288"/>
    </row>
    <row r="1250" spans="15:15">
      <c r="O1250" s="4288"/>
    </row>
    <row r="1251" spans="15:15">
      <c r="O1251" s="4288"/>
    </row>
    <row r="1252" spans="15:15">
      <c r="O1252" s="4288"/>
    </row>
    <row r="1253" spans="15:15">
      <c r="O1253" s="4288"/>
    </row>
    <row r="1254" spans="15:15">
      <c r="O1254" s="4288"/>
    </row>
    <row r="1255" spans="15:15">
      <c r="O1255" s="4288"/>
    </row>
    <row r="1256" spans="15:15">
      <c r="O1256" s="4288"/>
    </row>
    <row r="1257" spans="15:15">
      <c r="O1257" s="4288"/>
    </row>
    <row r="1258" spans="15:15">
      <c r="O1258" s="4288"/>
    </row>
    <row r="1259" spans="15:15">
      <c r="O1259" s="4288"/>
    </row>
    <row r="1260" spans="15:15">
      <c r="O1260" s="4288"/>
    </row>
    <row r="1261" spans="15:15">
      <c r="O1261" s="4288"/>
    </row>
    <row r="1262" spans="15:15">
      <c r="O1262" s="4288"/>
    </row>
    <row r="1263" spans="15:15">
      <c r="O1263" s="4288"/>
    </row>
    <row r="1264" spans="15:15">
      <c r="O1264" s="4288"/>
    </row>
    <row r="1265" spans="15:15">
      <c r="O1265" s="4288"/>
    </row>
    <row r="1266" spans="15:15">
      <c r="O1266" s="4288"/>
    </row>
    <row r="1267" spans="15:15">
      <c r="O1267" s="4288"/>
    </row>
    <row r="1268" spans="15:15">
      <c r="O1268" s="4288"/>
    </row>
    <row r="1269" spans="15:15">
      <c r="O1269" s="4288"/>
    </row>
    <row r="1270" spans="15:15">
      <c r="O1270" s="4288"/>
    </row>
    <row r="1271" spans="15:15">
      <c r="O1271" s="4288"/>
    </row>
    <row r="1272" spans="15:15">
      <c r="O1272" s="4288"/>
    </row>
    <row r="1273" spans="15:15">
      <c r="O1273" s="4288"/>
    </row>
    <row r="1274" spans="15:15">
      <c r="O1274" s="4288"/>
    </row>
    <row r="1275" spans="15:15">
      <c r="O1275" s="4288"/>
    </row>
    <row r="1276" spans="15:15">
      <c r="O1276" s="4288"/>
    </row>
    <row r="1277" spans="15:15">
      <c r="O1277" s="4288"/>
    </row>
    <row r="1278" spans="15:15">
      <c r="O1278" s="4288"/>
    </row>
    <row r="1279" spans="15:15">
      <c r="O1279" s="4288"/>
    </row>
    <row r="1280" spans="15:15">
      <c r="O1280" s="4288"/>
    </row>
    <row r="1281" spans="15:15">
      <c r="O1281" s="4288"/>
    </row>
    <row r="1282" spans="15:15">
      <c r="O1282" s="4288"/>
    </row>
    <row r="1283" spans="15:15">
      <c r="O1283" s="4288"/>
    </row>
    <row r="1284" spans="15:15">
      <c r="O1284" s="4288"/>
    </row>
    <row r="1285" spans="15:15">
      <c r="O1285" s="4288"/>
    </row>
    <row r="1286" spans="15:15">
      <c r="O1286" s="4288"/>
    </row>
    <row r="1287" spans="15:15">
      <c r="O1287" s="4288"/>
    </row>
    <row r="1288" spans="15:15">
      <c r="O1288" s="4288"/>
    </row>
    <row r="1289" spans="15:15">
      <c r="O1289" s="4288"/>
    </row>
    <row r="1290" spans="15:15">
      <c r="O1290" s="4288"/>
    </row>
    <row r="1291" spans="15:15">
      <c r="O1291" s="4288"/>
    </row>
    <row r="1292" spans="15:15">
      <c r="O1292" s="4288"/>
    </row>
    <row r="1293" spans="15:15">
      <c r="O1293" s="4288"/>
    </row>
    <row r="1294" spans="15:15">
      <c r="O1294" s="4288"/>
    </row>
    <row r="1295" spans="15:15">
      <c r="O1295" s="4288"/>
    </row>
    <row r="1296" spans="15:15">
      <c r="O1296" s="4288"/>
    </row>
    <row r="1297" spans="15:15">
      <c r="O1297" s="4288"/>
    </row>
    <row r="1298" spans="15:15">
      <c r="O1298" s="4288"/>
    </row>
    <row r="1299" spans="15:15">
      <c r="O1299" s="4288"/>
    </row>
    <row r="1300" spans="15:15">
      <c r="O1300" s="4288"/>
    </row>
    <row r="1301" spans="15:15">
      <c r="O1301" s="4288"/>
    </row>
    <row r="1302" spans="15:15">
      <c r="O1302" s="4288"/>
    </row>
    <row r="1303" spans="15:15">
      <c r="O1303" s="4288"/>
    </row>
    <row r="1304" spans="15:15">
      <c r="O1304" s="4288"/>
    </row>
    <row r="1305" spans="15:15">
      <c r="O1305" s="4288"/>
    </row>
    <row r="1306" spans="15:15">
      <c r="O1306" s="4288"/>
    </row>
    <row r="1307" spans="15:15">
      <c r="O1307" s="4288"/>
    </row>
    <row r="1308" spans="15:15">
      <c r="O1308" s="4288"/>
    </row>
    <row r="1309" spans="15:15">
      <c r="O1309" s="4288"/>
    </row>
    <row r="1310" spans="15:15">
      <c r="O1310" s="4288"/>
    </row>
    <row r="1311" spans="15:15">
      <c r="O1311" s="4288"/>
    </row>
    <row r="1312" spans="15:15">
      <c r="O1312" s="4288"/>
    </row>
    <row r="1313" spans="15:15">
      <c r="O1313" s="4288"/>
    </row>
    <row r="1314" spans="15:15">
      <c r="O1314" s="4288"/>
    </row>
    <row r="1315" spans="15:15">
      <c r="O1315" s="4288"/>
    </row>
    <row r="1316" spans="15:15">
      <c r="O1316" s="4288"/>
    </row>
    <row r="1317" spans="15:15">
      <c r="O1317" s="4288"/>
    </row>
    <row r="1318" spans="15:15">
      <c r="O1318" s="4288"/>
    </row>
    <row r="1319" spans="15:15">
      <c r="O1319" s="4288"/>
    </row>
    <row r="1320" spans="15:15">
      <c r="O1320" s="4288"/>
    </row>
    <row r="1321" spans="15:15">
      <c r="O1321" s="4288"/>
    </row>
    <row r="1322" spans="15:15">
      <c r="O1322" s="4288"/>
    </row>
    <row r="1323" spans="15:15">
      <c r="O1323" s="4288"/>
    </row>
    <row r="1324" spans="15:15">
      <c r="O1324" s="4288"/>
    </row>
    <row r="1325" spans="15:15">
      <c r="O1325" s="4288"/>
    </row>
    <row r="1326" spans="15:15">
      <c r="O1326" s="4288"/>
    </row>
    <row r="1327" spans="15:15">
      <c r="O1327" s="4288"/>
    </row>
    <row r="1328" spans="15:15">
      <c r="O1328" s="4288"/>
    </row>
    <row r="1329" spans="15:15">
      <c r="O1329" s="4288"/>
    </row>
    <row r="1330" spans="15:15">
      <c r="O1330" s="4288"/>
    </row>
    <row r="1331" spans="15:15">
      <c r="O1331" s="4288"/>
    </row>
    <row r="1332" spans="15:15">
      <c r="O1332" s="4288"/>
    </row>
    <row r="1333" spans="15:15">
      <c r="O1333" s="4288"/>
    </row>
    <row r="1334" spans="15:15">
      <c r="O1334" s="4288"/>
    </row>
    <row r="1335" spans="15:15">
      <c r="O1335" s="4288"/>
    </row>
    <row r="1336" spans="15:15">
      <c r="O1336" s="4288"/>
    </row>
    <row r="1337" spans="15:15">
      <c r="O1337" s="4288"/>
    </row>
    <row r="1338" spans="15:15">
      <c r="O1338" s="4288"/>
    </row>
    <row r="1339" spans="15:15">
      <c r="O1339" s="4288"/>
    </row>
    <row r="1340" spans="15:15">
      <c r="O1340" s="4288"/>
    </row>
    <row r="1341" spans="15:15">
      <c r="O1341" s="4288"/>
    </row>
    <row r="1342" spans="15:15">
      <c r="O1342" s="4288"/>
    </row>
    <row r="1343" spans="15:15">
      <c r="O1343" s="4288"/>
    </row>
    <row r="1344" spans="15:15">
      <c r="O1344" s="4288"/>
    </row>
    <row r="1345" spans="15:15">
      <c r="O1345" s="4288"/>
    </row>
    <row r="1346" spans="15:15">
      <c r="O1346" s="4288"/>
    </row>
    <row r="1347" spans="15:15">
      <c r="O1347" s="4288"/>
    </row>
    <row r="1348" spans="15:15">
      <c r="O1348" s="4288"/>
    </row>
    <row r="1349" spans="15:15">
      <c r="O1349" s="4288"/>
    </row>
    <row r="1350" spans="15:15">
      <c r="O1350" s="4288"/>
    </row>
    <row r="1351" spans="15:15">
      <c r="O1351" s="4288"/>
    </row>
    <row r="1352" spans="15:15">
      <c r="O1352" s="4288"/>
    </row>
    <row r="1353" spans="15:15">
      <c r="O1353" s="4288"/>
    </row>
    <row r="1354" spans="15:15">
      <c r="O1354" s="4288"/>
    </row>
    <row r="1355" spans="15:15">
      <c r="O1355" s="4288"/>
    </row>
    <row r="1356" spans="15:15">
      <c r="O1356" s="4288"/>
    </row>
    <row r="1357" spans="15:15">
      <c r="O1357" s="4288"/>
    </row>
    <row r="1358" spans="15:15">
      <c r="O1358" s="4288"/>
    </row>
    <row r="1359" spans="15:15">
      <c r="O1359" s="4288"/>
    </row>
    <row r="1360" spans="15:15">
      <c r="O1360" s="4288"/>
    </row>
    <row r="1361" spans="15:15">
      <c r="O1361" s="4288"/>
    </row>
    <row r="1362" spans="15:15">
      <c r="O1362" s="4288"/>
    </row>
    <row r="1363" spans="15:15">
      <c r="O1363" s="4288"/>
    </row>
    <row r="1364" spans="15:15">
      <c r="O1364" s="4288"/>
    </row>
    <row r="1365" spans="15:15">
      <c r="O1365" s="4288"/>
    </row>
    <row r="1366" spans="15:15">
      <c r="O1366" s="4288"/>
    </row>
    <row r="1367" spans="15:15">
      <c r="O1367" s="4288"/>
    </row>
    <row r="1368" spans="15:15">
      <c r="O1368" s="4288"/>
    </row>
    <row r="1369" spans="15:15">
      <c r="O1369" s="4288"/>
    </row>
    <row r="1370" spans="15:15">
      <c r="O1370" s="4288"/>
    </row>
    <row r="1371" spans="15:15">
      <c r="O1371" s="4288"/>
    </row>
    <row r="1372" spans="15:15">
      <c r="O1372" s="4288"/>
    </row>
    <row r="1373" spans="15:15">
      <c r="O1373" s="4288"/>
    </row>
    <row r="1374" spans="15:15">
      <c r="O1374" s="4288"/>
    </row>
    <row r="1375" spans="15:15">
      <c r="O1375" s="4288"/>
    </row>
    <row r="1376" spans="15:15">
      <c r="O1376" s="4288"/>
    </row>
    <row r="1377" spans="15:15">
      <c r="O1377" s="4288"/>
    </row>
    <row r="1378" spans="15:15">
      <c r="O1378" s="4288"/>
    </row>
    <row r="1379" spans="15:15">
      <c r="O1379" s="4288"/>
    </row>
    <row r="1380" spans="15:15">
      <c r="O1380" s="4288"/>
    </row>
    <row r="1381" spans="15:15">
      <c r="O1381" s="4288"/>
    </row>
    <row r="1382" spans="15:15">
      <c r="O1382" s="4288"/>
    </row>
    <row r="1383" spans="15:15">
      <c r="O1383" s="4288"/>
    </row>
    <row r="1384" spans="15:15">
      <c r="O1384" s="4288"/>
    </row>
    <row r="1385" spans="15:15">
      <c r="O1385" s="4288"/>
    </row>
    <row r="1386" spans="15:15">
      <c r="O1386" s="4288"/>
    </row>
    <row r="1387" spans="15:15">
      <c r="O1387" s="4288"/>
    </row>
    <row r="1388" spans="15:15">
      <c r="O1388" s="4288"/>
    </row>
    <row r="1389" spans="15:15">
      <c r="O1389" s="4288"/>
    </row>
    <row r="1390" spans="15:15">
      <c r="O1390" s="4288"/>
    </row>
    <row r="1391" spans="15:15">
      <c r="O1391" s="4288"/>
    </row>
    <row r="1392" spans="15:15">
      <c r="O1392" s="4288"/>
    </row>
    <row r="1393" spans="15:15">
      <c r="O1393" s="4288"/>
    </row>
    <row r="1394" spans="15:15">
      <c r="O1394" s="4288"/>
    </row>
    <row r="1395" spans="15:15">
      <c r="O1395" s="4288"/>
    </row>
    <row r="1396" spans="15:15">
      <c r="O1396" s="4288"/>
    </row>
    <row r="1397" spans="15:15">
      <c r="O1397" s="4288"/>
    </row>
    <row r="1398" spans="15:15">
      <c r="O1398" s="4288"/>
    </row>
    <row r="1399" spans="15:15">
      <c r="O1399" s="4288"/>
    </row>
    <row r="1400" spans="15:15">
      <c r="O1400" s="4288"/>
    </row>
    <row r="1401" spans="15:15">
      <c r="O1401" s="4288"/>
    </row>
    <row r="1402" spans="15:15">
      <c r="O1402" s="4288"/>
    </row>
    <row r="1403" spans="15:15">
      <c r="O1403" s="4288"/>
    </row>
    <row r="1404" spans="15:15">
      <c r="O1404" s="4288"/>
    </row>
    <row r="1405" spans="15:15">
      <c r="O1405" s="4288"/>
    </row>
    <row r="1406" spans="15:15">
      <c r="O1406" s="4288"/>
    </row>
    <row r="1407" spans="15:15">
      <c r="O1407" s="4288"/>
    </row>
    <row r="1408" spans="15:15">
      <c r="O1408" s="4288"/>
    </row>
    <row r="1409" spans="15:15">
      <c r="O1409" s="4288"/>
    </row>
    <row r="1410" spans="15:15">
      <c r="O1410" s="4288"/>
    </row>
    <row r="1411" spans="15:15">
      <c r="O1411" s="4288"/>
    </row>
    <row r="1412" spans="15:15">
      <c r="O1412" s="4288"/>
    </row>
    <row r="1413" spans="15:15">
      <c r="O1413" s="4288"/>
    </row>
    <row r="1414" spans="15:15">
      <c r="O1414" s="4288"/>
    </row>
    <row r="1415" spans="15:15">
      <c r="O1415" s="4288"/>
    </row>
    <row r="1416" spans="15:15">
      <c r="O1416" s="4288"/>
    </row>
    <row r="1417" spans="15:15">
      <c r="O1417" s="4288"/>
    </row>
    <row r="1418" spans="15:15">
      <c r="O1418" s="4288"/>
    </row>
    <row r="1419" spans="15:15">
      <c r="O1419" s="4288"/>
    </row>
    <row r="1420" spans="15:15">
      <c r="O1420" s="4288"/>
    </row>
    <row r="1421" spans="15:15">
      <c r="O1421" s="4288"/>
    </row>
    <row r="1422" spans="15:15">
      <c r="O1422" s="4288"/>
    </row>
    <row r="1423" spans="15:15">
      <c r="O1423" s="4288"/>
    </row>
    <row r="1424" spans="15:15">
      <c r="O1424" s="4288"/>
    </row>
    <row r="1425" spans="15:15">
      <c r="O1425" s="4288"/>
    </row>
    <row r="1426" spans="15:15">
      <c r="O1426" s="4288"/>
    </row>
    <row r="1427" spans="15:15">
      <c r="O1427" s="4288"/>
    </row>
    <row r="1428" spans="15:15">
      <c r="O1428" s="4288"/>
    </row>
    <row r="1429" spans="15:15">
      <c r="O1429" s="4288"/>
    </row>
    <row r="1430" spans="15:15">
      <c r="O1430" s="4288"/>
    </row>
    <row r="1431" spans="15:15">
      <c r="O1431" s="4288"/>
    </row>
    <row r="1432" spans="15:15">
      <c r="O1432" s="4288"/>
    </row>
    <row r="1433" spans="15:15">
      <c r="O1433" s="4288"/>
    </row>
    <row r="1434" spans="15:15">
      <c r="O1434" s="4288"/>
    </row>
    <row r="1435" spans="15:15">
      <c r="O1435" s="4288"/>
    </row>
    <row r="1436" spans="15:15">
      <c r="O1436" s="4288"/>
    </row>
    <row r="1437" spans="15:15">
      <c r="O1437" s="4288"/>
    </row>
    <row r="1438" spans="15:15">
      <c r="O1438" s="4288"/>
    </row>
    <row r="1439" spans="15:15">
      <c r="O1439" s="4288"/>
    </row>
    <row r="1440" spans="15:15">
      <c r="O1440" s="4288"/>
    </row>
    <row r="1441" spans="15:15">
      <c r="O1441" s="4288"/>
    </row>
    <row r="1442" spans="15:15">
      <c r="O1442" s="4288"/>
    </row>
    <row r="1443" spans="15:15">
      <c r="O1443" s="4288"/>
    </row>
    <row r="1444" spans="15:15">
      <c r="O1444" s="4288"/>
    </row>
    <row r="1445" spans="15:15">
      <c r="O1445" s="4288"/>
    </row>
    <row r="1446" spans="15:15">
      <c r="O1446" s="4288"/>
    </row>
    <row r="1447" spans="15:15">
      <c r="O1447" s="4288"/>
    </row>
    <row r="1448" spans="15:15">
      <c r="O1448" s="4288"/>
    </row>
    <row r="1449" spans="15:15">
      <c r="O1449" s="4288"/>
    </row>
    <row r="1450" spans="15:15">
      <c r="O1450" s="4288"/>
    </row>
    <row r="1451" spans="15:15">
      <c r="O1451" s="4288"/>
    </row>
    <row r="1452" spans="15:15">
      <c r="O1452" s="4288"/>
    </row>
    <row r="1453" spans="15:15">
      <c r="O1453" s="4288"/>
    </row>
    <row r="1454" spans="15:15">
      <c r="O1454" s="4288"/>
    </row>
    <row r="1455" spans="15:15">
      <c r="O1455" s="4288"/>
    </row>
    <row r="1456" spans="15:15">
      <c r="O1456" s="4288"/>
    </row>
    <row r="1457" spans="15:15">
      <c r="O1457" s="4288"/>
    </row>
    <row r="1458" spans="15:15">
      <c r="O1458" s="4288"/>
    </row>
    <row r="1459" spans="15:15">
      <c r="O1459" s="4288"/>
    </row>
    <row r="1460" spans="15:15">
      <c r="O1460" s="4288"/>
    </row>
    <row r="1461" spans="15:15">
      <c r="O1461" s="4288"/>
    </row>
    <row r="1462" spans="15:15">
      <c r="O1462" s="4288"/>
    </row>
    <row r="1463" spans="15:15">
      <c r="O1463" s="4288"/>
    </row>
    <row r="1464" spans="15:15">
      <c r="O1464" s="4288"/>
    </row>
    <row r="1465" spans="15:15">
      <c r="O1465" s="4288"/>
    </row>
    <row r="1466" spans="15:15">
      <c r="O1466" s="4288"/>
    </row>
    <row r="1467" spans="15:15">
      <c r="O1467" s="4288"/>
    </row>
    <row r="1468" spans="15:15">
      <c r="O1468" s="4288"/>
    </row>
    <row r="1469" spans="15:15">
      <c r="O1469" s="4288"/>
    </row>
    <row r="1470" spans="15:15">
      <c r="O1470" s="4288"/>
    </row>
    <row r="1471" spans="15:15">
      <c r="O1471" s="4288"/>
    </row>
    <row r="1472" spans="15:15">
      <c r="O1472" s="4288"/>
    </row>
    <row r="1473" spans="15:15">
      <c r="O1473" s="4288"/>
    </row>
    <row r="1474" spans="15:15">
      <c r="O1474" s="4288"/>
    </row>
    <row r="1475" spans="15:15">
      <c r="O1475" s="4288"/>
    </row>
    <row r="1476" spans="15:15">
      <c r="O1476" s="4288"/>
    </row>
    <row r="1477" spans="15:15">
      <c r="O1477" s="4288"/>
    </row>
    <row r="1478" spans="15:15">
      <c r="O1478" s="4288"/>
    </row>
    <row r="1479" spans="15:15">
      <c r="O1479" s="4288"/>
    </row>
    <row r="1480" spans="15:15">
      <c r="O1480" s="4288"/>
    </row>
    <row r="1481" spans="15:15">
      <c r="O1481" s="4288"/>
    </row>
    <row r="1482" spans="15:15">
      <c r="O1482" s="4288"/>
    </row>
    <row r="1483" spans="15:15">
      <c r="O1483" s="4288"/>
    </row>
    <row r="1484" spans="15:15">
      <c r="O1484" s="4288"/>
    </row>
    <row r="1485" spans="15:15">
      <c r="O1485" s="4288"/>
    </row>
    <row r="1486" spans="15:15">
      <c r="O1486" s="4288"/>
    </row>
    <row r="1487" spans="15:15">
      <c r="O1487" s="4288"/>
    </row>
    <row r="1488" spans="15:15">
      <c r="O1488" s="4288"/>
    </row>
    <row r="1489" spans="15:15">
      <c r="O1489" s="4288"/>
    </row>
    <row r="1490" spans="15:15">
      <c r="O1490" s="4288"/>
    </row>
    <row r="1491" spans="15:15">
      <c r="O1491" s="4288"/>
    </row>
    <row r="1492" spans="15:15">
      <c r="O1492" s="4288"/>
    </row>
    <row r="1493" spans="15:15">
      <c r="O1493" s="4288"/>
    </row>
    <row r="1494" spans="15:15">
      <c r="O1494" s="4288"/>
    </row>
    <row r="1495" spans="15:15">
      <c r="O1495" s="4288"/>
    </row>
    <row r="1496" spans="15:15">
      <c r="O1496" s="4288"/>
    </row>
    <row r="1497" spans="15:15">
      <c r="O1497" s="4288"/>
    </row>
    <row r="1498" spans="15:15">
      <c r="O1498" s="4288"/>
    </row>
    <row r="1499" spans="15:15">
      <c r="O1499" s="4288"/>
    </row>
    <row r="1500" spans="15:15">
      <c r="O1500" s="4288"/>
    </row>
    <row r="1501" spans="15:15">
      <c r="O1501" s="4288"/>
    </row>
    <row r="1502" spans="15:15">
      <c r="O1502" s="4288"/>
    </row>
    <row r="1503" spans="15:15">
      <c r="O1503" s="4288"/>
    </row>
    <row r="1504" spans="15:15">
      <c r="O1504" s="4288"/>
    </row>
    <row r="1505" spans="15:15">
      <c r="O1505" s="4288"/>
    </row>
    <row r="1506" spans="15:15">
      <c r="O1506" s="4288"/>
    </row>
    <row r="1507" spans="15:15">
      <c r="O1507" s="4288"/>
    </row>
    <row r="1508" spans="15:15">
      <c r="O1508" s="4288"/>
    </row>
    <row r="1509" spans="15:15">
      <c r="O1509" s="4288"/>
    </row>
    <row r="1510" spans="15:15">
      <c r="O1510" s="4288"/>
    </row>
    <row r="1511" spans="15:15">
      <c r="O1511" s="4288"/>
    </row>
    <row r="1512" spans="15:15">
      <c r="O1512" s="4288"/>
    </row>
    <row r="1513" spans="15:15">
      <c r="O1513" s="4288"/>
    </row>
    <row r="1514" spans="15:15">
      <c r="O1514" s="4288"/>
    </row>
    <row r="1515" spans="15:15">
      <c r="O1515" s="4288"/>
    </row>
    <row r="1516" spans="15:15">
      <c r="O1516" s="4288"/>
    </row>
    <row r="1517" spans="15:15">
      <c r="O1517" s="4288"/>
    </row>
    <row r="1518" spans="15:15">
      <c r="O1518" s="4288"/>
    </row>
    <row r="1519" spans="15:15">
      <c r="O1519" s="4288"/>
    </row>
    <row r="1520" spans="15:15">
      <c r="O1520" s="4288"/>
    </row>
    <row r="1521" spans="15:15">
      <c r="O1521" s="4288"/>
    </row>
    <row r="1522" spans="15:15">
      <c r="O1522" s="4288"/>
    </row>
    <row r="1523" spans="15:15">
      <c r="O1523" s="4288"/>
    </row>
    <row r="1524" spans="15:15">
      <c r="O1524" s="4288"/>
    </row>
    <row r="1525" spans="15:15">
      <c r="O1525" s="4288"/>
    </row>
    <row r="1526" spans="15:15">
      <c r="O1526" s="4288"/>
    </row>
    <row r="1527" spans="15:15">
      <c r="O1527" s="4288"/>
    </row>
    <row r="1528" spans="15:15">
      <c r="O1528" s="4288"/>
    </row>
    <row r="1529" spans="15:15">
      <c r="O1529" s="4288"/>
    </row>
    <row r="1530" spans="15:15">
      <c r="O1530" s="4288"/>
    </row>
    <row r="1531" spans="15:15">
      <c r="O1531" s="4288"/>
    </row>
    <row r="1532" spans="15:15">
      <c r="O1532" s="4288"/>
    </row>
    <row r="1533" spans="15:15">
      <c r="O1533" s="4288"/>
    </row>
    <row r="1534" spans="15:15">
      <c r="O1534" s="4288"/>
    </row>
    <row r="1535" spans="15:15">
      <c r="O1535" s="4288"/>
    </row>
    <row r="1536" spans="15:15">
      <c r="O1536" s="4288"/>
    </row>
    <row r="1537" spans="15:15">
      <c r="O1537" s="4288"/>
    </row>
    <row r="1538" spans="15:15">
      <c r="O1538" s="4288"/>
    </row>
    <row r="1539" spans="15:15">
      <c r="O1539" s="4288"/>
    </row>
    <row r="1540" spans="15:15">
      <c r="O1540" s="4288"/>
    </row>
    <row r="1541" spans="15:15">
      <c r="O1541" s="4288"/>
    </row>
    <row r="1542" spans="15:15">
      <c r="O1542" s="4288"/>
    </row>
    <row r="1543" spans="15:15">
      <c r="O1543" s="4288"/>
    </row>
    <row r="1544" spans="15:15">
      <c r="O1544" s="4288"/>
    </row>
    <row r="1545" spans="15:15">
      <c r="O1545" s="4288"/>
    </row>
    <row r="1546" spans="15:15">
      <c r="O1546" s="4288"/>
    </row>
    <row r="1547" spans="15:15">
      <c r="O1547" s="4288"/>
    </row>
    <row r="1548" spans="15:15">
      <c r="O1548" s="4288"/>
    </row>
    <row r="1549" spans="15:15">
      <c r="O1549" s="4288"/>
    </row>
    <row r="1550" spans="15:15">
      <c r="O1550" s="4288"/>
    </row>
    <row r="1551" spans="15:15">
      <c r="O1551" s="4288"/>
    </row>
    <row r="1552" spans="15:15">
      <c r="O1552" s="4288"/>
    </row>
    <row r="1553" spans="15:15">
      <c r="O1553" s="4288"/>
    </row>
    <row r="1554" spans="15:15">
      <c r="O1554" s="4288"/>
    </row>
    <row r="1555" spans="15:15">
      <c r="O1555" s="4288"/>
    </row>
    <row r="1556" spans="15:15">
      <c r="O1556" s="4288"/>
    </row>
    <row r="1557" spans="15:15">
      <c r="O1557" s="4288"/>
    </row>
    <row r="1558" spans="15:15">
      <c r="O1558" s="4288"/>
    </row>
    <row r="1559" spans="15:15">
      <c r="O1559" s="4288"/>
    </row>
    <row r="1560" spans="15:15">
      <c r="O1560" s="4288"/>
    </row>
    <row r="1561" spans="15:15">
      <c r="O1561" s="4288"/>
    </row>
    <row r="1562" spans="15:15">
      <c r="O1562" s="4288"/>
    </row>
    <row r="1563" spans="15:15">
      <c r="O1563" s="4288"/>
    </row>
    <row r="1564" spans="15:15">
      <c r="O1564" s="4288"/>
    </row>
    <row r="1565" spans="15:15">
      <c r="O1565" s="4288"/>
    </row>
    <row r="1566" spans="15:15">
      <c r="O1566" s="4288"/>
    </row>
    <row r="1567" spans="15:15">
      <c r="O1567" s="4288"/>
    </row>
    <row r="1568" spans="15:15">
      <c r="O1568" s="4288"/>
    </row>
    <row r="1569" spans="15:15">
      <c r="O1569" s="4288"/>
    </row>
    <row r="1570" spans="15:15">
      <c r="O1570" s="4288"/>
    </row>
    <row r="1571" spans="15:15">
      <c r="O1571" s="4288"/>
    </row>
    <row r="1572" spans="15:15">
      <c r="O1572" s="4288"/>
    </row>
    <row r="1573" spans="15:15">
      <c r="O1573" s="4288"/>
    </row>
    <row r="1574" spans="15:15">
      <c r="O1574" s="4288"/>
    </row>
    <row r="1575" spans="15:15">
      <c r="O1575" s="4288"/>
    </row>
    <row r="1576" spans="15:15">
      <c r="O1576" s="4288"/>
    </row>
    <row r="1577" spans="15:15">
      <c r="O1577" s="4288"/>
    </row>
    <row r="1578" spans="15:15">
      <c r="O1578" s="4288"/>
    </row>
    <row r="1579" spans="15:15">
      <c r="O1579" s="4288"/>
    </row>
    <row r="1580" spans="15:15">
      <c r="O1580" s="4288"/>
    </row>
    <row r="1581" spans="15:15">
      <c r="O1581" s="4288"/>
    </row>
    <row r="1582" spans="15:15">
      <c r="O1582" s="4288"/>
    </row>
    <row r="1583" spans="15:15">
      <c r="O1583" s="4288"/>
    </row>
    <row r="1584" spans="15:15">
      <c r="O1584" s="4288"/>
    </row>
    <row r="1585" spans="15:15">
      <c r="O1585" s="4288"/>
    </row>
    <row r="1586" spans="15:15">
      <c r="O1586" s="4288"/>
    </row>
    <row r="1587" spans="15:15">
      <c r="O1587" s="4288"/>
    </row>
    <row r="1588" spans="15:15">
      <c r="O1588" s="4288"/>
    </row>
    <row r="1589" spans="15:15">
      <c r="O1589" s="4288"/>
    </row>
    <row r="1590" spans="15:15">
      <c r="O1590" s="4288"/>
    </row>
    <row r="1591" spans="15:15">
      <c r="O1591" s="4288"/>
    </row>
    <row r="1592" spans="15:15">
      <c r="O1592" s="4288"/>
    </row>
    <row r="1593" spans="15:15">
      <c r="O1593" s="4288"/>
    </row>
    <row r="1594" spans="15:15">
      <c r="O1594" s="4288"/>
    </row>
    <row r="1595" spans="15:15">
      <c r="O1595" s="4288"/>
    </row>
    <row r="1596" spans="15:15">
      <c r="O1596" s="4288"/>
    </row>
    <row r="1597" spans="15:15">
      <c r="O1597" s="4288"/>
    </row>
    <row r="1598" spans="15:15">
      <c r="O1598" s="4288"/>
    </row>
    <row r="1599" spans="15:15">
      <c r="O1599" s="4288"/>
    </row>
    <row r="1600" spans="15:15">
      <c r="O1600" s="4288"/>
    </row>
    <row r="1601" spans="15:15">
      <c r="O1601" s="4288"/>
    </row>
    <row r="1602" spans="15:15">
      <c r="O1602" s="4288"/>
    </row>
    <row r="1603" spans="15:15">
      <c r="O1603" s="4288"/>
    </row>
    <row r="1604" spans="15:15">
      <c r="O1604" s="4288"/>
    </row>
    <row r="1605" spans="15:15">
      <c r="O1605" s="4288"/>
    </row>
    <row r="1606" spans="15:15">
      <c r="O1606" s="4288"/>
    </row>
    <row r="1607" spans="15:15">
      <c r="O1607" s="4288"/>
    </row>
    <row r="1608" spans="15:15">
      <c r="O1608" s="4288"/>
    </row>
    <row r="1609" spans="15:15">
      <c r="O1609" s="4288"/>
    </row>
    <row r="1610" spans="15:15">
      <c r="O1610" s="4288"/>
    </row>
    <row r="1611" spans="15:15">
      <c r="O1611" s="4288"/>
    </row>
    <row r="1612" spans="15:15">
      <c r="O1612" s="4288"/>
    </row>
    <row r="1613" spans="15:15">
      <c r="O1613" s="4288"/>
    </row>
    <row r="1614" spans="15:15">
      <c r="O1614" s="4288"/>
    </row>
    <row r="1615" spans="15:15">
      <c r="O1615" s="4288"/>
    </row>
    <row r="1616" spans="15:15">
      <c r="O1616" s="4288"/>
    </row>
    <row r="1617" spans="15:15">
      <c r="O1617" s="4288"/>
    </row>
    <row r="1618" spans="15:15">
      <c r="O1618" s="4288"/>
    </row>
    <row r="1619" spans="15:15">
      <c r="O1619" s="4288"/>
    </row>
    <row r="1620" spans="15:15">
      <c r="O1620" s="4288"/>
    </row>
    <row r="1621" spans="15:15">
      <c r="O1621" s="4288"/>
    </row>
    <row r="1622" spans="15:15">
      <c r="O1622" s="4288"/>
    </row>
    <row r="1623" spans="15:15">
      <c r="O1623" s="4288"/>
    </row>
    <row r="1624" spans="15:15">
      <c r="O1624" s="4288"/>
    </row>
    <row r="1625" spans="15:15">
      <c r="O1625" s="4288"/>
    </row>
    <row r="1626" spans="15:15">
      <c r="O1626" s="4288"/>
    </row>
    <row r="1627" spans="15:15">
      <c r="O1627" s="4288"/>
    </row>
    <row r="1628" spans="15:15">
      <c r="O1628" s="4288"/>
    </row>
    <row r="1629" spans="15:15">
      <c r="O1629" s="4288"/>
    </row>
    <row r="1630" spans="15:15">
      <c r="O1630" s="4288"/>
    </row>
    <row r="1631" spans="15:15">
      <c r="O1631" s="4288"/>
    </row>
    <row r="1632" spans="15:15">
      <c r="O1632" s="4288"/>
    </row>
    <row r="1633" spans="15:15">
      <c r="O1633" s="4288"/>
    </row>
    <row r="1634" spans="15:15">
      <c r="O1634" s="4288"/>
    </row>
    <row r="1635" spans="15:15">
      <c r="O1635" s="4288"/>
    </row>
    <row r="1636" spans="15:15">
      <c r="O1636" s="4288"/>
    </row>
    <row r="1637" spans="15:15">
      <c r="O1637" s="4288"/>
    </row>
    <row r="1638" spans="15:15">
      <c r="O1638" s="4288"/>
    </row>
    <row r="1639" spans="15:15">
      <c r="O1639" s="4288"/>
    </row>
    <row r="1640" spans="15:15">
      <c r="O1640" s="4288"/>
    </row>
    <row r="1641" spans="15:15">
      <c r="O1641" s="4288"/>
    </row>
    <row r="1642" spans="15:15">
      <c r="O1642" s="4288"/>
    </row>
    <row r="1643" spans="15:15">
      <c r="O1643" s="4288"/>
    </row>
    <row r="1644" spans="15:15">
      <c r="O1644" s="4288"/>
    </row>
    <row r="1645" spans="15:15">
      <c r="O1645" s="4288"/>
    </row>
    <row r="1646" spans="15:15">
      <c r="O1646" s="4288"/>
    </row>
    <row r="1647" spans="15:15">
      <c r="O1647" s="4288"/>
    </row>
    <row r="1648" spans="15:15">
      <c r="O1648" s="4288"/>
    </row>
    <row r="1649" spans="15:15">
      <c r="O1649" s="4288"/>
    </row>
    <row r="1650" spans="15:15">
      <c r="O1650" s="4288"/>
    </row>
    <row r="1651" spans="15:15">
      <c r="O1651" s="4288"/>
    </row>
    <row r="1652" spans="15:15">
      <c r="O1652" s="4288"/>
    </row>
    <row r="1653" spans="15:15">
      <c r="O1653" s="4288"/>
    </row>
    <row r="1654" spans="15:15">
      <c r="O1654" s="4288"/>
    </row>
    <row r="1655" spans="15:15">
      <c r="O1655" s="4288"/>
    </row>
    <row r="1656" spans="15:15">
      <c r="O1656" s="4288"/>
    </row>
    <row r="1657" spans="15:15">
      <c r="O1657" s="4288"/>
    </row>
    <row r="1658" spans="15:15">
      <c r="O1658" s="4288"/>
    </row>
    <row r="1659" spans="15:15">
      <c r="O1659" s="4288"/>
    </row>
    <row r="1660" spans="15:15">
      <c r="O1660" s="4288"/>
    </row>
    <row r="1661" spans="15:15">
      <c r="O1661" s="4288"/>
    </row>
    <row r="1662" spans="15:15">
      <c r="O1662" s="4288"/>
    </row>
    <row r="1663" spans="15:15">
      <c r="O1663" s="4288"/>
    </row>
    <row r="1664" spans="15:15">
      <c r="O1664" s="4288"/>
    </row>
    <row r="1665" spans="15:15">
      <c r="O1665" s="4288"/>
    </row>
    <row r="1666" spans="15:15">
      <c r="O1666" s="4288"/>
    </row>
    <row r="1667" spans="15:15">
      <c r="O1667" s="4288"/>
    </row>
    <row r="1668" spans="15:15">
      <c r="O1668" s="4288"/>
    </row>
    <row r="1669" spans="15:15">
      <c r="O1669" s="4288"/>
    </row>
    <row r="1670" spans="15:15">
      <c r="O1670" s="4288"/>
    </row>
    <row r="1671" spans="15:15">
      <c r="O1671" s="4288"/>
    </row>
    <row r="1672" spans="15:15">
      <c r="O1672" s="4288"/>
    </row>
    <row r="1673" spans="15:15">
      <c r="O1673" s="4288"/>
    </row>
    <row r="1674" spans="15:15">
      <c r="O1674" s="4288"/>
    </row>
    <row r="1675" spans="15:15">
      <c r="O1675" s="4288"/>
    </row>
    <row r="1676" spans="15:15">
      <c r="O1676" s="4288"/>
    </row>
    <row r="1677" spans="15:15">
      <c r="O1677" s="4288"/>
    </row>
    <row r="1678" spans="15:15">
      <c r="O1678" s="4288"/>
    </row>
    <row r="1679" spans="15:15">
      <c r="O1679" s="4288"/>
    </row>
    <row r="1680" spans="15:15">
      <c r="O1680" s="4288"/>
    </row>
    <row r="1681" spans="15:15">
      <c r="O1681" s="4288"/>
    </row>
    <row r="1682" spans="15:15">
      <c r="O1682" s="4288"/>
    </row>
    <row r="1683" spans="15:15">
      <c r="O1683" s="4288"/>
    </row>
    <row r="1684" spans="15:15">
      <c r="O1684" s="4288"/>
    </row>
    <row r="1685" spans="15:15">
      <c r="O1685" s="4288"/>
    </row>
    <row r="1686" spans="15:15">
      <c r="O1686" s="4288"/>
    </row>
    <row r="1687" spans="15:15">
      <c r="O1687" s="4288"/>
    </row>
    <row r="1688" spans="15:15">
      <c r="O1688" s="4288"/>
    </row>
    <row r="1689" spans="15:15">
      <c r="O1689" s="4288"/>
    </row>
    <row r="1690" spans="15:15">
      <c r="O1690" s="4288"/>
    </row>
    <row r="1691" spans="15:15">
      <c r="O1691" s="4288"/>
    </row>
    <row r="1692" spans="15:15">
      <c r="O1692" s="4288"/>
    </row>
    <row r="1693" spans="15:15">
      <c r="O1693" s="4288"/>
    </row>
    <row r="1694" spans="15:15">
      <c r="O1694" s="4288"/>
    </row>
    <row r="1695" spans="15:15">
      <c r="O1695" s="4288"/>
    </row>
    <row r="1696" spans="15:15">
      <c r="O1696" s="4288"/>
    </row>
    <row r="1697" spans="15:15">
      <c r="O1697" s="4288"/>
    </row>
    <row r="1698" spans="15:15">
      <c r="O1698" s="4288"/>
    </row>
    <row r="1699" spans="15:15">
      <c r="O1699" s="4288"/>
    </row>
    <row r="1700" spans="15:15">
      <c r="O1700" s="4288"/>
    </row>
    <row r="1701" spans="15:15">
      <c r="O1701" s="4288"/>
    </row>
    <row r="1702" spans="15:15">
      <c r="O1702" s="4288"/>
    </row>
    <row r="1703" spans="15:15">
      <c r="O1703" s="4288"/>
    </row>
    <row r="1704" spans="15:15">
      <c r="O1704" s="4288"/>
    </row>
    <row r="1705" spans="15:15">
      <c r="O1705" s="4288"/>
    </row>
    <row r="1706" spans="15:15">
      <c r="O1706" s="4288"/>
    </row>
    <row r="1707" spans="15:15">
      <c r="O1707" s="4288"/>
    </row>
    <row r="1708" spans="15:15">
      <c r="O1708" s="4288"/>
    </row>
    <row r="1709" spans="15:15">
      <c r="O1709" s="4288"/>
    </row>
    <row r="1710" spans="15:15">
      <c r="O1710" s="4288"/>
    </row>
    <row r="1711" spans="15:15">
      <c r="O1711" s="4288"/>
    </row>
    <row r="1712" spans="15:15">
      <c r="O1712" s="4288"/>
    </row>
    <row r="1713" spans="15:15">
      <c r="O1713" s="4288"/>
    </row>
    <row r="1714" spans="15:15">
      <c r="O1714" s="4288"/>
    </row>
    <row r="1715" spans="15:15">
      <c r="O1715" s="4288"/>
    </row>
    <row r="1716" spans="15:15">
      <c r="O1716" s="4288"/>
    </row>
    <row r="1717" spans="15:15">
      <c r="O1717" s="4288"/>
    </row>
    <row r="1718" spans="15:15">
      <c r="O1718" s="4288"/>
    </row>
    <row r="1719" spans="15:15">
      <c r="O1719" s="4288"/>
    </row>
    <row r="1720" spans="15:15">
      <c r="O1720" s="4288"/>
    </row>
    <row r="1721" spans="15:15">
      <c r="O1721" s="4288"/>
    </row>
    <row r="1722" spans="15:15">
      <c r="O1722" s="4288"/>
    </row>
    <row r="1723" spans="15:15">
      <c r="O1723" s="4288"/>
    </row>
    <row r="1724" spans="15:15">
      <c r="O1724" s="4288"/>
    </row>
    <row r="1725" spans="15:15">
      <c r="O1725" s="4288"/>
    </row>
    <row r="1726" spans="15:15">
      <c r="O1726" s="4288"/>
    </row>
    <row r="1727" spans="15:15">
      <c r="O1727" s="4288"/>
    </row>
    <row r="1728" spans="15:15">
      <c r="O1728" s="4288"/>
    </row>
    <row r="1729" spans="15:15">
      <c r="O1729" s="4288"/>
    </row>
    <row r="1730" spans="15:15">
      <c r="O1730" s="4288"/>
    </row>
    <row r="1731" spans="15:15">
      <c r="O1731" s="4288"/>
    </row>
    <row r="1732" spans="15:15">
      <c r="O1732" s="4288"/>
    </row>
    <row r="1733" spans="15:15">
      <c r="O1733" s="4288"/>
    </row>
    <row r="1734" spans="15:15">
      <c r="O1734" s="4288"/>
    </row>
    <row r="1735" spans="15:15">
      <c r="O1735" s="4288"/>
    </row>
    <row r="1736" spans="15:15">
      <c r="O1736" s="4288"/>
    </row>
    <row r="1737" spans="15:15">
      <c r="O1737" s="4288"/>
    </row>
    <row r="1738" spans="15:15">
      <c r="O1738" s="4288"/>
    </row>
    <row r="1739" spans="15:15">
      <c r="O1739" s="4288"/>
    </row>
    <row r="1740" spans="15:15">
      <c r="O1740" s="4288"/>
    </row>
    <row r="1741" spans="15:15">
      <c r="O1741" s="4288"/>
    </row>
    <row r="1742" spans="15:15">
      <c r="O1742" s="4288"/>
    </row>
    <row r="1743" spans="15:15">
      <c r="O1743" s="4288"/>
    </row>
    <row r="1744" spans="15:15">
      <c r="O1744" s="4288"/>
    </row>
    <row r="1745" spans="15:15">
      <c r="O1745" s="4288"/>
    </row>
    <row r="1746" spans="15:15">
      <c r="O1746" s="4288"/>
    </row>
    <row r="1747" spans="15:15">
      <c r="O1747" s="4288"/>
    </row>
    <row r="1748" spans="15:15">
      <c r="O1748" s="4288"/>
    </row>
    <row r="1749" spans="15:15">
      <c r="O1749" s="4288"/>
    </row>
    <row r="1750" spans="15:15">
      <c r="O1750" s="4288"/>
    </row>
    <row r="1751" spans="15:15">
      <c r="O1751" s="4288"/>
    </row>
    <row r="1752" spans="15:15">
      <c r="O1752" s="4288"/>
    </row>
    <row r="1753" spans="15:15">
      <c r="O1753" s="4288"/>
    </row>
    <row r="1754" spans="15:15">
      <c r="O1754" s="4288"/>
    </row>
    <row r="1755" spans="15:15">
      <c r="O1755" s="4288"/>
    </row>
    <row r="1756" spans="15:15">
      <c r="O1756" s="4288"/>
    </row>
    <row r="1757" spans="15:15">
      <c r="O1757" s="4288"/>
    </row>
    <row r="1758" spans="15:15">
      <c r="O1758" s="4288"/>
    </row>
    <row r="1759" spans="15:15">
      <c r="O1759" s="4288"/>
    </row>
    <row r="1760" spans="15:15">
      <c r="O1760" s="4288"/>
    </row>
    <row r="1761" spans="15:15">
      <c r="O1761" s="4288"/>
    </row>
    <row r="1762" spans="15:15">
      <c r="O1762" s="4288"/>
    </row>
    <row r="1763" spans="15:15">
      <c r="O1763" s="4288"/>
    </row>
    <row r="1764" spans="15:15">
      <c r="O1764" s="4288"/>
    </row>
    <row r="1765" spans="15:15">
      <c r="O1765" s="4288"/>
    </row>
    <row r="1766" spans="15:15">
      <c r="O1766" s="4288"/>
    </row>
    <row r="1767" spans="15:15">
      <c r="O1767" s="4288"/>
    </row>
    <row r="1768" spans="15:15">
      <c r="O1768" s="4288"/>
    </row>
    <row r="1769" spans="15:15">
      <c r="O1769" s="4288"/>
    </row>
    <row r="1770" spans="15:15">
      <c r="O1770" s="4288"/>
    </row>
    <row r="1771" spans="15:15">
      <c r="O1771" s="4288"/>
    </row>
    <row r="1772" spans="15:15">
      <c r="O1772" s="4288"/>
    </row>
    <row r="1773" spans="15:15">
      <c r="O1773" s="4288"/>
    </row>
    <row r="1774" spans="15:15">
      <c r="O1774" s="4288"/>
    </row>
    <row r="1775" spans="15:15">
      <c r="O1775" s="4288"/>
    </row>
    <row r="1776" spans="15:15">
      <c r="O1776" s="4288"/>
    </row>
    <row r="1777" spans="15:15">
      <c r="O1777" s="4288"/>
    </row>
    <row r="1778" spans="15:15">
      <c r="O1778" s="4288"/>
    </row>
    <row r="1779" spans="15:15">
      <c r="O1779" s="4288"/>
    </row>
    <row r="1780" spans="15:15">
      <c r="O1780" s="4288"/>
    </row>
    <row r="1781" spans="15:15">
      <c r="O1781" s="4288"/>
    </row>
    <row r="1782" spans="15:15">
      <c r="O1782" s="4288"/>
    </row>
    <row r="1783" spans="15:15">
      <c r="O1783" s="4288"/>
    </row>
    <row r="1784" spans="15:15">
      <c r="O1784" s="4288"/>
    </row>
    <row r="1785" spans="15:15">
      <c r="O1785" s="4288"/>
    </row>
    <row r="1786" spans="15:15">
      <c r="O1786" s="4288"/>
    </row>
    <row r="1787" spans="15:15">
      <c r="O1787" s="4288"/>
    </row>
    <row r="1788" spans="15:15">
      <c r="O1788" s="4288"/>
    </row>
    <row r="1789" spans="15:15">
      <c r="O1789" s="4288"/>
    </row>
    <row r="1790" spans="15:15">
      <c r="O1790" s="4288"/>
    </row>
    <row r="1791" spans="15:15">
      <c r="O1791" s="4288"/>
    </row>
    <row r="1792" spans="15:15">
      <c r="O1792" s="4288"/>
    </row>
    <row r="1793" spans="15:15">
      <c r="O1793" s="4288"/>
    </row>
    <row r="1794" spans="15:15">
      <c r="O1794" s="4288"/>
    </row>
    <row r="1795" spans="15:15">
      <c r="O1795" s="4288"/>
    </row>
    <row r="1796" spans="15:15">
      <c r="O1796" s="4288"/>
    </row>
    <row r="1797" spans="15:15">
      <c r="O1797" s="4288"/>
    </row>
    <row r="1798" spans="15:15">
      <c r="O1798" s="4288"/>
    </row>
    <row r="1799" spans="15:15">
      <c r="O1799" s="4288"/>
    </row>
    <row r="1800" spans="15:15">
      <c r="O1800" s="4288"/>
    </row>
    <row r="1801" spans="15:15">
      <c r="O1801" s="4288"/>
    </row>
    <row r="1802" spans="15:15">
      <c r="O1802" s="4288"/>
    </row>
    <row r="1803" spans="15:15">
      <c r="O1803" s="4288"/>
    </row>
    <row r="1804" spans="15:15">
      <c r="O1804" s="4288"/>
    </row>
    <row r="1805" spans="15:15">
      <c r="O1805" s="4288"/>
    </row>
    <row r="1806" spans="15:15">
      <c r="O1806" s="4288"/>
    </row>
    <row r="1807" spans="15:15">
      <c r="O1807" s="4288"/>
    </row>
    <row r="1808" spans="15:15">
      <c r="O1808" s="4288"/>
    </row>
    <row r="1809" spans="15:15">
      <c r="O1809" s="4288"/>
    </row>
    <row r="1810" spans="15:15">
      <c r="O1810" s="4288"/>
    </row>
    <row r="1811" spans="15:15">
      <c r="O1811" s="4288"/>
    </row>
    <row r="1812" spans="15:15">
      <c r="O1812" s="4288"/>
    </row>
    <row r="1813" spans="15:15">
      <c r="O1813" s="4288"/>
    </row>
    <row r="1814" spans="15:15">
      <c r="O1814" s="4288"/>
    </row>
    <row r="1815" spans="15:15">
      <c r="O1815" s="4288"/>
    </row>
    <row r="1816" spans="15:15">
      <c r="O1816" s="4288"/>
    </row>
    <row r="1817" spans="15:15">
      <c r="O1817" s="4288"/>
    </row>
    <row r="1818" spans="15:15">
      <c r="O1818" s="4288"/>
    </row>
    <row r="1819" spans="15:15">
      <c r="O1819" s="4288"/>
    </row>
    <row r="1820" spans="15:15">
      <c r="O1820" s="4288"/>
    </row>
    <row r="1821" spans="15:15">
      <c r="O1821" s="4288"/>
    </row>
    <row r="1822" spans="15:15">
      <c r="O1822" s="4288"/>
    </row>
    <row r="1823" spans="15:15">
      <c r="O1823" s="4288"/>
    </row>
    <row r="1824" spans="15:15">
      <c r="O1824" s="4288"/>
    </row>
    <row r="1825" spans="15:15">
      <c r="O1825" s="4288"/>
    </row>
    <row r="1826" spans="15:15">
      <c r="O1826" s="4288"/>
    </row>
    <row r="1827" spans="15:15">
      <c r="O1827" s="4288"/>
    </row>
    <row r="1828" spans="15:15">
      <c r="O1828" s="4288"/>
    </row>
    <row r="1829" spans="15:15">
      <c r="O1829" s="4288"/>
    </row>
    <row r="1830" spans="15:15">
      <c r="O1830" s="4288"/>
    </row>
    <row r="1831" spans="15:15">
      <c r="O1831" s="4288"/>
    </row>
    <row r="1832" spans="15:15">
      <c r="O1832" s="4288"/>
    </row>
    <row r="1833" spans="15:15">
      <c r="O1833" s="4288"/>
    </row>
    <row r="1834" spans="15:15">
      <c r="O1834" s="4288"/>
    </row>
    <row r="1835" spans="15:15">
      <c r="O1835" s="4288"/>
    </row>
    <row r="1836" spans="15:15">
      <c r="O1836" s="4288"/>
    </row>
    <row r="1837" spans="15:15">
      <c r="O1837" s="4288"/>
    </row>
    <row r="1838" spans="15:15">
      <c r="O1838" s="4288"/>
    </row>
    <row r="1839" spans="15:15">
      <c r="O1839" s="4288"/>
    </row>
    <row r="1840" spans="15:15">
      <c r="O1840" s="4288"/>
    </row>
    <row r="1841" spans="15:15">
      <c r="O1841" s="4288"/>
    </row>
    <row r="1842" spans="15:15">
      <c r="O1842" s="4288"/>
    </row>
    <row r="1843" spans="15:15">
      <c r="O1843" s="4288"/>
    </row>
    <row r="1844" spans="15:15">
      <c r="O1844" s="4288"/>
    </row>
    <row r="1845" spans="15:15">
      <c r="O1845" s="4288"/>
    </row>
    <row r="1846" spans="15:15">
      <c r="O1846" s="4288"/>
    </row>
    <row r="1847" spans="15:15">
      <c r="O1847" s="4288"/>
    </row>
    <row r="1848" spans="15:15">
      <c r="O1848" s="4288"/>
    </row>
    <row r="1849" spans="15:15">
      <c r="O1849" s="4288"/>
    </row>
    <row r="1850" spans="15:15">
      <c r="O1850" s="4288"/>
    </row>
    <row r="1851" spans="15:15">
      <c r="O1851" s="4288"/>
    </row>
    <row r="1852" spans="15:15">
      <c r="O1852" s="4288"/>
    </row>
    <row r="1853" spans="15:15">
      <c r="O1853" s="4288"/>
    </row>
    <row r="1854" spans="15:15">
      <c r="O1854" s="4288"/>
    </row>
    <row r="1855" spans="15:15">
      <c r="O1855" s="4288"/>
    </row>
    <row r="1856" spans="15:15">
      <c r="O1856" s="4288"/>
    </row>
    <row r="1857" spans="15:15">
      <c r="O1857" s="4288"/>
    </row>
    <row r="1858" spans="15:15">
      <c r="O1858" s="4288"/>
    </row>
    <row r="1859" spans="15:15">
      <c r="O1859" s="4288"/>
    </row>
    <row r="1860" spans="15:15">
      <c r="O1860" s="4288"/>
    </row>
    <row r="1861" spans="15:15">
      <c r="O1861" s="4288"/>
    </row>
    <row r="1862" spans="15:15">
      <c r="O1862" s="4288"/>
    </row>
    <row r="1863" spans="15:15">
      <c r="O1863" s="4288"/>
    </row>
    <row r="1864" spans="15:15">
      <c r="O1864" s="4288"/>
    </row>
    <row r="1865" spans="15:15">
      <c r="O1865" s="4288"/>
    </row>
    <row r="1866" spans="15:15">
      <c r="O1866" s="4288"/>
    </row>
    <row r="1867" spans="15:15">
      <c r="O1867" s="4288"/>
    </row>
    <row r="1868" spans="15:15">
      <c r="O1868" s="4288"/>
    </row>
    <row r="1869" spans="15:15">
      <c r="O1869" s="4288"/>
    </row>
    <row r="1870" spans="15:15">
      <c r="O1870" s="4288"/>
    </row>
    <row r="1871" spans="15:15">
      <c r="O1871" s="4288"/>
    </row>
    <row r="1872" spans="15:15">
      <c r="O1872" s="4288"/>
    </row>
    <row r="1873" spans="15:15">
      <c r="O1873" s="4288"/>
    </row>
    <row r="1874" spans="15:15">
      <c r="O1874" s="4288"/>
    </row>
    <row r="1875" spans="15:15">
      <c r="O1875" s="4288"/>
    </row>
    <row r="1876" spans="15:15">
      <c r="O1876" s="4288"/>
    </row>
    <row r="1877" spans="15:15">
      <c r="O1877" s="4288"/>
    </row>
    <row r="1878" spans="15:15">
      <c r="O1878" s="4288"/>
    </row>
    <row r="1879" spans="15:15">
      <c r="O1879" s="4288"/>
    </row>
    <row r="1880" spans="15:15">
      <c r="O1880" s="4288"/>
    </row>
    <row r="1881" spans="15:15">
      <c r="O1881" s="4288"/>
    </row>
    <row r="1882" spans="15:15">
      <c r="O1882" s="4288"/>
    </row>
    <row r="1883" spans="15:15">
      <c r="O1883" s="4288"/>
    </row>
    <row r="1884" spans="15:15">
      <c r="O1884" s="4288"/>
    </row>
    <row r="1885" spans="15:15">
      <c r="O1885" s="4288"/>
    </row>
    <row r="1886" spans="15:15">
      <c r="O1886" s="4288"/>
    </row>
    <row r="1887" spans="15:15">
      <c r="O1887" s="4288"/>
    </row>
    <row r="1888" spans="15:15">
      <c r="O1888" s="4288"/>
    </row>
    <row r="1889" spans="15:15">
      <c r="O1889" s="4288"/>
    </row>
    <row r="1890" spans="15:15">
      <c r="O1890" s="4288"/>
    </row>
    <row r="1891" spans="15:15">
      <c r="O1891" s="4288"/>
    </row>
    <row r="1892" spans="15:15">
      <c r="O1892" s="4288"/>
    </row>
    <row r="1893" spans="15:15">
      <c r="O1893" s="4288"/>
    </row>
    <row r="1894" spans="15:15">
      <c r="O1894" s="4288"/>
    </row>
    <row r="1895" spans="15:15">
      <c r="O1895" s="4288"/>
    </row>
    <row r="1896" spans="15:15">
      <c r="O1896" s="4288"/>
    </row>
    <row r="1897" spans="15:15">
      <c r="O1897" s="4288"/>
    </row>
    <row r="1898" spans="15:15">
      <c r="O1898" s="4288"/>
    </row>
    <row r="1899" spans="15:15">
      <c r="O1899" s="4288"/>
    </row>
    <row r="1900" spans="15:15">
      <c r="O1900" s="4288"/>
    </row>
    <row r="1901" spans="15:15">
      <c r="O1901" s="4288"/>
    </row>
    <row r="1902" spans="15:15">
      <c r="O1902" s="4288"/>
    </row>
    <row r="1903" spans="15:15">
      <c r="O1903" s="4288"/>
    </row>
    <row r="1904" spans="15:15">
      <c r="O1904" s="4288"/>
    </row>
    <row r="1905" spans="15:15">
      <c r="O1905" s="4288"/>
    </row>
    <row r="1906" spans="15:15">
      <c r="O1906" s="4288"/>
    </row>
    <row r="1907" spans="15:15">
      <c r="O1907" s="4288"/>
    </row>
    <row r="1908" spans="15:15">
      <c r="O1908" s="4288"/>
    </row>
    <row r="1909" spans="15:15">
      <c r="O1909" s="4288"/>
    </row>
    <row r="1910" spans="15:15">
      <c r="O1910" s="4288"/>
    </row>
    <row r="1911" spans="15:15">
      <c r="O1911" s="4288"/>
    </row>
    <row r="1912" spans="15:15">
      <c r="O1912" s="4288"/>
    </row>
    <row r="1913" spans="15:15">
      <c r="O1913" s="4288"/>
    </row>
    <row r="1914" spans="15:15">
      <c r="O1914" s="4288"/>
    </row>
    <row r="1915" spans="15:15">
      <c r="O1915" s="4288"/>
    </row>
    <row r="1916" spans="15:15">
      <c r="O1916" s="4288"/>
    </row>
    <row r="1917" spans="15:15">
      <c r="O1917" s="4288"/>
    </row>
    <row r="1918" spans="15:15">
      <c r="O1918" s="4288"/>
    </row>
    <row r="1919" spans="15:15">
      <c r="O1919" s="4288"/>
    </row>
    <row r="1920" spans="15:15">
      <c r="O1920" s="4288"/>
    </row>
    <row r="1921" spans="15:15">
      <c r="O1921" s="4288"/>
    </row>
    <row r="1922" spans="15:15">
      <c r="O1922" s="4288"/>
    </row>
    <row r="1923" spans="15:15">
      <c r="O1923" s="4288"/>
    </row>
    <row r="1924" spans="15:15">
      <c r="O1924" s="4288"/>
    </row>
    <row r="1925" spans="15:15">
      <c r="O1925" s="4288"/>
    </row>
    <row r="1926" spans="15:15">
      <c r="O1926" s="4288"/>
    </row>
    <row r="1927" spans="15:15">
      <c r="O1927" s="4288"/>
    </row>
    <row r="1928" spans="15:15">
      <c r="O1928" s="4288"/>
    </row>
    <row r="1929" spans="15:15">
      <c r="O1929" s="4288"/>
    </row>
    <row r="1930" spans="15:15">
      <c r="O1930" s="4288"/>
    </row>
    <row r="1931" spans="15:15">
      <c r="O1931" s="4288"/>
    </row>
    <row r="1932" spans="15:15">
      <c r="O1932" s="4288"/>
    </row>
    <row r="1933" spans="15:15">
      <c r="O1933" s="4288"/>
    </row>
    <row r="1934" spans="15:15">
      <c r="O1934" s="4288"/>
    </row>
    <row r="1935" spans="15:15">
      <c r="O1935" s="4288"/>
    </row>
    <row r="1936" spans="15:15">
      <c r="O1936" s="4288"/>
    </row>
    <row r="1937" spans="15:15">
      <c r="O1937" s="4288"/>
    </row>
    <row r="1938" spans="15:15">
      <c r="O1938" s="4288"/>
    </row>
    <row r="1939" spans="15:15">
      <c r="O1939" s="4288"/>
    </row>
    <row r="1940" spans="15:15">
      <c r="O1940" s="4288"/>
    </row>
    <row r="1941" spans="15:15">
      <c r="O1941" s="4288"/>
    </row>
    <row r="1942" spans="15:15">
      <c r="O1942" s="4288"/>
    </row>
    <row r="1943" spans="15:15">
      <c r="O1943" s="4288"/>
    </row>
    <row r="1944" spans="15:15">
      <c r="O1944" s="4288"/>
    </row>
    <row r="1945" spans="15:15">
      <c r="O1945" s="4288"/>
    </row>
    <row r="1946" spans="15:15">
      <c r="O1946" s="4288"/>
    </row>
    <row r="1947" spans="15:15">
      <c r="O1947" s="4288"/>
    </row>
    <row r="1948" spans="15:15">
      <c r="O1948" s="4288"/>
    </row>
    <row r="1949" spans="15:15">
      <c r="O1949" s="4288"/>
    </row>
    <row r="1950" spans="15:15">
      <c r="O1950" s="4288"/>
    </row>
    <row r="1951" spans="15:15">
      <c r="O1951" s="4288"/>
    </row>
    <row r="1952" spans="15:15">
      <c r="O1952" s="4288"/>
    </row>
    <row r="1953" spans="15:15">
      <c r="O1953" s="4288"/>
    </row>
    <row r="1954" spans="15:15">
      <c r="O1954" s="4288"/>
    </row>
    <row r="1955" spans="15:15">
      <c r="O1955" s="4288"/>
    </row>
    <row r="1956" spans="15:15">
      <c r="O1956" s="4288"/>
    </row>
    <row r="1957" spans="15:15">
      <c r="O1957" s="4288"/>
    </row>
    <row r="1958" spans="15:15">
      <c r="O1958" s="4288"/>
    </row>
    <row r="1959" spans="15:15">
      <c r="O1959" s="4288"/>
    </row>
    <row r="1960" spans="15:15">
      <c r="O1960" s="4288"/>
    </row>
    <row r="1961" spans="15:15">
      <c r="O1961" s="4288"/>
    </row>
    <row r="1962" spans="15:15">
      <c r="O1962" s="4288"/>
    </row>
    <row r="1963" spans="15:15">
      <c r="O1963" s="4288"/>
    </row>
    <row r="1964" spans="15:15">
      <c r="O1964" s="4288"/>
    </row>
    <row r="1965" spans="15:15">
      <c r="O1965" s="4288"/>
    </row>
    <row r="1966" spans="15:15">
      <c r="O1966" s="4288"/>
    </row>
    <row r="1967" spans="15:15">
      <c r="O1967" s="4288"/>
    </row>
    <row r="1968" spans="15:15">
      <c r="O1968" s="4288"/>
    </row>
    <row r="1969" spans="15:15">
      <c r="O1969" s="4288"/>
    </row>
    <row r="1970" spans="15:15">
      <c r="O1970" s="4288"/>
    </row>
    <row r="1971" spans="15:15">
      <c r="O1971" s="4288"/>
    </row>
    <row r="1972" spans="15:15">
      <c r="O1972" s="4288"/>
    </row>
    <row r="1973" spans="15:15">
      <c r="O1973" s="4288"/>
    </row>
    <row r="1974" spans="15:15">
      <c r="O1974" s="4288"/>
    </row>
    <row r="1975" spans="15:15">
      <c r="O1975" s="4288"/>
    </row>
    <row r="1976" spans="15:15">
      <c r="O1976" s="4288"/>
    </row>
    <row r="1977" spans="15:15">
      <c r="O1977" s="4288"/>
    </row>
    <row r="1978" spans="15:15">
      <c r="O1978" s="4288"/>
    </row>
    <row r="1979" spans="15:15">
      <c r="O1979" s="4288"/>
    </row>
    <row r="1980" spans="15:15">
      <c r="O1980" s="4288"/>
    </row>
    <row r="1981" spans="15:15">
      <c r="O1981" s="4288"/>
    </row>
    <row r="1982" spans="15:15">
      <c r="O1982" s="4288"/>
    </row>
    <row r="1983" spans="15:15">
      <c r="O1983" s="4288"/>
    </row>
    <row r="1984" spans="15:15">
      <c r="O1984" s="4288"/>
    </row>
    <row r="1985" spans="15:15">
      <c r="O1985" s="4288"/>
    </row>
    <row r="1986" spans="15:15">
      <c r="O1986" s="4288"/>
    </row>
    <row r="1987" spans="15:15">
      <c r="O1987" s="4288"/>
    </row>
    <row r="1988" spans="15:15">
      <c r="O1988" s="4288"/>
    </row>
    <row r="1989" spans="15:15">
      <c r="O1989" s="4288"/>
    </row>
    <row r="1990" spans="15:15">
      <c r="O1990" s="4288"/>
    </row>
    <row r="1991" spans="15:15">
      <c r="O1991" s="4288"/>
    </row>
    <row r="1992" spans="15:15">
      <c r="O1992" s="4288"/>
    </row>
    <row r="1993" spans="15:15">
      <c r="O1993" s="4288"/>
    </row>
    <row r="1994" spans="15:15">
      <c r="O1994" s="4288"/>
    </row>
    <row r="1995" spans="15:15">
      <c r="O1995" s="4288"/>
    </row>
    <row r="1996" spans="15:15">
      <c r="O1996" s="4288"/>
    </row>
    <row r="1997" spans="15:15">
      <c r="O1997" s="4288"/>
    </row>
    <row r="1998" spans="15:15">
      <c r="O1998" s="4288"/>
    </row>
    <row r="1999" spans="15:15">
      <c r="O1999" s="4288"/>
    </row>
    <row r="2000" spans="15:15">
      <c r="O2000" s="4288"/>
    </row>
    <row r="2001" spans="15:15">
      <c r="O2001" s="4288"/>
    </row>
    <row r="2002" spans="15:15">
      <c r="O2002" s="4288"/>
    </row>
    <row r="2003" spans="15:15">
      <c r="O2003" s="4288"/>
    </row>
    <row r="2004" spans="15:15">
      <c r="O2004" s="4288"/>
    </row>
    <row r="2005" spans="15:15">
      <c r="O2005" s="4288"/>
    </row>
    <row r="2006" spans="15:15">
      <c r="O2006" s="4288"/>
    </row>
    <row r="2007" spans="15:15">
      <c r="O2007" s="4288"/>
    </row>
    <row r="2008" spans="15:15">
      <c r="O2008" s="4288"/>
    </row>
    <row r="2009" spans="15:15">
      <c r="O2009" s="4288"/>
    </row>
    <row r="2010" spans="15:15">
      <c r="O2010" s="4288"/>
    </row>
    <row r="2011" spans="15:15">
      <c r="O2011" s="4288"/>
    </row>
    <row r="2012" spans="15:15">
      <c r="O2012" s="4288"/>
    </row>
    <row r="2013" spans="15:15">
      <c r="O2013" s="4288"/>
    </row>
    <row r="2014" spans="15:15">
      <c r="O2014" s="4288"/>
    </row>
    <row r="2015" spans="15:15">
      <c r="O2015" s="4288"/>
    </row>
    <row r="2016" spans="15:15">
      <c r="O2016" s="4288"/>
    </row>
    <row r="2017" spans="15:15">
      <c r="O2017" s="4288"/>
    </row>
    <row r="2018" spans="15:15">
      <c r="O2018" s="4288"/>
    </row>
    <row r="2019" spans="15:15">
      <c r="O2019" s="4288"/>
    </row>
    <row r="2020" spans="15:15">
      <c r="O2020" s="4288"/>
    </row>
    <row r="2021" spans="15:15">
      <c r="O2021" s="4288"/>
    </row>
    <row r="2022" spans="15:15">
      <c r="O2022" s="4288"/>
    </row>
    <row r="2023" spans="15:15">
      <c r="O2023" s="4288"/>
    </row>
    <row r="2024" spans="15:15">
      <c r="O2024" s="4288"/>
    </row>
    <row r="2025" spans="15:15">
      <c r="O2025" s="4288"/>
    </row>
    <row r="2026" spans="15:15">
      <c r="O2026" s="4288"/>
    </row>
    <row r="2027" spans="15:15">
      <c r="O2027" s="4288"/>
    </row>
    <row r="2028" spans="15:15">
      <c r="O2028" s="4288"/>
    </row>
    <row r="2029" spans="15:15">
      <c r="O2029" s="4288"/>
    </row>
    <row r="2030" spans="15:15">
      <c r="O2030" s="4288"/>
    </row>
    <row r="2031" spans="15:15">
      <c r="O2031" s="4288"/>
    </row>
    <row r="2032" spans="15:15">
      <c r="O2032" s="4288"/>
    </row>
    <row r="2033" spans="15:15">
      <c r="O2033" s="4288"/>
    </row>
    <row r="2034" spans="15:15">
      <c r="O2034" s="4288"/>
    </row>
    <row r="2035" spans="15:15">
      <c r="O2035" s="4288"/>
    </row>
    <row r="2036" spans="15:15">
      <c r="O2036" s="4288"/>
    </row>
    <row r="2037" spans="15:15">
      <c r="O2037" s="4288"/>
    </row>
    <row r="2038" spans="15:15">
      <c r="O2038" s="4288"/>
    </row>
    <row r="2039" spans="15:15">
      <c r="O2039" s="4288"/>
    </row>
    <row r="2040" spans="15:15">
      <c r="O2040" s="4288"/>
    </row>
    <row r="2041" spans="15:15">
      <c r="O2041" s="4288"/>
    </row>
    <row r="2042" spans="15:15">
      <c r="O2042" s="4288"/>
    </row>
    <row r="2043" spans="15:15">
      <c r="O2043" s="4288"/>
    </row>
    <row r="2044" spans="15:15">
      <c r="O2044" s="4288"/>
    </row>
    <row r="2045" spans="15:15">
      <c r="O2045" s="4288"/>
    </row>
    <row r="2046" spans="15:15">
      <c r="O2046" s="4288"/>
    </row>
    <row r="2047" spans="15:15">
      <c r="O2047" s="4288"/>
    </row>
    <row r="2048" spans="15:15">
      <c r="O2048" s="4288"/>
    </row>
    <row r="2049" spans="15:15">
      <c r="O2049" s="4288"/>
    </row>
    <row r="2050" spans="15:15">
      <c r="O2050" s="4288"/>
    </row>
    <row r="2051" spans="15:15">
      <c r="O2051" s="4288"/>
    </row>
    <row r="2052" spans="15:15">
      <c r="O2052" s="4288"/>
    </row>
    <row r="2053" spans="15:15">
      <c r="O2053" s="4288"/>
    </row>
    <row r="2054" spans="15:15">
      <c r="O2054" s="4288"/>
    </row>
    <row r="2055" spans="15:15">
      <c r="O2055" s="4288"/>
    </row>
    <row r="2056" spans="15:15">
      <c r="O2056" s="4288"/>
    </row>
    <row r="2057" spans="15:15">
      <c r="O2057" s="4288"/>
    </row>
    <row r="2058" spans="15:15">
      <c r="O2058" s="4288"/>
    </row>
    <row r="2059" spans="15:15">
      <c r="O2059" s="4288"/>
    </row>
    <row r="2060" spans="15:15">
      <c r="O2060" s="4288"/>
    </row>
    <row r="2061" spans="15:15">
      <c r="O2061" s="4288"/>
    </row>
    <row r="2062" spans="15:15">
      <c r="O2062" s="4288"/>
    </row>
    <row r="2063" spans="15:15">
      <c r="O2063" s="4288"/>
    </row>
    <row r="2064" spans="15:15">
      <c r="O2064" s="4288"/>
    </row>
    <row r="2065" spans="15:15">
      <c r="O2065" s="4288"/>
    </row>
    <row r="2066" spans="15:15">
      <c r="O2066" s="4288"/>
    </row>
    <row r="2067" spans="15:15">
      <c r="O2067" s="4288"/>
    </row>
    <row r="2068" spans="15:15">
      <c r="O2068" s="4288"/>
    </row>
    <row r="2069" spans="15:15">
      <c r="O2069" s="4288"/>
    </row>
    <row r="2070" spans="15:15">
      <c r="O2070" s="4288"/>
    </row>
    <row r="2071" spans="15:15">
      <c r="O2071" s="4288"/>
    </row>
    <row r="2072" spans="15:15">
      <c r="O2072" s="4288"/>
    </row>
    <row r="2073" spans="15:15">
      <c r="O2073" s="4288"/>
    </row>
    <row r="2074" spans="15:15">
      <c r="O2074" s="4288"/>
    </row>
    <row r="2075" spans="15:15">
      <c r="O2075" s="4288"/>
    </row>
    <row r="2076" spans="15:15">
      <c r="O2076" s="4288"/>
    </row>
    <row r="2077" spans="15:15">
      <c r="O2077" s="4288"/>
    </row>
    <row r="2078" spans="15:15">
      <c r="O2078" s="4288"/>
    </row>
    <row r="2079" spans="15:15">
      <c r="O2079" s="4288"/>
    </row>
    <row r="2080" spans="15:15">
      <c r="O2080" s="4288"/>
    </row>
    <row r="2081" spans="15:15">
      <c r="O2081" s="4288"/>
    </row>
    <row r="2082" spans="15:15">
      <c r="O2082" s="4288"/>
    </row>
    <row r="2083" spans="15:15">
      <c r="O2083" s="4288"/>
    </row>
    <row r="2084" spans="15:15">
      <c r="O2084" s="4288"/>
    </row>
    <row r="2085" spans="15:15">
      <c r="O2085" s="4288"/>
    </row>
    <row r="2086" spans="15:15">
      <c r="O2086" s="4288"/>
    </row>
    <row r="2087" spans="15:15">
      <c r="O2087" s="4288"/>
    </row>
    <row r="2088" spans="15:15">
      <c r="O2088" s="4288"/>
    </row>
    <row r="2089" spans="15:15">
      <c r="O2089" s="4288"/>
    </row>
    <row r="2090" spans="15:15">
      <c r="O2090" s="4288"/>
    </row>
    <row r="2091" spans="15:15">
      <c r="O2091" s="4288"/>
    </row>
    <row r="2092" spans="15:15">
      <c r="O2092" s="4288"/>
    </row>
    <row r="2093" spans="15:15">
      <c r="O2093" s="4288"/>
    </row>
    <row r="2094" spans="15:15">
      <c r="O2094" s="4288"/>
    </row>
    <row r="2095" spans="15:15">
      <c r="O2095" s="4288"/>
    </row>
    <row r="2096" spans="15:15">
      <c r="O2096" s="4288"/>
    </row>
    <row r="2097" spans="15:15">
      <c r="O2097" s="4288"/>
    </row>
    <row r="2098" spans="15:15">
      <c r="O2098" s="4288"/>
    </row>
    <row r="2099" spans="15:15">
      <c r="O2099" s="4288"/>
    </row>
    <row r="2100" spans="15:15">
      <c r="O2100" s="4288"/>
    </row>
    <row r="2101" spans="15:15">
      <c r="O2101" s="4288"/>
    </row>
    <row r="2102" spans="15:15">
      <c r="O2102" s="4288"/>
    </row>
    <row r="2103" spans="15:15">
      <c r="O2103" s="4288"/>
    </row>
    <row r="2104" spans="15:15">
      <c r="O2104" s="4288"/>
    </row>
    <row r="2105" spans="15:15">
      <c r="O2105" s="4288"/>
    </row>
    <row r="2106" spans="15:15">
      <c r="O2106" s="4288"/>
    </row>
    <row r="2107" spans="15:15">
      <c r="O2107" s="4288"/>
    </row>
    <row r="2108" spans="15:15">
      <c r="O2108" s="4288"/>
    </row>
    <row r="2109" spans="15:15">
      <c r="O2109" s="4288"/>
    </row>
    <row r="2110" spans="15:15">
      <c r="O2110" s="4288"/>
    </row>
    <row r="2111" spans="15:15">
      <c r="O2111" s="4288"/>
    </row>
    <row r="2112" spans="15:15">
      <c r="O2112" s="4288"/>
    </row>
    <row r="2113" spans="15:15">
      <c r="O2113" s="4288"/>
    </row>
    <row r="2114" spans="15:15">
      <c r="O2114" s="4288"/>
    </row>
    <row r="2115" spans="15:15">
      <c r="O2115" s="4288"/>
    </row>
    <row r="2116" spans="15:15">
      <c r="O2116" s="4288"/>
    </row>
    <row r="2117" spans="15:15">
      <c r="O2117" s="4288"/>
    </row>
    <row r="2118" spans="15:15">
      <c r="O2118" s="4288"/>
    </row>
    <row r="2119" spans="15:15">
      <c r="O2119" s="4288"/>
    </row>
    <row r="2120" spans="15:15">
      <c r="O2120" s="4288"/>
    </row>
    <row r="2121" spans="15:15">
      <c r="O2121" s="4288"/>
    </row>
    <row r="2122" spans="15:15">
      <c r="O2122" s="4288"/>
    </row>
    <row r="2123" spans="15:15">
      <c r="O2123" s="4288"/>
    </row>
    <row r="2124" spans="15:15">
      <c r="O2124" s="4288"/>
    </row>
    <row r="2125" spans="15:15">
      <c r="O2125" s="4288"/>
    </row>
    <row r="2126" spans="15:15">
      <c r="O2126" s="4288"/>
    </row>
    <row r="2127" spans="15:15">
      <c r="O2127" s="4288"/>
    </row>
    <row r="2128" spans="15:15">
      <c r="O2128" s="4288"/>
    </row>
    <row r="2129" spans="15:15">
      <c r="O2129" s="4288"/>
    </row>
    <row r="2130" spans="15:15">
      <c r="O2130" s="4288"/>
    </row>
    <row r="2131" spans="15:15">
      <c r="O2131" s="4288"/>
    </row>
    <row r="2132" spans="15:15">
      <c r="O2132" s="4288"/>
    </row>
    <row r="2133" spans="15:15">
      <c r="O2133" s="4288"/>
    </row>
    <row r="2134" spans="15:15">
      <c r="O2134" s="4288"/>
    </row>
    <row r="2135" spans="15:15">
      <c r="O2135" s="4288"/>
    </row>
    <row r="2136" spans="15:15">
      <c r="O2136" s="4288"/>
    </row>
    <row r="2137" spans="15:15">
      <c r="O2137" s="4288"/>
    </row>
    <row r="2138" spans="15:15">
      <c r="O2138" s="4288"/>
    </row>
    <row r="2139" spans="15:15">
      <c r="O2139" s="4288"/>
    </row>
    <row r="2140" spans="15:15">
      <c r="O2140" s="4288"/>
    </row>
    <row r="2141" spans="15:15">
      <c r="O2141" s="4288"/>
    </row>
    <row r="2142" spans="15:15">
      <c r="O2142" s="4288"/>
    </row>
    <row r="2143" spans="15:15">
      <c r="O2143" s="4288"/>
    </row>
    <row r="2144" spans="15:15">
      <c r="O2144" s="4288"/>
    </row>
    <row r="2145" spans="15:15">
      <c r="O2145" s="4288"/>
    </row>
    <row r="2146" spans="15:15">
      <c r="O2146" s="4288"/>
    </row>
    <row r="2147" spans="15:15">
      <c r="O2147" s="4288"/>
    </row>
    <row r="2148" spans="15:15">
      <c r="O2148" s="4288"/>
    </row>
    <row r="2149" spans="15:15">
      <c r="O2149" s="4288"/>
    </row>
    <row r="2150" spans="15:15">
      <c r="O2150" s="4288"/>
    </row>
    <row r="2151" spans="15:15">
      <c r="O2151" s="4288"/>
    </row>
    <row r="2152" spans="15:15">
      <c r="O2152" s="4288"/>
    </row>
    <row r="2153" spans="15:15">
      <c r="O2153" s="4288"/>
    </row>
    <row r="2154" spans="15:15">
      <c r="O2154" s="4288"/>
    </row>
    <row r="2155" spans="15:15">
      <c r="O2155" s="4288"/>
    </row>
    <row r="2156" spans="15:15">
      <c r="O2156" s="4288"/>
    </row>
    <row r="2157" spans="15:15">
      <c r="O2157" s="4288"/>
    </row>
    <row r="2158" spans="15:15">
      <c r="O2158" s="4288"/>
    </row>
    <row r="2159" spans="15:15">
      <c r="O2159" s="4288"/>
    </row>
    <row r="2160" spans="15:15">
      <c r="O2160" s="4288"/>
    </row>
    <row r="2161" spans="15:15">
      <c r="O2161" s="4288"/>
    </row>
    <row r="2162" spans="15:15">
      <c r="O2162" s="4288"/>
    </row>
    <row r="2163" spans="15:15">
      <c r="O2163" s="4288"/>
    </row>
    <row r="2164" spans="15:15">
      <c r="O2164" s="4288"/>
    </row>
    <row r="2165" spans="15:15">
      <c r="O2165" s="4288"/>
    </row>
    <row r="2166" spans="15:15">
      <c r="O2166" s="4288"/>
    </row>
    <row r="2167" spans="15:15">
      <c r="O2167" s="4288"/>
    </row>
    <row r="2168" spans="15:15">
      <c r="O2168" s="4288"/>
    </row>
    <row r="2169" spans="15:15">
      <c r="O2169" s="4288"/>
    </row>
    <row r="2170" spans="15:15">
      <c r="O2170" s="4288"/>
    </row>
    <row r="2171" spans="15:15">
      <c r="O2171" s="4288"/>
    </row>
    <row r="2172" spans="15:15">
      <c r="O2172" s="4288"/>
    </row>
    <row r="2173" spans="15:15">
      <c r="O2173" s="4288"/>
    </row>
    <row r="2174" spans="15:15">
      <c r="O2174" s="4288"/>
    </row>
    <row r="2175" spans="15:15">
      <c r="O2175" s="4288"/>
    </row>
    <row r="2176" spans="15:15">
      <c r="O2176" s="4288"/>
    </row>
    <row r="2177" spans="15:15">
      <c r="O2177" s="4288"/>
    </row>
    <row r="2178" spans="15:15">
      <c r="O2178" s="4288"/>
    </row>
    <row r="2179" spans="15:15">
      <c r="O2179" s="4288"/>
    </row>
    <row r="2180" spans="15:15">
      <c r="O2180" s="4288"/>
    </row>
    <row r="2181" spans="15:15">
      <c r="O2181" s="4288"/>
    </row>
    <row r="2182" spans="15:15">
      <c r="O2182" s="4288"/>
    </row>
    <row r="2183" spans="15:15">
      <c r="O2183" s="4288"/>
    </row>
    <row r="2184" spans="15:15">
      <c r="O2184" s="4288"/>
    </row>
    <row r="2185" spans="15:15">
      <c r="O2185" s="4288"/>
    </row>
    <row r="2186" spans="15:15">
      <c r="O2186" s="4288"/>
    </row>
    <row r="2187" spans="15:15">
      <c r="O2187" s="4288"/>
    </row>
    <row r="2188" spans="15:15">
      <c r="O2188" s="4288"/>
    </row>
    <row r="2189" spans="15:15">
      <c r="O2189" s="4288"/>
    </row>
    <row r="2190" spans="15:15">
      <c r="O2190" s="4288"/>
    </row>
    <row r="2191" spans="15:15">
      <c r="O2191" s="4288"/>
    </row>
    <row r="2192" spans="15:15">
      <c r="O2192" s="4288"/>
    </row>
    <row r="2193" spans="15:15">
      <c r="O2193" s="4288"/>
    </row>
    <row r="2194" spans="15:15">
      <c r="O2194" s="4288"/>
    </row>
    <row r="2195" spans="15:15">
      <c r="O2195" s="4288"/>
    </row>
    <row r="2196" spans="15:15">
      <c r="O2196" s="4288"/>
    </row>
    <row r="2197" spans="15:15">
      <c r="O2197" s="4288"/>
    </row>
    <row r="2198" spans="15:15">
      <c r="O2198" s="4288"/>
    </row>
    <row r="2199" spans="15:15">
      <c r="O2199" s="4288"/>
    </row>
    <row r="2200" spans="15:15">
      <c r="O2200" s="4288"/>
    </row>
    <row r="2201" spans="15:15">
      <c r="O2201" s="4288"/>
    </row>
    <row r="2202" spans="15:15">
      <c r="O2202" s="4288"/>
    </row>
    <row r="2203" spans="15:15">
      <c r="O2203" s="4288"/>
    </row>
    <row r="2204" spans="15:15">
      <c r="O2204" s="4288"/>
    </row>
    <row r="2205" spans="15:15">
      <c r="O2205" s="4288"/>
    </row>
    <row r="2206" spans="15:15">
      <c r="O2206" s="4288"/>
    </row>
    <row r="2207" spans="15:15">
      <c r="O2207" s="4288"/>
    </row>
    <row r="2208" spans="15:15">
      <c r="O2208" s="4288"/>
    </row>
    <row r="2209" spans="15:15">
      <c r="O2209" s="4288"/>
    </row>
    <row r="2210" spans="15:15">
      <c r="O2210" s="4288"/>
    </row>
    <row r="2211" spans="15:15">
      <c r="O2211" s="4288"/>
    </row>
    <row r="2212" spans="15:15">
      <c r="O2212" s="4288"/>
    </row>
    <row r="2213" spans="15:15">
      <c r="O2213" s="4288"/>
    </row>
    <row r="2214" spans="15:15">
      <c r="O2214" s="4288"/>
    </row>
    <row r="2215" spans="15:15">
      <c r="O2215" s="4288"/>
    </row>
    <row r="2216" spans="15:15">
      <c r="O2216" s="4288"/>
    </row>
    <row r="2217" spans="15:15">
      <c r="O2217" s="4288"/>
    </row>
    <row r="2218" spans="15:15">
      <c r="O2218" s="4288"/>
    </row>
    <row r="2219" spans="15:15">
      <c r="O2219" s="4288"/>
    </row>
    <row r="2220" spans="15:15">
      <c r="O2220" s="4288"/>
    </row>
    <row r="2221" spans="15:15">
      <c r="O2221" s="4288"/>
    </row>
    <row r="2222" spans="15:15">
      <c r="O2222" s="4288"/>
    </row>
    <row r="2223" spans="15:15">
      <c r="O2223" s="4288"/>
    </row>
    <row r="2224" spans="15:15">
      <c r="O2224" s="4288"/>
    </row>
    <row r="2225" spans="15:15">
      <c r="O2225" s="4288"/>
    </row>
    <row r="2226" spans="15:15">
      <c r="O2226" s="4288"/>
    </row>
    <row r="2227" spans="15:15">
      <c r="O2227" s="4288"/>
    </row>
    <row r="2228" spans="15:15">
      <c r="O2228" s="4288"/>
    </row>
    <row r="2229" spans="15:15">
      <c r="O2229" s="4288"/>
    </row>
    <row r="2230" spans="15:15">
      <c r="O2230" s="4288"/>
    </row>
    <row r="2231" spans="15:15">
      <c r="O2231" s="4288"/>
    </row>
    <row r="2232" spans="15:15">
      <c r="O2232" s="4288"/>
    </row>
    <row r="2233" spans="15:15">
      <c r="O2233" s="4288"/>
    </row>
    <row r="2234" spans="15:15">
      <c r="O2234" s="4288"/>
    </row>
    <row r="2235" spans="15:15">
      <c r="O2235" s="4288"/>
    </row>
    <row r="2236" spans="15:15">
      <c r="O2236" s="4288"/>
    </row>
    <row r="2237" spans="15:15">
      <c r="O2237" s="4288"/>
    </row>
    <row r="2238" spans="15:15">
      <c r="O2238" s="4288"/>
    </row>
    <row r="2239" spans="15:15">
      <c r="O2239" s="4288"/>
    </row>
    <row r="2240" spans="15:15">
      <c r="O2240" s="4288"/>
    </row>
    <row r="2241" spans="15:15">
      <c r="O2241" s="4288"/>
    </row>
    <row r="2242" spans="15:15">
      <c r="O2242" s="4288"/>
    </row>
    <row r="2243" spans="15:15">
      <c r="O2243" s="4288"/>
    </row>
    <row r="2244" spans="15:15">
      <c r="O2244" s="4288"/>
    </row>
    <row r="2245" spans="15:15">
      <c r="O2245" s="4288"/>
    </row>
    <row r="2246" spans="15:15">
      <c r="O2246" s="4288"/>
    </row>
    <row r="2247" spans="15:15">
      <c r="O2247" s="4288"/>
    </row>
    <row r="2248" spans="15:15">
      <c r="O2248" s="4288"/>
    </row>
    <row r="2249" spans="15:15">
      <c r="O2249" s="4288"/>
    </row>
    <row r="2250" spans="15:15">
      <c r="O2250" s="4288"/>
    </row>
    <row r="2251" spans="15:15">
      <c r="O2251" s="4288"/>
    </row>
    <row r="2252" spans="15:15">
      <c r="O2252" s="4288"/>
    </row>
    <row r="2253" spans="15:15">
      <c r="O2253" s="4288"/>
    </row>
    <row r="2254" spans="15:15">
      <c r="O2254" s="4288"/>
    </row>
    <row r="2255" spans="15:15">
      <c r="O2255" s="4288"/>
    </row>
    <row r="2256" spans="15:15">
      <c r="O2256" s="4288"/>
    </row>
    <row r="2257" spans="15:15">
      <c r="O2257" s="4288"/>
    </row>
    <row r="2258" spans="15:15">
      <c r="O2258" s="4288"/>
    </row>
    <row r="2259" spans="15:15">
      <c r="O2259" s="4288"/>
    </row>
    <row r="2260" spans="15:15">
      <c r="O2260" s="4288"/>
    </row>
    <row r="2261" spans="15:15">
      <c r="O2261" s="4288"/>
    </row>
    <row r="2262" spans="15:15">
      <c r="O2262" s="4288"/>
    </row>
    <row r="2263" spans="15:15">
      <c r="O2263" s="4288"/>
    </row>
    <row r="2264" spans="15:15">
      <c r="O2264" s="4288"/>
    </row>
    <row r="2265" spans="15:15">
      <c r="O2265" s="4288"/>
    </row>
    <row r="2266" spans="15:15">
      <c r="O2266" s="4288"/>
    </row>
    <row r="2267" spans="15:15">
      <c r="O2267" s="4288"/>
    </row>
    <row r="2268" spans="15:15">
      <c r="O2268" s="4288"/>
    </row>
    <row r="2269" spans="15:15">
      <c r="O2269" s="4288"/>
    </row>
    <row r="2270" spans="15:15">
      <c r="O2270" s="4288"/>
    </row>
    <row r="2271" spans="15:15">
      <c r="O2271" s="4288"/>
    </row>
    <row r="2272" spans="15:15">
      <c r="O2272" s="4288"/>
    </row>
    <row r="2273" spans="15:15">
      <c r="O2273" s="4288"/>
    </row>
    <row r="2274" spans="15:15">
      <c r="O2274" s="4288"/>
    </row>
    <row r="2275" spans="15:15">
      <c r="O2275" s="4288"/>
    </row>
    <row r="2276" spans="15:15">
      <c r="O2276" s="4288"/>
    </row>
    <row r="2277" spans="15:15">
      <c r="O2277" s="4288"/>
    </row>
    <row r="2278" spans="15:15">
      <c r="O2278" s="4288"/>
    </row>
    <row r="2279" spans="15:15">
      <c r="O2279" s="4288"/>
    </row>
    <row r="2280" spans="15:15">
      <c r="O2280" s="4288"/>
    </row>
    <row r="2281" spans="15:15">
      <c r="O2281" s="4288"/>
    </row>
    <row r="2282" spans="15:15">
      <c r="O2282" s="4288"/>
    </row>
    <row r="2283" spans="15:15">
      <c r="O2283" s="4288"/>
    </row>
    <row r="2284" spans="15:15">
      <c r="O2284" s="4288"/>
    </row>
    <row r="2285" spans="15:15">
      <c r="O2285" s="4288"/>
    </row>
    <row r="2286" spans="15:15">
      <c r="O2286" s="4288"/>
    </row>
    <row r="2287" spans="15:15">
      <c r="O2287" s="4288"/>
    </row>
    <row r="2288" spans="15:15">
      <c r="O2288" s="4288"/>
    </row>
    <row r="2289" spans="15:15">
      <c r="O2289" s="4288"/>
    </row>
    <row r="2290" spans="15:15">
      <c r="O2290" s="4288"/>
    </row>
    <row r="2291" spans="15:15">
      <c r="O2291" s="4288"/>
    </row>
    <row r="2292" spans="15:15">
      <c r="O2292" s="4288"/>
    </row>
    <row r="2293" spans="15:15">
      <c r="O2293" s="4288"/>
    </row>
    <row r="2294" spans="15:15">
      <c r="O2294" s="4288"/>
    </row>
    <row r="2295" spans="15:15">
      <c r="O2295" s="4288"/>
    </row>
    <row r="2296" spans="15:15">
      <c r="O2296" s="4288"/>
    </row>
    <row r="2297" spans="15:15">
      <c r="O2297" s="4288"/>
    </row>
    <row r="2298" spans="15:15">
      <c r="O2298" s="4288"/>
    </row>
    <row r="2299" spans="15:15">
      <c r="O2299" s="4288"/>
    </row>
    <row r="2300" spans="15:15">
      <c r="O2300" s="4288"/>
    </row>
    <row r="2301" spans="15:15">
      <c r="O2301" s="4288"/>
    </row>
    <row r="2302" spans="15:15">
      <c r="O2302" s="4288"/>
    </row>
    <row r="2303" spans="15:15">
      <c r="O2303" s="4288"/>
    </row>
    <row r="2304" spans="15:15">
      <c r="O2304" s="4288"/>
    </row>
    <row r="2305" spans="15:15">
      <c r="O2305" s="4288"/>
    </row>
    <row r="2306" spans="15:15">
      <c r="O2306" s="4288"/>
    </row>
    <row r="2307" spans="15:15">
      <c r="O2307" s="4288"/>
    </row>
    <row r="2308" spans="15:15">
      <c r="O2308" s="4288"/>
    </row>
    <row r="2309" spans="15:15">
      <c r="O2309" s="4288"/>
    </row>
    <row r="2310" spans="15:15">
      <c r="O2310" s="4288"/>
    </row>
    <row r="2311" spans="15:15">
      <c r="O2311" s="4288"/>
    </row>
    <row r="2312" spans="15:15">
      <c r="O2312" s="4288"/>
    </row>
    <row r="2313" spans="15:15">
      <c r="O2313" s="4288"/>
    </row>
    <row r="2314" spans="15:15">
      <c r="O2314" s="4288"/>
    </row>
    <row r="2315" spans="15:15">
      <c r="O2315" s="4288"/>
    </row>
    <row r="2316" spans="15:15">
      <c r="O2316" s="4288"/>
    </row>
    <row r="2317" spans="15:15">
      <c r="O2317" s="4288"/>
    </row>
    <row r="2318" spans="15:15">
      <c r="O2318" s="4288"/>
    </row>
    <row r="2319" spans="15:15">
      <c r="O2319" s="4288"/>
    </row>
    <row r="2320" spans="15:15">
      <c r="O2320" s="4288"/>
    </row>
    <row r="2321" spans="15:15">
      <c r="O2321" s="4288"/>
    </row>
    <row r="2322" spans="15:15">
      <c r="O2322" s="4288"/>
    </row>
    <row r="2323" spans="15:15">
      <c r="O2323" s="4288"/>
    </row>
    <row r="2324" spans="15:15">
      <c r="O2324" s="4288"/>
    </row>
    <row r="2325" spans="15:15">
      <c r="O2325" s="4288"/>
    </row>
    <row r="2326" spans="15:15">
      <c r="O2326" s="4288"/>
    </row>
    <row r="2327" spans="15:15">
      <c r="O2327" s="4288"/>
    </row>
    <row r="2328" spans="15:15">
      <c r="O2328" s="4288"/>
    </row>
    <row r="2329" spans="15:15">
      <c r="O2329" s="4288"/>
    </row>
    <row r="2330" spans="15:15">
      <c r="O2330" s="4288"/>
    </row>
    <row r="2331" spans="15:15">
      <c r="O2331" s="4288"/>
    </row>
    <row r="2332" spans="15:15">
      <c r="O2332" s="4288"/>
    </row>
    <row r="2333" spans="15:15">
      <c r="O2333" s="4288"/>
    </row>
    <row r="2334" spans="15:15">
      <c r="O2334" s="4288"/>
    </row>
    <row r="2335" spans="15:15">
      <c r="O2335" s="4288"/>
    </row>
    <row r="2336" spans="15:15">
      <c r="O2336" s="4288"/>
    </row>
    <row r="2337" spans="15:15">
      <c r="O2337" s="4288"/>
    </row>
    <row r="2338" spans="15:15">
      <c r="O2338" s="4288"/>
    </row>
    <row r="2339" spans="15:15">
      <c r="O2339" s="4288"/>
    </row>
    <row r="2340" spans="15:15">
      <c r="O2340" s="4288"/>
    </row>
    <row r="2341" spans="15:15">
      <c r="O2341" s="4288"/>
    </row>
    <row r="2342" spans="15:15">
      <c r="O2342" s="4288"/>
    </row>
    <row r="2343" spans="15:15">
      <c r="O2343" s="4288"/>
    </row>
    <row r="2344" spans="15:15">
      <c r="O2344" s="4288"/>
    </row>
    <row r="2345" spans="15:15">
      <c r="O2345" s="4288"/>
    </row>
    <row r="2346" spans="15:15">
      <c r="O2346" s="4288"/>
    </row>
    <row r="2347" spans="15:15">
      <c r="O2347" s="4288"/>
    </row>
    <row r="2348" spans="15:15">
      <c r="O2348" s="4288"/>
    </row>
    <row r="2349" spans="15:15">
      <c r="O2349" s="4288"/>
    </row>
    <row r="2350" spans="15:15">
      <c r="O2350" s="4288"/>
    </row>
    <row r="2351" spans="15:15">
      <c r="O2351" s="4288"/>
    </row>
    <row r="2352" spans="15:15">
      <c r="O2352" s="4288"/>
    </row>
    <row r="2353" spans="15:15">
      <c r="O2353" s="4288"/>
    </row>
    <row r="2354" spans="15:15">
      <c r="O2354" s="4288"/>
    </row>
    <row r="2355" spans="15:15">
      <c r="O2355" s="4288"/>
    </row>
    <row r="2356" spans="15:15">
      <c r="O2356" s="4288"/>
    </row>
    <row r="2357" spans="15:15">
      <c r="O2357" s="4288"/>
    </row>
    <row r="2358" spans="15:15">
      <c r="O2358" s="4288"/>
    </row>
    <row r="2359" spans="15:15">
      <c r="O2359" s="4288"/>
    </row>
    <row r="2360" spans="15:15">
      <c r="O2360" s="4288"/>
    </row>
    <row r="2361" spans="15:15">
      <c r="O2361" s="4288"/>
    </row>
    <row r="2362" spans="15:15">
      <c r="O2362" s="4288"/>
    </row>
    <row r="2363" spans="15:15">
      <c r="O2363" s="4288"/>
    </row>
    <row r="2364" spans="15:15">
      <c r="O2364" s="4288"/>
    </row>
    <row r="2365" spans="15:15">
      <c r="O2365" s="4288"/>
    </row>
    <row r="2366" spans="15:15">
      <c r="O2366" s="4288"/>
    </row>
    <row r="2367" spans="15:15">
      <c r="O2367" s="4288"/>
    </row>
    <row r="2368" spans="15:15">
      <c r="O2368" s="4288"/>
    </row>
    <row r="2369" spans="15:15">
      <c r="O2369" s="4288"/>
    </row>
    <row r="2370" spans="15:15">
      <c r="O2370" s="4288"/>
    </row>
    <row r="2371" spans="15:15">
      <c r="O2371" s="4288"/>
    </row>
    <row r="2372" spans="15:15">
      <c r="O2372" s="4288"/>
    </row>
    <row r="2373" spans="15:15">
      <c r="O2373" s="4288"/>
    </row>
    <row r="2374" spans="15:15">
      <c r="O2374" s="4288"/>
    </row>
    <row r="2375" spans="15:15">
      <c r="O2375" s="4288"/>
    </row>
    <row r="2376" spans="15:15">
      <c r="O2376" s="4288"/>
    </row>
    <row r="2377" spans="15:15">
      <c r="O2377" s="4288"/>
    </row>
    <row r="2378" spans="15:15">
      <c r="O2378" s="4288"/>
    </row>
    <row r="2379" spans="15:15">
      <c r="O2379" s="4288"/>
    </row>
    <row r="2380" spans="15:15">
      <c r="O2380" s="4288"/>
    </row>
    <row r="2381" spans="15:15">
      <c r="O2381" s="4288"/>
    </row>
    <row r="2382" spans="15:15">
      <c r="O2382" s="4288"/>
    </row>
    <row r="2383" spans="15:15">
      <c r="O2383" s="4288"/>
    </row>
    <row r="2384" spans="15:15">
      <c r="O2384" s="4288"/>
    </row>
    <row r="2385" spans="15:15">
      <c r="O2385" s="4288"/>
    </row>
    <row r="2386" spans="15:15">
      <c r="O2386" s="4288"/>
    </row>
    <row r="2387" spans="15:15">
      <c r="O2387" s="4288"/>
    </row>
    <row r="2388" spans="15:15">
      <c r="O2388" s="4288"/>
    </row>
    <row r="2389" spans="15:15">
      <c r="O2389" s="4288"/>
    </row>
    <row r="2390" spans="15:15">
      <c r="O2390" s="4288"/>
    </row>
    <row r="2391" spans="15:15">
      <c r="O2391" s="4288"/>
    </row>
    <row r="2392" spans="15:15">
      <c r="O2392" s="4288"/>
    </row>
    <row r="2393" spans="15:15">
      <c r="O2393" s="4288"/>
    </row>
    <row r="2394" spans="15:15">
      <c r="O2394" s="4288"/>
    </row>
    <row r="2395" spans="15:15">
      <c r="O2395" s="4288"/>
    </row>
    <row r="2396" spans="15:15">
      <c r="O2396" s="4288"/>
    </row>
    <row r="2397" spans="15:15">
      <c r="O2397" s="4288"/>
    </row>
    <row r="2398" spans="15:15">
      <c r="O2398" s="4288"/>
    </row>
    <row r="2399" spans="15:15">
      <c r="O2399" s="4288"/>
    </row>
    <row r="2400" spans="15:15">
      <c r="O2400" s="4288"/>
    </row>
    <row r="2401" spans="15:15">
      <c r="O2401" s="4288"/>
    </row>
    <row r="2402" spans="15:15">
      <c r="O2402" s="4288"/>
    </row>
    <row r="2403" spans="15:15">
      <c r="O2403" s="4288"/>
    </row>
    <row r="2404" spans="15:15">
      <c r="O2404" s="4288"/>
    </row>
    <row r="2405" spans="15:15">
      <c r="O2405" s="4288"/>
    </row>
    <row r="2406" spans="15:15">
      <c r="O2406" s="4288"/>
    </row>
    <row r="2407" spans="15:15">
      <c r="O2407" s="4288"/>
    </row>
    <row r="2408" spans="15:15">
      <c r="O2408" s="4288"/>
    </row>
    <row r="2409" spans="15:15">
      <c r="O2409" s="4288"/>
    </row>
    <row r="2410" spans="15:15">
      <c r="O2410" s="4288"/>
    </row>
    <row r="2411" spans="15:15">
      <c r="O2411" s="4288"/>
    </row>
    <row r="2412" spans="15:15">
      <c r="O2412" s="4288"/>
    </row>
    <row r="2413" spans="15:15">
      <c r="O2413" s="4288"/>
    </row>
    <row r="2414" spans="15:15">
      <c r="O2414" s="4288"/>
    </row>
    <row r="2415" spans="15:15">
      <c r="O2415" s="4288"/>
    </row>
    <row r="2416" spans="15:15">
      <c r="O2416" s="4288"/>
    </row>
    <row r="2417" spans="15:15">
      <c r="O2417" s="4288"/>
    </row>
    <row r="2418" spans="15:15">
      <c r="O2418" s="4288"/>
    </row>
    <row r="2419" spans="15:15">
      <c r="O2419" s="4288"/>
    </row>
    <row r="2420" spans="15:15">
      <c r="O2420" s="4288"/>
    </row>
    <row r="2421" spans="15:15">
      <c r="O2421" s="4288"/>
    </row>
    <row r="2422" spans="15:15">
      <c r="O2422" s="4288"/>
    </row>
    <row r="2423" spans="15:15">
      <c r="O2423" s="4288"/>
    </row>
    <row r="2424" spans="15:15">
      <c r="O2424" s="4288"/>
    </row>
    <row r="2425" spans="15:15">
      <c r="O2425" s="4288"/>
    </row>
    <row r="2426" spans="15:15">
      <c r="O2426" s="4288"/>
    </row>
    <row r="2427" spans="15:15">
      <c r="O2427" s="4288"/>
    </row>
    <row r="2428" spans="15:15">
      <c r="O2428" s="4288"/>
    </row>
    <row r="2429" spans="15:15">
      <c r="O2429" s="4288"/>
    </row>
    <row r="2430" spans="15:15">
      <c r="O2430" s="4288"/>
    </row>
    <row r="2431" spans="15:15">
      <c r="O2431" s="4288"/>
    </row>
    <row r="2432" spans="15:15">
      <c r="O2432" s="4288"/>
    </row>
    <row r="2433" spans="15:15">
      <c r="O2433" s="4288"/>
    </row>
    <row r="2434" spans="15:15">
      <c r="O2434" s="4288"/>
    </row>
    <row r="2435" spans="15:15">
      <c r="O2435" s="4288"/>
    </row>
    <row r="2436" spans="15:15">
      <c r="O2436" s="4288"/>
    </row>
    <row r="2437" spans="15:15">
      <c r="O2437" s="4288"/>
    </row>
    <row r="2438" spans="15:15">
      <c r="O2438" s="4288"/>
    </row>
    <row r="2439" spans="15:15">
      <c r="O2439" s="4288"/>
    </row>
    <row r="2440" spans="15:15">
      <c r="O2440" s="4288"/>
    </row>
    <row r="2441" spans="15:15">
      <c r="O2441" s="4288"/>
    </row>
    <row r="2442" spans="15:15">
      <c r="O2442" s="4288"/>
    </row>
    <row r="2443" spans="15:15">
      <c r="O2443" s="4288"/>
    </row>
    <row r="2444" spans="15:15">
      <c r="O2444" s="4288"/>
    </row>
    <row r="2445" spans="15:15">
      <c r="O2445" s="4288"/>
    </row>
    <row r="2446" spans="15:15">
      <c r="O2446" s="4288"/>
    </row>
    <row r="2447" spans="15:15">
      <c r="O2447" s="4288"/>
    </row>
    <row r="2448" spans="15:15">
      <c r="O2448" s="4288"/>
    </row>
    <row r="2449" spans="15:15">
      <c r="O2449" s="4288"/>
    </row>
    <row r="2450" spans="15:15">
      <c r="O2450" s="4288"/>
    </row>
    <row r="2451" spans="15:15">
      <c r="O2451" s="4288"/>
    </row>
    <row r="2452" spans="15:15">
      <c r="O2452" s="4288"/>
    </row>
    <row r="2453" spans="15:15">
      <c r="O2453" s="4288"/>
    </row>
    <row r="2454" spans="15:15">
      <c r="O2454" s="4288"/>
    </row>
    <row r="2455" spans="15:15">
      <c r="O2455" s="4288"/>
    </row>
    <row r="2456" spans="15:15">
      <c r="O2456" s="4288"/>
    </row>
    <row r="2457" spans="15:15">
      <c r="O2457" s="4288"/>
    </row>
    <row r="2458" spans="15:15">
      <c r="O2458" s="4288"/>
    </row>
    <row r="2459" spans="15:15">
      <c r="O2459" s="4288"/>
    </row>
    <row r="2460" spans="15:15">
      <c r="O2460" s="4288"/>
    </row>
    <row r="2461" spans="15:15">
      <c r="O2461" s="4288"/>
    </row>
    <row r="2462" spans="15:15">
      <c r="O2462" s="4288"/>
    </row>
    <row r="2463" spans="15:15">
      <c r="O2463" s="4288"/>
    </row>
    <row r="2464" spans="15:15">
      <c r="O2464" s="4288"/>
    </row>
    <row r="2465" spans="15:15">
      <c r="O2465" s="4288"/>
    </row>
    <row r="2466" spans="15:15">
      <c r="O2466" s="4288"/>
    </row>
    <row r="2467" spans="15:15">
      <c r="O2467" s="4288"/>
    </row>
    <row r="2468" spans="15:15">
      <c r="O2468" s="4288"/>
    </row>
    <row r="2469" spans="15:15">
      <c r="O2469" s="4288"/>
    </row>
    <row r="2470" spans="15:15">
      <c r="O2470" s="4288"/>
    </row>
    <row r="2471" spans="15:15">
      <c r="O2471" s="4288"/>
    </row>
    <row r="2472" spans="15:15">
      <c r="O2472" s="4288"/>
    </row>
    <row r="2473" spans="15:15">
      <c r="O2473" s="4288"/>
    </row>
    <row r="2474" spans="15:15">
      <c r="O2474" s="4288"/>
    </row>
    <row r="2475" spans="15:15">
      <c r="O2475" s="4288"/>
    </row>
    <row r="2476" spans="15:15">
      <c r="O2476" s="4288"/>
    </row>
    <row r="2477" spans="15:15">
      <c r="O2477" s="4288"/>
    </row>
    <row r="2478" spans="15:15">
      <c r="O2478" s="4288"/>
    </row>
    <row r="2479" spans="15:15">
      <c r="O2479" s="4288"/>
    </row>
    <row r="2480" spans="15:15">
      <c r="O2480" s="4288"/>
    </row>
    <row r="2481" spans="15:15">
      <c r="O2481" s="4288"/>
    </row>
    <row r="2482" spans="15:15">
      <c r="O2482" s="4288"/>
    </row>
    <row r="2483" spans="15:15">
      <c r="O2483" s="4288"/>
    </row>
    <row r="2484" spans="15:15">
      <c r="O2484" s="4288"/>
    </row>
    <row r="2485" spans="15:15">
      <c r="O2485" s="4288"/>
    </row>
    <row r="2486" spans="15:15">
      <c r="O2486" s="4288"/>
    </row>
    <row r="2487" spans="15:15">
      <c r="O2487" s="4288"/>
    </row>
    <row r="2488" spans="15:15">
      <c r="O2488" s="4288"/>
    </row>
    <row r="2489" spans="15:15">
      <c r="O2489" s="4288"/>
    </row>
    <row r="2490" spans="15:15">
      <c r="O2490" s="4288"/>
    </row>
    <row r="2491" spans="15:15">
      <c r="O2491" s="4288"/>
    </row>
    <row r="2492" spans="15:15">
      <c r="O2492" s="4288"/>
    </row>
    <row r="2493" spans="15:15">
      <c r="O2493" s="4288"/>
    </row>
    <row r="2494" spans="15:15">
      <c r="O2494" s="4288"/>
    </row>
    <row r="2495" spans="15:15">
      <c r="O2495" s="4288"/>
    </row>
    <row r="2496" spans="15:15">
      <c r="O2496" s="4288"/>
    </row>
    <row r="2497" spans="15:15">
      <c r="O2497" s="4288"/>
    </row>
    <row r="2498" spans="15:15">
      <c r="O2498" s="4288"/>
    </row>
    <row r="2499" spans="15:15">
      <c r="O2499" s="4288"/>
    </row>
    <row r="2500" spans="15:15">
      <c r="O2500" s="4288"/>
    </row>
    <row r="2501" spans="15:15">
      <c r="O2501" s="4288"/>
    </row>
    <row r="2502" spans="15:15">
      <c r="O2502" s="4288"/>
    </row>
    <row r="2503" spans="15:15">
      <c r="O2503" s="4288"/>
    </row>
    <row r="2504" spans="15:15">
      <c r="O2504" s="4288"/>
    </row>
    <row r="2505" spans="15:15">
      <c r="O2505" s="4288"/>
    </row>
    <row r="2506" spans="15:15">
      <c r="O2506" s="4288"/>
    </row>
    <row r="2507" spans="15:15">
      <c r="O2507" s="4288"/>
    </row>
    <row r="2508" spans="15:15">
      <c r="O2508" s="4288"/>
    </row>
    <row r="2509" spans="15:15">
      <c r="O2509" s="4288"/>
    </row>
    <row r="2510" spans="15:15">
      <c r="O2510" s="4288"/>
    </row>
    <row r="2511" spans="15:15">
      <c r="O2511" s="4288"/>
    </row>
    <row r="2512" spans="15:15">
      <c r="O2512" s="4288"/>
    </row>
    <row r="2513" spans="15:15">
      <c r="O2513" s="4288"/>
    </row>
    <row r="2514" spans="15:15">
      <c r="O2514" s="4288"/>
    </row>
    <row r="2515" spans="15:15">
      <c r="O2515" s="4288"/>
    </row>
    <row r="2516" spans="15:15">
      <c r="O2516" s="4288"/>
    </row>
    <row r="2517" spans="15:15">
      <c r="O2517" s="4288"/>
    </row>
    <row r="2518" spans="15:15">
      <c r="O2518" s="4288"/>
    </row>
    <row r="2519" spans="15:15">
      <c r="O2519" s="4288"/>
    </row>
    <row r="2520" spans="15:15">
      <c r="O2520" s="4288"/>
    </row>
    <row r="2521" spans="15:15">
      <c r="O2521" s="4288"/>
    </row>
    <row r="2522" spans="15:15">
      <c r="O2522" s="4288"/>
    </row>
    <row r="2523" spans="15:15">
      <c r="O2523" s="4288"/>
    </row>
    <row r="2524" spans="15:15">
      <c r="O2524" s="4288"/>
    </row>
    <row r="2525" spans="15:15">
      <c r="O2525" s="4288"/>
    </row>
    <row r="2526" spans="15:15">
      <c r="O2526" s="4288"/>
    </row>
    <row r="2527" spans="15:15">
      <c r="O2527" s="4288"/>
    </row>
    <row r="2528" spans="15:15">
      <c r="O2528" s="4288"/>
    </row>
    <row r="2529" spans="15:15">
      <c r="O2529" s="4288"/>
    </row>
    <row r="2530" spans="15:15">
      <c r="O2530" s="4288"/>
    </row>
    <row r="2531" spans="15:15">
      <c r="O2531" s="4288"/>
    </row>
    <row r="2532" spans="15:15">
      <c r="O2532" s="4288"/>
    </row>
    <row r="2533" spans="15:15">
      <c r="O2533" s="4288"/>
    </row>
    <row r="2534" spans="15:15">
      <c r="O2534" s="4288"/>
    </row>
    <row r="2535" spans="15:15">
      <c r="O2535" s="4288"/>
    </row>
    <row r="2536" spans="15:15">
      <c r="O2536" s="4288"/>
    </row>
    <row r="2537" spans="15:15">
      <c r="O2537" s="4288"/>
    </row>
    <row r="2538" spans="15:15">
      <c r="O2538" s="4288"/>
    </row>
    <row r="2539" spans="15:15">
      <c r="O2539" s="4288"/>
    </row>
    <row r="2540" spans="15:15">
      <c r="O2540" s="4288"/>
    </row>
    <row r="2541" spans="15:15">
      <c r="O2541" s="4288"/>
    </row>
    <row r="2542" spans="15:15">
      <c r="O2542" s="4288"/>
    </row>
    <row r="2543" spans="15:15">
      <c r="O2543" s="4288"/>
    </row>
    <row r="2544" spans="15:15">
      <c r="O2544" s="4288"/>
    </row>
    <row r="2545" spans="15:15">
      <c r="O2545" s="4288"/>
    </row>
    <row r="2546" spans="15:15">
      <c r="O2546" s="4288"/>
    </row>
    <row r="2547" spans="15:15">
      <c r="O2547" s="4288"/>
    </row>
    <row r="2548" spans="15:15">
      <c r="O2548" s="4288"/>
    </row>
    <row r="2549" spans="15:15">
      <c r="O2549" s="4288"/>
    </row>
    <row r="2550" spans="15:15">
      <c r="O2550" s="4288"/>
    </row>
    <row r="2551" spans="15:15">
      <c r="O2551" s="4288"/>
    </row>
    <row r="2552" spans="15:15">
      <c r="O2552" s="4288"/>
    </row>
    <row r="2553" spans="15:15">
      <c r="O2553" s="4288"/>
    </row>
    <row r="2554" spans="15:15">
      <c r="O2554" s="4288"/>
    </row>
    <row r="2555" spans="15:15">
      <c r="O2555" s="4288"/>
    </row>
    <row r="2556" spans="15:15">
      <c r="O2556" s="4288"/>
    </row>
    <row r="2557" spans="15:15">
      <c r="O2557" s="4288"/>
    </row>
    <row r="2558" spans="15:15">
      <c r="O2558" s="4288"/>
    </row>
    <row r="2559" spans="15:15">
      <c r="O2559" s="4288"/>
    </row>
    <row r="2560" spans="15:15">
      <c r="O2560" s="4288"/>
    </row>
    <row r="2561" spans="15:15">
      <c r="O2561" s="4288"/>
    </row>
    <row r="2562" spans="15:15">
      <c r="O2562" s="4288"/>
    </row>
    <row r="2563" spans="15:15">
      <c r="O2563" s="4288"/>
    </row>
    <row r="2564" spans="15:15">
      <c r="O2564" s="4288"/>
    </row>
    <row r="2565" spans="15:15">
      <c r="O2565" s="4288"/>
    </row>
    <row r="2566" spans="15:15">
      <c r="O2566" s="4288"/>
    </row>
    <row r="2567" spans="15:15">
      <c r="O2567" s="4288"/>
    </row>
    <row r="2568" spans="15:15">
      <c r="O2568" s="4288"/>
    </row>
    <row r="2569" spans="15:15">
      <c r="O2569" s="4288"/>
    </row>
    <row r="2570" spans="15:15">
      <c r="O2570" s="4288"/>
    </row>
    <row r="2571" spans="15:15">
      <c r="O2571" s="4288"/>
    </row>
    <row r="2572" spans="15:15">
      <c r="O2572" s="4288"/>
    </row>
    <row r="2573" spans="15:15">
      <c r="O2573" s="4288"/>
    </row>
    <row r="2574" spans="15:15">
      <c r="O2574" s="4288"/>
    </row>
    <row r="2575" spans="15:15">
      <c r="O2575" s="4288"/>
    </row>
    <row r="2576" spans="15:15">
      <c r="O2576" s="4288"/>
    </row>
    <row r="2577" spans="15:15">
      <c r="O2577" s="4288"/>
    </row>
    <row r="2578" spans="15:15">
      <c r="O2578" s="4288"/>
    </row>
    <row r="2579" spans="15:15">
      <c r="O2579" s="4288"/>
    </row>
    <row r="2580" spans="15:15">
      <c r="O2580" s="4288"/>
    </row>
    <row r="2581" spans="15:15">
      <c r="O2581" s="4288"/>
    </row>
    <row r="2582" spans="15:15">
      <c r="O2582" s="4288"/>
    </row>
    <row r="2583" spans="15:15">
      <c r="O2583" s="4288"/>
    </row>
    <row r="2584" spans="15:15">
      <c r="O2584" s="4288"/>
    </row>
    <row r="2585" spans="15:15">
      <c r="O2585" s="4288"/>
    </row>
    <row r="2586" spans="15:15">
      <c r="O2586" s="4288"/>
    </row>
    <row r="2587" spans="15:15">
      <c r="O2587" s="4288"/>
    </row>
    <row r="2588" spans="15:15">
      <c r="O2588" s="4288"/>
    </row>
    <row r="2589" spans="15:15">
      <c r="O2589" s="4288"/>
    </row>
    <row r="2590" spans="15:15">
      <c r="O2590" s="4288"/>
    </row>
    <row r="2591" spans="15:15">
      <c r="O2591" s="4288"/>
    </row>
    <row r="2592" spans="15:15">
      <c r="O2592" s="4288"/>
    </row>
    <row r="2593" spans="15:15">
      <c r="O2593" s="4288"/>
    </row>
    <row r="2594" spans="15:15">
      <c r="O2594" s="4288"/>
    </row>
    <row r="2595" spans="15:15">
      <c r="O2595" s="4288"/>
    </row>
    <row r="2596" spans="15:15">
      <c r="O2596" s="4288"/>
    </row>
    <row r="2597" spans="15:15">
      <c r="O2597" s="4288"/>
    </row>
    <row r="2598" spans="15:15">
      <c r="O2598" s="4288"/>
    </row>
    <row r="2599" spans="15:15">
      <c r="O2599" s="4288"/>
    </row>
    <row r="2600" spans="15:15">
      <c r="O2600" s="4288"/>
    </row>
    <row r="2601" spans="15:15">
      <c r="O2601" s="4288"/>
    </row>
    <row r="2602" spans="15:15">
      <c r="O2602" s="4288"/>
    </row>
    <row r="2603" spans="15:15">
      <c r="O2603" s="4288"/>
    </row>
    <row r="2604" spans="15:15">
      <c r="O2604" s="4288"/>
    </row>
    <row r="2605" spans="15:15">
      <c r="O2605" s="4288"/>
    </row>
    <row r="2606" spans="15:15">
      <c r="O2606" s="4288"/>
    </row>
    <row r="2607" spans="15:15">
      <c r="O2607" s="4288"/>
    </row>
    <row r="2608" spans="15:15">
      <c r="O2608" s="4288"/>
    </row>
    <row r="2609" spans="15:15">
      <c r="O2609" s="4288"/>
    </row>
    <row r="2610" spans="15:15">
      <c r="O2610" s="4288"/>
    </row>
    <row r="2611" spans="15:15">
      <c r="O2611" s="4288"/>
    </row>
    <row r="2612" spans="15:15">
      <c r="O2612" s="4288"/>
    </row>
    <row r="2613" spans="15:15">
      <c r="O2613" s="4288"/>
    </row>
    <row r="2614" spans="15:15">
      <c r="O2614" s="4288"/>
    </row>
    <row r="2615" spans="15:15">
      <c r="O2615" s="4288"/>
    </row>
    <row r="2616" spans="15:15">
      <c r="O2616" s="4288"/>
    </row>
    <row r="2617" spans="15:15">
      <c r="O2617" s="4288"/>
    </row>
    <row r="2618" spans="15:15">
      <c r="O2618" s="4288"/>
    </row>
    <row r="2619" spans="15:15">
      <c r="O2619" s="4288"/>
    </row>
    <row r="2620" spans="15:15">
      <c r="O2620" s="4288"/>
    </row>
    <row r="2621" spans="15:15">
      <c r="O2621" s="4288"/>
    </row>
    <row r="2622" spans="15:15">
      <c r="O2622" s="4288"/>
    </row>
    <row r="2623" spans="15:15">
      <c r="O2623" s="4288"/>
    </row>
    <row r="2624" spans="15:15">
      <c r="O2624" s="4288"/>
    </row>
    <row r="2625" spans="15:15">
      <c r="O2625" s="4288"/>
    </row>
    <row r="2626" spans="15:15">
      <c r="O2626" s="4288"/>
    </row>
    <row r="2627" spans="15:15">
      <c r="O2627" s="4288"/>
    </row>
    <row r="2628" spans="15:15">
      <c r="O2628" s="4288"/>
    </row>
    <row r="2629" spans="15:15">
      <c r="O2629" s="4288"/>
    </row>
    <row r="2630" spans="15:15">
      <c r="O2630" s="4288"/>
    </row>
    <row r="2631" spans="15:15">
      <c r="O2631" s="4288"/>
    </row>
    <row r="2632" spans="15:15">
      <c r="O2632" s="4288"/>
    </row>
    <row r="2633" spans="15:15">
      <c r="O2633" s="4288"/>
    </row>
    <row r="2634" spans="15:15">
      <c r="O2634" s="4288"/>
    </row>
    <row r="2635" spans="15:15">
      <c r="O2635" s="4288"/>
    </row>
    <row r="2636" spans="15:15">
      <c r="O2636" s="4288"/>
    </row>
    <row r="2637" spans="15:15">
      <c r="O2637" s="4288"/>
    </row>
    <row r="2638" spans="15:15">
      <c r="O2638" s="4288"/>
    </row>
    <row r="2639" spans="15:15">
      <c r="O2639" s="4288"/>
    </row>
    <row r="2640" spans="15:15">
      <c r="O2640" s="4288"/>
    </row>
    <row r="2641" spans="15:15">
      <c r="O2641" s="4288"/>
    </row>
    <row r="2642" spans="15:15">
      <c r="O2642" s="4288"/>
    </row>
    <row r="2643" spans="15:15">
      <c r="O2643" s="4288"/>
    </row>
    <row r="2644" spans="15:15">
      <c r="O2644" s="4288"/>
    </row>
    <row r="2645" spans="15:15">
      <c r="O2645" s="4288"/>
    </row>
    <row r="2646" spans="15:15">
      <c r="O2646" s="4288"/>
    </row>
    <row r="2647" spans="15:15">
      <c r="O2647" s="4288"/>
    </row>
    <row r="2648" spans="15:15">
      <c r="O2648" s="4288"/>
    </row>
    <row r="2649" spans="15:15">
      <c r="O2649" s="4288"/>
    </row>
    <row r="2650" spans="15:15">
      <c r="O2650" s="4288"/>
    </row>
    <row r="2651" spans="15:15">
      <c r="O2651" s="4288"/>
    </row>
    <row r="2652" spans="15:15">
      <c r="O2652" s="4288"/>
    </row>
    <row r="2653" spans="15:15">
      <c r="O2653" s="4288"/>
    </row>
    <row r="2654" spans="15:15">
      <c r="O2654" s="4288"/>
    </row>
    <row r="2655" spans="15:15">
      <c r="O2655" s="4288"/>
    </row>
    <row r="2656" spans="15:15">
      <c r="O2656" s="4288"/>
    </row>
    <row r="2657" spans="15:15">
      <c r="O2657" s="4288"/>
    </row>
    <row r="2658" spans="15:15">
      <c r="O2658" s="4288"/>
    </row>
    <row r="2659" spans="15:15">
      <c r="O2659" s="4288"/>
    </row>
    <row r="2660" spans="15:15">
      <c r="O2660" s="4288"/>
    </row>
    <row r="2661" spans="15:15">
      <c r="O2661" s="4288"/>
    </row>
    <row r="2662" spans="15:15">
      <c r="O2662" s="4288"/>
    </row>
    <row r="2663" spans="15:15">
      <c r="O2663" s="4288"/>
    </row>
    <row r="2664" spans="15:15">
      <c r="O2664" s="4288"/>
    </row>
    <row r="2665" spans="15:15">
      <c r="O2665" s="4288"/>
    </row>
    <row r="2666" spans="15:15">
      <c r="O2666" s="4288"/>
    </row>
    <row r="2667" spans="15:15">
      <c r="O2667" s="4288"/>
    </row>
    <row r="2668" spans="15:15">
      <c r="O2668" s="4288"/>
    </row>
    <row r="2669" spans="15:15">
      <c r="O2669" s="4288"/>
    </row>
    <row r="2670" spans="15:15">
      <c r="O2670" s="4288"/>
    </row>
    <row r="2671" spans="15:15">
      <c r="O2671" s="4288"/>
    </row>
    <row r="2672" spans="15:15">
      <c r="O2672" s="4288"/>
    </row>
    <row r="2673" spans="15:15">
      <c r="O2673" s="4288"/>
    </row>
    <row r="2674" spans="15:15">
      <c r="O2674" s="4288"/>
    </row>
    <row r="2675" spans="15:15">
      <c r="O2675" s="4288"/>
    </row>
    <row r="2676" spans="15:15">
      <c r="O2676" s="4288"/>
    </row>
    <row r="2677" spans="15:15">
      <c r="O2677" s="4288"/>
    </row>
    <row r="2678" spans="15:15">
      <c r="O2678" s="4288"/>
    </row>
    <row r="2679" spans="15:15">
      <c r="O2679" s="4288"/>
    </row>
    <row r="2680" spans="15:15">
      <c r="O2680" s="4288"/>
    </row>
    <row r="2681" spans="15:15">
      <c r="O2681" s="4288"/>
    </row>
    <row r="2682" spans="15:15">
      <c r="O2682" s="4288"/>
    </row>
    <row r="2683" spans="15:15">
      <c r="O2683" s="4288"/>
    </row>
    <row r="2684" spans="15:15">
      <c r="O2684" s="4288"/>
    </row>
    <row r="2685" spans="15:15">
      <c r="O2685" s="4288"/>
    </row>
    <row r="2686" spans="15:15">
      <c r="O2686" s="4288"/>
    </row>
    <row r="2687" spans="15:15">
      <c r="O2687" s="4288"/>
    </row>
    <row r="2688" spans="15:15">
      <c r="O2688" s="4288"/>
    </row>
    <row r="2689" spans="15:15">
      <c r="O2689" s="4288"/>
    </row>
    <row r="2690" spans="15:15">
      <c r="O2690" s="4288"/>
    </row>
    <row r="2691" spans="15:15">
      <c r="O2691" s="4288"/>
    </row>
    <row r="2692" spans="15:15">
      <c r="O2692" s="4288"/>
    </row>
    <row r="2693" spans="15:15">
      <c r="O2693" s="4288"/>
    </row>
    <row r="2694" spans="15:15">
      <c r="O2694" s="4288"/>
    </row>
    <row r="2695" spans="15:15">
      <c r="O2695" s="4288"/>
    </row>
    <row r="2696" spans="15:15">
      <c r="O2696" s="4288"/>
    </row>
    <row r="2697" spans="15:15">
      <c r="O2697" s="4288"/>
    </row>
    <row r="2698" spans="15:15">
      <c r="O2698" s="4288"/>
    </row>
    <row r="2699" spans="15:15">
      <c r="O2699" s="4288"/>
    </row>
    <row r="2700" spans="15:15">
      <c r="O2700" s="4288"/>
    </row>
    <row r="2701" spans="15:15">
      <c r="O2701" s="4288"/>
    </row>
    <row r="2702" spans="15:15">
      <c r="O2702" s="4288"/>
    </row>
    <row r="2703" spans="15:15">
      <c r="O2703" s="4288"/>
    </row>
    <row r="2704" spans="15:15">
      <c r="O2704" s="4288"/>
    </row>
    <row r="2705" spans="15:15">
      <c r="O2705" s="4288"/>
    </row>
    <row r="2706" spans="15:15">
      <c r="O2706" s="4288"/>
    </row>
    <row r="2707" spans="15:15">
      <c r="O2707" s="4288"/>
    </row>
    <row r="2708" spans="15:15">
      <c r="O2708" s="4288"/>
    </row>
    <row r="2709" spans="15:15">
      <c r="O2709" s="4288"/>
    </row>
    <row r="2710" spans="15:15">
      <c r="O2710" s="4288"/>
    </row>
    <row r="2711" spans="15:15">
      <c r="O2711" s="4288"/>
    </row>
    <row r="2712" spans="15:15">
      <c r="O2712" s="4288"/>
    </row>
    <row r="2713" spans="15:15">
      <c r="O2713" s="4288"/>
    </row>
    <row r="2714" spans="15:15">
      <c r="O2714" s="4288"/>
    </row>
    <row r="2715" spans="15:15">
      <c r="O2715" s="4288"/>
    </row>
    <row r="2716" spans="15:15">
      <c r="O2716" s="4288"/>
    </row>
    <row r="2717" spans="15:15">
      <c r="O2717" s="4288"/>
    </row>
    <row r="2718" spans="15:15">
      <c r="O2718" s="4288"/>
    </row>
    <row r="2719" spans="15:15">
      <c r="O2719" s="4288"/>
    </row>
    <row r="2720" spans="15:15">
      <c r="O2720" s="4288"/>
    </row>
    <row r="2721" spans="15:15">
      <c r="O2721" s="4288"/>
    </row>
    <row r="2722" spans="15:15">
      <c r="O2722" s="4288"/>
    </row>
    <row r="2723" spans="15:15">
      <c r="O2723" s="4288"/>
    </row>
    <row r="2724" spans="15:15">
      <c r="O2724" s="4288"/>
    </row>
    <row r="2725" spans="15:15">
      <c r="O2725" s="4288"/>
    </row>
    <row r="2726" spans="15:15">
      <c r="O2726" s="4288"/>
    </row>
    <row r="2727" spans="15:15">
      <c r="O2727" s="4288"/>
    </row>
    <row r="2728" spans="15:15">
      <c r="O2728" s="4288"/>
    </row>
    <row r="2729" spans="15:15">
      <c r="O2729" s="4288"/>
    </row>
    <row r="2730" spans="15:15">
      <c r="O2730" s="4288"/>
    </row>
    <row r="2731" spans="15:15">
      <c r="O2731" s="4288"/>
    </row>
    <row r="2732" spans="15:15">
      <c r="O2732" s="4288"/>
    </row>
    <row r="2733" spans="15:15">
      <c r="O2733" s="4288"/>
    </row>
    <row r="2734" spans="15:15">
      <c r="O2734" s="4288"/>
    </row>
    <row r="2735" spans="15:15">
      <c r="O2735" s="4288"/>
    </row>
    <row r="2736" spans="15:15">
      <c r="O2736" s="4288"/>
    </row>
    <row r="2737" spans="15:15">
      <c r="O2737" s="4288"/>
    </row>
    <row r="2738" spans="15:15">
      <c r="O2738" s="4288"/>
    </row>
    <row r="2739" spans="15:15">
      <c r="O2739" s="4288"/>
    </row>
    <row r="2740" spans="15:15">
      <c r="O2740" s="4288"/>
    </row>
    <row r="2741" spans="15:15">
      <c r="O2741" s="4288"/>
    </row>
    <row r="2742" spans="15:15">
      <c r="O2742" s="4288"/>
    </row>
    <row r="2743" spans="15:15">
      <c r="O2743" s="4288"/>
    </row>
    <row r="2744" spans="15:15">
      <c r="O2744" s="4288"/>
    </row>
    <row r="2745" spans="15:15">
      <c r="O2745" s="4288"/>
    </row>
    <row r="2746" spans="15:15">
      <c r="O2746" s="4288"/>
    </row>
    <row r="2747" spans="15:15">
      <c r="O2747" s="4288"/>
    </row>
    <row r="2748" spans="15:15">
      <c r="O2748" s="4288"/>
    </row>
    <row r="2749" spans="15:15">
      <c r="O2749" s="4288"/>
    </row>
    <row r="2750" spans="15:15">
      <c r="O2750" s="4288"/>
    </row>
    <row r="2751" spans="15:15">
      <c r="O2751" s="4288"/>
    </row>
    <row r="2752" spans="15:15">
      <c r="O2752" s="4288"/>
    </row>
    <row r="2753" spans="15:15">
      <c r="O2753" s="4288"/>
    </row>
    <row r="2754" spans="15:15">
      <c r="O2754" s="4288"/>
    </row>
    <row r="2755" spans="15:15">
      <c r="O2755" s="4288"/>
    </row>
    <row r="2756" spans="15:15">
      <c r="O2756" s="4288"/>
    </row>
    <row r="2757" spans="15:15">
      <c r="O2757" s="4288"/>
    </row>
    <row r="2758" spans="15:15">
      <c r="O2758" s="4288"/>
    </row>
    <row r="2759" spans="15:15">
      <c r="O2759" s="4288"/>
    </row>
    <row r="2760" spans="15:15">
      <c r="O2760" s="4288"/>
    </row>
    <row r="2761" spans="15:15">
      <c r="O2761" s="4288"/>
    </row>
    <row r="2762" spans="15:15">
      <c r="O2762" s="4288"/>
    </row>
    <row r="2763" spans="15:15">
      <c r="O2763" s="4288"/>
    </row>
    <row r="2764" spans="15:15">
      <c r="O2764" s="4288"/>
    </row>
    <row r="2765" spans="15:15">
      <c r="O2765" s="4288"/>
    </row>
    <row r="2766" spans="15:15">
      <c r="O2766" s="4288"/>
    </row>
    <row r="2767" spans="15:15">
      <c r="O2767" s="4288"/>
    </row>
    <row r="2768" spans="15:15">
      <c r="O2768" s="4288"/>
    </row>
    <row r="2769" spans="15:15">
      <c r="O2769" s="4288"/>
    </row>
    <row r="2770" spans="15:15">
      <c r="O2770" s="4288"/>
    </row>
    <row r="2771" spans="15:15">
      <c r="O2771" s="4288"/>
    </row>
    <row r="2772" spans="15:15">
      <c r="O2772" s="4288"/>
    </row>
    <row r="2773" spans="15:15">
      <c r="O2773" s="4288"/>
    </row>
    <row r="2774" spans="15:15">
      <c r="O2774" s="4288"/>
    </row>
    <row r="2775" spans="15:15">
      <c r="O2775" s="4288"/>
    </row>
    <row r="2776" spans="15:15">
      <c r="O2776" s="4288"/>
    </row>
    <row r="2777" spans="15:15">
      <c r="O2777" s="4288"/>
    </row>
    <row r="2778" spans="15:15">
      <c r="O2778" s="4288"/>
    </row>
    <row r="2779" spans="15:15">
      <c r="O2779" s="4288"/>
    </row>
    <row r="2780" spans="15:15">
      <c r="O2780" s="4288"/>
    </row>
    <row r="2781" spans="15:15">
      <c r="O2781" s="4288"/>
    </row>
    <row r="2782" spans="15:15">
      <c r="O2782" s="4288"/>
    </row>
    <row r="2783" spans="15:15">
      <c r="O2783" s="4288"/>
    </row>
    <row r="2784" spans="15:15">
      <c r="O2784" s="4288"/>
    </row>
    <row r="2785" spans="15:15">
      <c r="O2785" s="4288"/>
    </row>
    <row r="2786" spans="15:15">
      <c r="O2786" s="4288"/>
    </row>
    <row r="2787" spans="15:15">
      <c r="O2787" s="4288"/>
    </row>
    <row r="2788" spans="15:15">
      <c r="O2788" s="4288"/>
    </row>
    <row r="2789" spans="15:15">
      <c r="O2789" s="4288"/>
    </row>
    <row r="2790" spans="15:15">
      <c r="O2790" s="4288"/>
    </row>
    <row r="2791" spans="15:15">
      <c r="O2791" s="4288"/>
    </row>
    <row r="2792" spans="15:15">
      <c r="O2792" s="4288"/>
    </row>
    <row r="2793" spans="15:15">
      <c r="O2793" s="4288"/>
    </row>
    <row r="2794" spans="15:15">
      <c r="O2794" s="4288"/>
    </row>
    <row r="2795" spans="15:15">
      <c r="O2795" s="4288"/>
    </row>
    <row r="2796" spans="15:15">
      <c r="O2796" s="4288"/>
    </row>
    <row r="2797" spans="15:15">
      <c r="O2797" s="4288"/>
    </row>
    <row r="2798" spans="15:15">
      <c r="O2798" s="4288"/>
    </row>
    <row r="2799" spans="15:15">
      <c r="O2799" s="4288"/>
    </row>
    <row r="2800" spans="15:15">
      <c r="O2800" s="4288"/>
    </row>
    <row r="2801" spans="15:15">
      <c r="O2801" s="4288"/>
    </row>
    <row r="2802" spans="15:15">
      <c r="O2802" s="4288"/>
    </row>
    <row r="2803" spans="15:15">
      <c r="O2803" s="4288"/>
    </row>
    <row r="2804" spans="15:15">
      <c r="O2804" s="4288"/>
    </row>
    <row r="2805" spans="15:15">
      <c r="O2805" s="4288"/>
    </row>
    <row r="2806" spans="15:15">
      <c r="O2806" s="4288"/>
    </row>
    <row r="2807" spans="15:15">
      <c r="O2807" s="4288"/>
    </row>
    <row r="2808" spans="15:15">
      <c r="O2808" s="4288"/>
    </row>
    <row r="2809" spans="15:15">
      <c r="O2809" s="4288"/>
    </row>
    <row r="2810" spans="15:15">
      <c r="O2810" s="4288"/>
    </row>
    <row r="2811" spans="15:15">
      <c r="O2811" s="4288"/>
    </row>
    <row r="2812" spans="15:15">
      <c r="O2812" s="4288"/>
    </row>
    <row r="2813" spans="15:15">
      <c r="O2813" s="4288"/>
    </row>
    <row r="2814" spans="15:15">
      <c r="O2814" s="4288"/>
    </row>
    <row r="2815" spans="15:15">
      <c r="O2815" s="4288"/>
    </row>
    <row r="2816" spans="15:15">
      <c r="O2816" s="4288"/>
    </row>
    <row r="2817" spans="15:15">
      <c r="O2817" s="4288"/>
    </row>
    <row r="2818" spans="15:15">
      <c r="O2818" s="4288"/>
    </row>
    <row r="2819" spans="15:15">
      <c r="O2819" s="4288"/>
    </row>
    <row r="2820" spans="15:15">
      <c r="O2820" s="4288"/>
    </row>
    <row r="2821" spans="15:15">
      <c r="O2821" s="4288"/>
    </row>
    <row r="2822" spans="15:15">
      <c r="O2822" s="4288"/>
    </row>
    <row r="2823" spans="15:15">
      <c r="O2823" s="4288"/>
    </row>
    <row r="2824" spans="15:15">
      <c r="O2824" s="4288"/>
    </row>
    <row r="2825" spans="15:15">
      <c r="O2825" s="4288"/>
    </row>
    <row r="2826" spans="15:15">
      <c r="O2826" s="4288"/>
    </row>
    <row r="2827" spans="15:15">
      <c r="O2827" s="4288"/>
    </row>
    <row r="2828" spans="15:15">
      <c r="O2828" s="4288"/>
    </row>
    <row r="2829" spans="15:15">
      <c r="O2829" s="4288"/>
    </row>
    <row r="2830" spans="15:15">
      <c r="O2830" s="4288"/>
    </row>
    <row r="2831" spans="15:15">
      <c r="O2831" s="4288"/>
    </row>
    <row r="2832" spans="15:15">
      <c r="O2832" s="4288"/>
    </row>
    <row r="2833" spans="15:15">
      <c r="O2833" s="4288"/>
    </row>
    <row r="2834" spans="15:15">
      <c r="O2834" s="4288"/>
    </row>
    <row r="2835" spans="15:15">
      <c r="O2835" s="4288"/>
    </row>
    <row r="2836" spans="15:15">
      <c r="O2836" s="4288"/>
    </row>
    <row r="2837" spans="15:15">
      <c r="O2837" s="4288"/>
    </row>
    <row r="2838" spans="15:15">
      <c r="O2838" s="4288"/>
    </row>
    <row r="2839" spans="15:15">
      <c r="O2839" s="4288"/>
    </row>
    <row r="2840" spans="15:15">
      <c r="O2840" s="4288"/>
    </row>
    <row r="2841" spans="15:15">
      <c r="O2841" s="4288"/>
    </row>
    <row r="2842" spans="15:15">
      <c r="O2842" s="4288"/>
    </row>
    <row r="2843" spans="15:15">
      <c r="O2843" s="4288"/>
    </row>
    <row r="2844" spans="15:15">
      <c r="O2844" s="4288"/>
    </row>
    <row r="2845" spans="15:15">
      <c r="O2845" s="4288"/>
    </row>
    <row r="2846" spans="15:15">
      <c r="O2846" s="4288"/>
    </row>
    <row r="2847" spans="15:15">
      <c r="O2847" s="4288"/>
    </row>
    <row r="2848" spans="15:15">
      <c r="O2848" s="4288"/>
    </row>
    <row r="2849" spans="15:15">
      <c r="O2849" s="4288"/>
    </row>
    <row r="2850" spans="15:15">
      <c r="O2850" s="4288"/>
    </row>
    <row r="2851" spans="15:15">
      <c r="O2851" s="4288"/>
    </row>
    <row r="2852" spans="15:15">
      <c r="O2852" s="4288"/>
    </row>
    <row r="2853" spans="15:15">
      <c r="O2853" s="4288"/>
    </row>
    <row r="2854" spans="15:15">
      <c r="O2854" s="4288"/>
    </row>
    <row r="2855" spans="15:15">
      <c r="O2855" s="4288"/>
    </row>
    <row r="2856" spans="15:15">
      <c r="O2856" s="4288"/>
    </row>
    <row r="2857" spans="15:15">
      <c r="O2857" s="4288"/>
    </row>
    <row r="2858" spans="15:15">
      <c r="O2858" s="4288"/>
    </row>
    <row r="2859" spans="15:15">
      <c r="O2859" s="4288"/>
    </row>
    <row r="2860" spans="15:15">
      <c r="O2860" s="4288"/>
    </row>
    <row r="2861" spans="15:15">
      <c r="O2861" s="4288"/>
    </row>
    <row r="2862" spans="15:15">
      <c r="O2862" s="4288"/>
    </row>
    <row r="2863" spans="15:15">
      <c r="O2863" s="4288"/>
    </row>
    <row r="2864" spans="15:15">
      <c r="O2864" s="4288"/>
    </row>
    <row r="2865" spans="15:15">
      <c r="O2865" s="4288"/>
    </row>
    <row r="2866" spans="15:15">
      <c r="O2866" s="4288"/>
    </row>
    <row r="2867" spans="15:15">
      <c r="O2867" s="4288"/>
    </row>
    <row r="2868" spans="15:15">
      <c r="O2868" s="4288"/>
    </row>
    <row r="2869" spans="15:15">
      <c r="O2869" s="4288"/>
    </row>
    <row r="2870" spans="15:15">
      <c r="O2870" s="4288"/>
    </row>
    <row r="2871" spans="15:15">
      <c r="O2871" s="4288"/>
    </row>
    <row r="2872" spans="15:15">
      <c r="O2872" s="4288"/>
    </row>
    <row r="2873" spans="15:15">
      <c r="O2873" s="4288"/>
    </row>
    <row r="2874" spans="15:15">
      <c r="O2874" s="4288"/>
    </row>
    <row r="2875" spans="15:15">
      <c r="O2875" s="4288"/>
    </row>
    <row r="2876" spans="15:15">
      <c r="O2876" s="4288"/>
    </row>
    <row r="2877" spans="15:15">
      <c r="O2877" s="4288"/>
    </row>
    <row r="2878" spans="15:15">
      <c r="O2878" s="4288"/>
    </row>
    <row r="2879" spans="15:15">
      <c r="O2879" s="4288"/>
    </row>
    <row r="2880" spans="15:15">
      <c r="O2880" s="4288"/>
    </row>
    <row r="2881" spans="15:15">
      <c r="O2881" s="4288"/>
    </row>
    <row r="2882" spans="15:15">
      <c r="O2882" s="4288"/>
    </row>
    <row r="2883" spans="15:15">
      <c r="O2883" s="4288"/>
    </row>
    <row r="2884" spans="15:15">
      <c r="O2884" s="4288"/>
    </row>
    <row r="2885" spans="15:15">
      <c r="O2885" s="4288"/>
    </row>
    <row r="2886" spans="15:15">
      <c r="O2886" s="4288"/>
    </row>
    <row r="2887" spans="15:15">
      <c r="O2887" s="4288"/>
    </row>
    <row r="2888" spans="15:15">
      <c r="O2888" s="4288"/>
    </row>
    <row r="2889" spans="15:15">
      <c r="O2889" s="4288"/>
    </row>
    <row r="2890" spans="15:15">
      <c r="O2890" s="4288"/>
    </row>
    <row r="2891" spans="15:15">
      <c r="O2891" s="4288"/>
    </row>
    <row r="2892" spans="15:15">
      <c r="O2892" s="4288"/>
    </row>
    <row r="2893" spans="15:15">
      <c r="O2893" s="4288"/>
    </row>
    <row r="2894" spans="15:15">
      <c r="O2894" s="4288"/>
    </row>
    <row r="2895" spans="15:15">
      <c r="O2895" s="4288"/>
    </row>
    <row r="2896" spans="15:15">
      <c r="O2896" s="4288"/>
    </row>
    <row r="2897" spans="15:15">
      <c r="O2897" s="4288"/>
    </row>
    <row r="2898" spans="15:15">
      <c r="O2898" s="4288"/>
    </row>
    <row r="2899" spans="15:15">
      <c r="O2899" s="4288"/>
    </row>
    <row r="2900" spans="15:15">
      <c r="O2900" s="4288"/>
    </row>
    <row r="2901" spans="15:15">
      <c r="O2901" s="4288"/>
    </row>
    <row r="2902" spans="15:15">
      <c r="O2902" s="4288"/>
    </row>
    <row r="2903" spans="15:15">
      <c r="O2903" s="4288"/>
    </row>
    <row r="2904" spans="15:15">
      <c r="O2904" s="4288"/>
    </row>
    <row r="2905" spans="15:15">
      <c r="O2905" s="4288"/>
    </row>
    <row r="2906" spans="15:15">
      <c r="O2906" s="4288"/>
    </row>
    <row r="2907" spans="15:15">
      <c r="O2907" s="4288"/>
    </row>
    <row r="2908" spans="15:15">
      <c r="O2908" s="4288"/>
    </row>
    <row r="2909" spans="15:15">
      <c r="O2909" s="4288"/>
    </row>
    <row r="2910" spans="15:15">
      <c r="O2910" s="4288"/>
    </row>
    <row r="2911" spans="15:15">
      <c r="O2911" s="4288"/>
    </row>
    <row r="2912" spans="15:15">
      <c r="O2912" s="4288"/>
    </row>
    <row r="2913" spans="15:15">
      <c r="O2913" s="4288"/>
    </row>
    <row r="2914" spans="15:15">
      <c r="O2914" s="4288"/>
    </row>
    <row r="2915" spans="15:15">
      <c r="O2915" s="4288"/>
    </row>
    <row r="2916" spans="15:15">
      <c r="O2916" s="4288"/>
    </row>
    <row r="2917" spans="15:15">
      <c r="O2917" s="4288"/>
    </row>
    <row r="2918" spans="15:15">
      <c r="O2918" s="4288"/>
    </row>
    <row r="2919" spans="15:15">
      <c r="O2919" s="4288"/>
    </row>
    <row r="2920" spans="15:15">
      <c r="O2920" s="4288"/>
    </row>
    <row r="2921" spans="15:15">
      <c r="O2921" s="4288"/>
    </row>
    <row r="2922" spans="15:15">
      <c r="O2922" s="4288"/>
    </row>
    <row r="2923" spans="15:15">
      <c r="O2923" s="4288"/>
    </row>
    <row r="2924" spans="15:15">
      <c r="O2924" s="4288"/>
    </row>
    <row r="2925" spans="15:15">
      <c r="O2925" s="4288"/>
    </row>
    <row r="2926" spans="15:15">
      <c r="O2926" s="4288"/>
    </row>
    <row r="2927" spans="15:15">
      <c r="O2927" s="4288"/>
    </row>
    <row r="2928" spans="15:15">
      <c r="O2928" s="4288"/>
    </row>
    <row r="2929" spans="15:15">
      <c r="O2929" s="4288"/>
    </row>
    <row r="2930" spans="15:15">
      <c r="O2930" s="4288"/>
    </row>
    <row r="2931" spans="15:15">
      <c r="O2931" s="4288"/>
    </row>
    <row r="2932" spans="15:15">
      <c r="O2932" s="4288"/>
    </row>
    <row r="2933" spans="15:15">
      <c r="O2933" s="4288"/>
    </row>
    <row r="2934" spans="15:15">
      <c r="O2934" s="4288"/>
    </row>
    <row r="2935" spans="15:15">
      <c r="O2935" s="4288"/>
    </row>
    <row r="2936" spans="15:15">
      <c r="O2936" s="4288"/>
    </row>
    <row r="2937" spans="15:15">
      <c r="O2937" s="4288"/>
    </row>
    <row r="2938" spans="15:15">
      <c r="O2938" s="4288"/>
    </row>
    <row r="2939" spans="15:15">
      <c r="O2939" s="4288"/>
    </row>
    <row r="2940" spans="15:15">
      <c r="O2940" s="4288"/>
    </row>
    <row r="2941" spans="15:15">
      <c r="O2941" s="4288"/>
    </row>
    <row r="2942" spans="15:15">
      <c r="O2942" s="4288"/>
    </row>
    <row r="2943" spans="15:15">
      <c r="O2943" s="4288"/>
    </row>
    <row r="2944" spans="15:15">
      <c r="O2944" s="4288"/>
    </row>
    <row r="2945" spans="15:15">
      <c r="O2945" s="4288"/>
    </row>
    <row r="2946" spans="15:15">
      <c r="O2946" s="4288"/>
    </row>
    <row r="2947" spans="15:15">
      <c r="O2947" s="4288"/>
    </row>
    <row r="2948" spans="15:15">
      <c r="O2948" s="4288"/>
    </row>
    <row r="2949" spans="15:15">
      <c r="O2949" s="4288"/>
    </row>
    <row r="2950" spans="15:15">
      <c r="O2950" s="4288"/>
    </row>
    <row r="2951" spans="15:15">
      <c r="O2951" s="4288"/>
    </row>
    <row r="2952" spans="15:15">
      <c r="O2952" s="4288"/>
    </row>
    <row r="2953" spans="15:15">
      <c r="O2953" s="4288"/>
    </row>
    <row r="2954" spans="15:15">
      <c r="O2954" s="4288"/>
    </row>
    <row r="2955" spans="15:15">
      <c r="O2955" s="4288"/>
    </row>
    <row r="2956" spans="15:15">
      <c r="O2956" s="4288"/>
    </row>
    <row r="2957" spans="15:15">
      <c r="O2957" s="4288"/>
    </row>
    <row r="2958" spans="15:15">
      <c r="O2958" s="4288"/>
    </row>
    <row r="2959" spans="15:15">
      <c r="O2959" s="4288"/>
    </row>
    <row r="2960" spans="15:15">
      <c r="O2960" s="4288"/>
    </row>
    <row r="2961" spans="15:15">
      <c r="O2961" s="4288"/>
    </row>
    <row r="2962" spans="15:15">
      <c r="O2962" s="4288"/>
    </row>
    <row r="2963" spans="15:15">
      <c r="O2963" s="4288"/>
    </row>
    <row r="2964" spans="15:15">
      <c r="O2964" s="4288"/>
    </row>
    <row r="2965" spans="15:15">
      <c r="O2965" s="4288"/>
    </row>
    <row r="2966" spans="15:15">
      <c r="O2966" s="4288"/>
    </row>
    <row r="2967" spans="15:15">
      <c r="O2967" s="4288"/>
    </row>
    <row r="2968" spans="15:15">
      <c r="O2968" s="4288"/>
    </row>
    <row r="2969" spans="15:15">
      <c r="O2969" s="4288"/>
    </row>
    <row r="2970" spans="15:15">
      <c r="O2970" s="4288"/>
    </row>
    <row r="2971" spans="15:15">
      <c r="O2971" s="4288"/>
    </row>
    <row r="2972" spans="15:15">
      <c r="O2972" s="4288"/>
    </row>
    <row r="2973" spans="15:15">
      <c r="O2973" s="4288"/>
    </row>
    <row r="2974" spans="15:15">
      <c r="O2974" s="4288"/>
    </row>
    <row r="2975" spans="15:15">
      <c r="O2975" s="4288"/>
    </row>
    <row r="2976" spans="15:15">
      <c r="O2976" s="4288"/>
    </row>
    <row r="2977" spans="15:15">
      <c r="O2977" s="4288"/>
    </row>
    <row r="2978" spans="15:15">
      <c r="O2978" s="4288"/>
    </row>
    <row r="2979" spans="15:15">
      <c r="O2979" s="4288"/>
    </row>
    <row r="2980" spans="15:15">
      <c r="O2980" s="4288"/>
    </row>
    <row r="2981" spans="15:15">
      <c r="O2981" s="4288"/>
    </row>
    <row r="2982" spans="15:15">
      <c r="O2982" s="4288"/>
    </row>
    <row r="2983" spans="15:15">
      <c r="O2983" s="4288"/>
    </row>
    <row r="2984" spans="15:15">
      <c r="O2984" s="4288"/>
    </row>
    <row r="2985" spans="15:15">
      <c r="O2985" s="4288"/>
    </row>
    <row r="2986" spans="15:15">
      <c r="O2986" s="4288"/>
    </row>
    <row r="2987" spans="15:15">
      <c r="O2987" s="4288"/>
    </row>
    <row r="2988" spans="15:15">
      <c r="O2988" s="4288"/>
    </row>
    <row r="2989" spans="15:15">
      <c r="O2989" s="4288"/>
    </row>
    <row r="2990" spans="15:15">
      <c r="O2990" s="4288"/>
    </row>
    <row r="2991" spans="15:15">
      <c r="O2991" s="4288"/>
    </row>
    <row r="2992" spans="15:15">
      <c r="O2992" s="4288"/>
    </row>
    <row r="2993" spans="15:15">
      <c r="O2993" s="4288"/>
    </row>
    <row r="2994" spans="15:15">
      <c r="O2994" s="4288"/>
    </row>
    <row r="2995" spans="15:15">
      <c r="O2995" s="4288"/>
    </row>
    <row r="2996" spans="15:15">
      <c r="O2996" s="4288"/>
    </row>
    <row r="2997" spans="15:15">
      <c r="O2997" s="4288"/>
    </row>
    <row r="2998" spans="15:15">
      <c r="O2998" s="4288"/>
    </row>
    <row r="2999" spans="15:15">
      <c r="O2999" s="4288"/>
    </row>
    <row r="3000" spans="15:15">
      <c r="O3000" s="4288"/>
    </row>
    <row r="3001" spans="15:15">
      <c r="O3001" s="4288"/>
    </row>
    <row r="3002" spans="15:15">
      <c r="O3002" s="4288"/>
    </row>
    <row r="3003" spans="15:15">
      <c r="O3003" s="4288"/>
    </row>
    <row r="3004" spans="15:15">
      <c r="O3004" s="4288"/>
    </row>
    <row r="3005" spans="15:15">
      <c r="O3005" s="4288"/>
    </row>
    <row r="3006" spans="15:15">
      <c r="O3006" s="4288"/>
    </row>
    <row r="3007" spans="15:15">
      <c r="O3007" s="4288"/>
    </row>
    <row r="3008" spans="15:15">
      <c r="O3008" s="4288"/>
    </row>
    <row r="3009" spans="15:15">
      <c r="O3009" s="4288"/>
    </row>
    <row r="3010" spans="15:15">
      <c r="O3010" s="4288"/>
    </row>
    <row r="3011" spans="15:15">
      <c r="O3011" s="4288"/>
    </row>
    <row r="3012" spans="15:15">
      <c r="O3012" s="4288"/>
    </row>
    <row r="3013" spans="15:15">
      <c r="O3013" s="4288"/>
    </row>
    <row r="3014" spans="15:15">
      <c r="O3014" s="4288"/>
    </row>
    <row r="3015" spans="15:15">
      <c r="O3015" s="4288"/>
    </row>
    <row r="3016" spans="15:15">
      <c r="O3016" s="4288"/>
    </row>
    <row r="3017" spans="15:15">
      <c r="O3017" s="4288"/>
    </row>
    <row r="3018" spans="15:15">
      <c r="O3018" s="4288"/>
    </row>
    <row r="3019" spans="15:15">
      <c r="O3019" s="4288"/>
    </row>
    <row r="3020" spans="15:15">
      <c r="O3020" s="4288"/>
    </row>
    <row r="3021" spans="15:15">
      <c r="O3021" s="4288"/>
    </row>
    <row r="3022" spans="15:15">
      <c r="O3022" s="4288"/>
    </row>
    <row r="3023" spans="15:15">
      <c r="O3023" s="4288"/>
    </row>
    <row r="3024" spans="15:15">
      <c r="O3024" s="4288"/>
    </row>
    <row r="3025" spans="15:15">
      <c r="O3025" s="4288"/>
    </row>
    <row r="3026" spans="15:15">
      <c r="O3026" s="4288"/>
    </row>
    <row r="3027" spans="15:15">
      <c r="O3027" s="4288"/>
    </row>
    <row r="3028" spans="15:15">
      <c r="O3028" s="4288"/>
    </row>
    <row r="3029" spans="15:15">
      <c r="O3029" s="4288"/>
    </row>
    <row r="3030" spans="15:15">
      <c r="O3030" s="4288"/>
    </row>
    <row r="3031" spans="15:15">
      <c r="O3031" s="4288"/>
    </row>
    <row r="3032" spans="15:15">
      <c r="O3032" s="4288"/>
    </row>
    <row r="3033" spans="15:15">
      <c r="O3033" s="4288"/>
    </row>
    <row r="3034" spans="15:15">
      <c r="O3034" s="4288"/>
    </row>
    <row r="3035" spans="15:15">
      <c r="O3035" s="4288"/>
    </row>
    <row r="3036" spans="15:15">
      <c r="O3036" s="4288"/>
    </row>
    <row r="3037" spans="15:15">
      <c r="O3037" s="4288"/>
    </row>
    <row r="3038" spans="15:15">
      <c r="O3038" s="4288"/>
    </row>
    <row r="3039" spans="15:15">
      <c r="O3039" s="4288"/>
    </row>
    <row r="3040" spans="15:15">
      <c r="O3040" s="4288"/>
    </row>
    <row r="3041" spans="15:15">
      <c r="O3041" s="4288"/>
    </row>
    <row r="3042" spans="15:15">
      <c r="O3042" s="4288"/>
    </row>
    <row r="3043" spans="15:15">
      <c r="O3043" s="4288"/>
    </row>
    <row r="3044" spans="15:15">
      <c r="O3044" s="4288"/>
    </row>
    <row r="3045" spans="15:15">
      <c r="O3045" s="4288"/>
    </row>
    <row r="3046" spans="15:15">
      <c r="O3046" s="4288"/>
    </row>
    <row r="3047" spans="15:15">
      <c r="O3047" s="4288"/>
    </row>
    <row r="3048" spans="15:15">
      <c r="O3048" s="4288"/>
    </row>
    <row r="3049" spans="15:15">
      <c r="O3049" s="4288"/>
    </row>
    <row r="3050" spans="15:15">
      <c r="O3050" s="4288"/>
    </row>
    <row r="3051" spans="15:15">
      <c r="O3051" s="4288"/>
    </row>
    <row r="3052" spans="15:15">
      <c r="O3052" s="4288"/>
    </row>
    <row r="3053" spans="15:15">
      <c r="O3053" s="4288"/>
    </row>
    <row r="3054" spans="15:15">
      <c r="O3054" s="4288"/>
    </row>
    <row r="3055" spans="15:15">
      <c r="O3055" s="4288"/>
    </row>
    <row r="3056" spans="15:15">
      <c r="O3056" s="4288"/>
    </row>
    <row r="3057" spans="15:15">
      <c r="O3057" s="4288"/>
    </row>
    <row r="3058" spans="15:15">
      <c r="O3058" s="4288"/>
    </row>
    <row r="3059" spans="15:15">
      <c r="O3059" s="4288"/>
    </row>
    <row r="3060" spans="15:15">
      <c r="O3060" s="4288"/>
    </row>
    <row r="3061" spans="15:15">
      <c r="O3061" s="4288"/>
    </row>
    <row r="3062" spans="15:15">
      <c r="O3062" s="4288"/>
    </row>
    <row r="3063" spans="15:15">
      <c r="O3063" s="4288"/>
    </row>
    <row r="3064" spans="15:15">
      <c r="O3064" s="4288"/>
    </row>
    <row r="3065" spans="15:15">
      <c r="O3065" s="4288"/>
    </row>
    <row r="3066" spans="15:15">
      <c r="O3066" s="4288"/>
    </row>
    <row r="3067" spans="15:15">
      <c r="O3067" s="4288"/>
    </row>
    <row r="3068" spans="15:15">
      <c r="O3068" s="4288"/>
    </row>
    <row r="3069" spans="15:15">
      <c r="O3069" s="4288"/>
    </row>
    <row r="3070" spans="15:15">
      <c r="O3070" s="4288"/>
    </row>
    <row r="3071" spans="15:15">
      <c r="O3071" s="4288"/>
    </row>
    <row r="3072" spans="15:15">
      <c r="O3072" s="4288"/>
    </row>
    <row r="3073" spans="15:15">
      <c r="O3073" s="4288"/>
    </row>
    <row r="3074" spans="15:15">
      <c r="O3074" s="4288"/>
    </row>
    <row r="3075" spans="15:15">
      <c r="O3075" s="4288"/>
    </row>
    <row r="3076" spans="15:15">
      <c r="O3076" s="4288"/>
    </row>
    <row r="3077" spans="15:15">
      <c r="O3077" s="4288"/>
    </row>
    <row r="3078" spans="15:15">
      <c r="O3078" s="4288"/>
    </row>
    <row r="3079" spans="15:15">
      <c r="O3079" s="4288"/>
    </row>
    <row r="3080" spans="15:15">
      <c r="O3080" s="4288"/>
    </row>
    <row r="3081" spans="15:15">
      <c r="O3081" s="4288"/>
    </row>
    <row r="3082" spans="15:15">
      <c r="O3082" s="4288"/>
    </row>
    <row r="3083" spans="15:15">
      <c r="O3083" s="4288"/>
    </row>
    <row r="3084" spans="15:15">
      <c r="O3084" s="4288"/>
    </row>
    <row r="3085" spans="15:15">
      <c r="O3085" s="4288"/>
    </row>
    <row r="3086" spans="15:15">
      <c r="O3086" s="4288"/>
    </row>
    <row r="3087" spans="15:15">
      <c r="O3087" s="4288"/>
    </row>
    <row r="3088" spans="15:15">
      <c r="O3088" s="4288"/>
    </row>
    <row r="3089" spans="15:15">
      <c r="O3089" s="4288"/>
    </row>
    <row r="3090" spans="15:15">
      <c r="O3090" s="4288"/>
    </row>
    <row r="3091" spans="15:15">
      <c r="O3091" s="4288"/>
    </row>
    <row r="3092" spans="15:15">
      <c r="O3092" s="4288"/>
    </row>
    <row r="3093" spans="15:15">
      <c r="O3093" s="4288"/>
    </row>
    <row r="3094" spans="15:15">
      <c r="O3094" s="4288"/>
    </row>
    <row r="3095" spans="15:15">
      <c r="O3095" s="4288"/>
    </row>
    <row r="3096" spans="15:15">
      <c r="O3096" s="4288"/>
    </row>
    <row r="3097" spans="15:15">
      <c r="O3097" s="4288"/>
    </row>
    <row r="3098" spans="15:15">
      <c r="O3098" s="4288"/>
    </row>
    <row r="3099" spans="15:15">
      <c r="O3099" s="4288"/>
    </row>
    <row r="3100" spans="15:15">
      <c r="O3100" s="4288"/>
    </row>
    <row r="3101" spans="15:15">
      <c r="O3101" s="4288"/>
    </row>
    <row r="3102" spans="15:15">
      <c r="O3102" s="4288"/>
    </row>
    <row r="3103" spans="15:15">
      <c r="O3103" s="4288"/>
    </row>
    <row r="3104" spans="15:15">
      <c r="O3104" s="4288"/>
    </row>
    <row r="3105" spans="15:15">
      <c r="O3105" s="4288"/>
    </row>
    <row r="3106" spans="15:15">
      <c r="O3106" s="4288"/>
    </row>
    <row r="3107" spans="15:15">
      <c r="O3107" s="4288"/>
    </row>
    <row r="3108" spans="15:15">
      <c r="O3108" s="4288"/>
    </row>
    <row r="3109" spans="15:15">
      <c r="O3109" s="4288"/>
    </row>
    <row r="3110" spans="15:15">
      <c r="O3110" s="4288"/>
    </row>
    <row r="3111" spans="15:15">
      <c r="O3111" s="4288"/>
    </row>
    <row r="3112" spans="15:15">
      <c r="O3112" s="4288"/>
    </row>
    <row r="3113" spans="15:15">
      <c r="O3113" s="4288"/>
    </row>
    <row r="3114" spans="15:15">
      <c r="O3114" s="4288"/>
    </row>
    <row r="3115" spans="15:15">
      <c r="O3115" s="4288"/>
    </row>
    <row r="3116" spans="15:15">
      <c r="O3116" s="4288"/>
    </row>
    <row r="3117" spans="15:15">
      <c r="O3117" s="4288"/>
    </row>
    <row r="3118" spans="15:15">
      <c r="O3118" s="4288"/>
    </row>
    <row r="3119" spans="15:15">
      <c r="O3119" s="4288"/>
    </row>
    <row r="3120" spans="15:15">
      <c r="O3120" s="4288"/>
    </row>
    <row r="3121" spans="15:15">
      <c r="O3121" s="4288"/>
    </row>
    <row r="3122" spans="15:15">
      <c r="O3122" s="4288"/>
    </row>
    <row r="3123" spans="15:15">
      <c r="O3123" s="4288"/>
    </row>
    <row r="3124" spans="15:15">
      <c r="O3124" s="4288"/>
    </row>
    <row r="3125" spans="15:15">
      <c r="O3125" s="4288"/>
    </row>
    <row r="3126" spans="15:15">
      <c r="O3126" s="4288"/>
    </row>
    <row r="3127" spans="15:15">
      <c r="O3127" s="4288"/>
    </row>
    <row r="3128" spans="15:15">
      <c r="O3128" s="4288"/>
    </row>
    <row r="3129" spans="15:15">
      <c r="O3129" s="4288"/>
    </row>
    <row r="3130" spans="15:15">
      <c r="O3130" s="4288"/>
    </row>
    <row r="3131" spans="15:15">
      <c r="O3131" s="4288"/>
    </row>
    <row r="3132" spans="15:15">
      <c r="O3132" s="4288"/>
    </row>
    <row r="3133" spans="15:15">
      <c r="O3133" s="4288"/>
    </row>
    <row r="3134" spans="15:15">
      <c r="O3134" s="4288"/>
    </row>
    <row r="3135" spans="15:15">
      <c r="O3135" s="4288"/>
    </row>
    <row r="3136" spans="15:15">
      <c r="O3136" s="4288"/>
    </row>
    <row r="3137" spans="15:15">
      <c r="O3137" s="4288"/>
    </row>
    <row r="3138" spans="15:15">
      <c r="O3138" s="4288"/>
    </row>
    <row r="3139" spans="15:15">
      <c r="O3139" s="4288"/>
    </row>
    <row r="3140" spans="15:15">
      <c r="O3140" s="4288"/>
    </row>
    <row r="3141" spans="15:15">
      <c r="O3141" s="4288"/>
    </row>
    <row r="3142" spans="15:15">
      <c r="O3142" s="4288"/>
    </row>
    <row r="3143" spans="15:15">
      <c r="O3143" s="4288"/>
    </row>
    <row r="3144" spans="15:15">
      <c r="O3144" s="4288"/>
    </row>
    <row r="3145" spans="15:15">
      <c r="O3145" s="4288"/>
    </row>
    <row r="3146" spans="15:15">
      <c r="O3146" s="4288"/>
    </row>
    <row r="3147" spans="15:15">
      <c r="O3147" s="4288"/>
    </row>
    <row r="3148" spans="15:15">
      <c r="O3148" s="4288"/>
    </row>
    <row r="3149" spans="15:15">
      <c r="O3149" s="4288"/>
    </row>
    <row r="3150" spans="15:15">
      <c r="O3150" s="4288"/>
    </row>
    <row r="3151" spans="15:15">
      <c r="O3151" s="4288"/>
    </row>
    <row r="3152" spans="15:15">
      <c r="O3152" s="4288"/>
    </row>
    <row r="3153" spans="15:15">
      <c r="O3153" s="4288"/>
    </row>
    <row r="3154" spans="15:15">
      <c r="O3154" s="4288"/>
    </row>
    <row r="3155" spans="15:15">
      <c r="O3155" s="4288"/>
    </row>
    <row r="3156" spans="15:15">
      <c r="O3156" s="4288"/>
    </row>
    <row r="3157" spans="15:15">
      <c r="O3157" s="4288"/>
    </row>
    <row r="3158" spans="15:15">
      <c r="O3158" s="4288"/>
    </row>
    <row r="3159" spans="15:15">
      <c r="O3159" s="4288"/>
    </row>
    <row r="3160" spans="15:15">
      <c r="O3160" s="4288"/>
    </row>
    <row r="3161" spans="15:15">
      <c r="O3161" s="4288"/>
    </row>
    <row r="3162" spans="15:15">
      <c r="O3162" s="4288"/>
    </row>
    <row r="3163" spans="15:15">
      <c r="O3163" s="4288"/>
    </row>
    <row r="3164" spans="15:15">
      <c r="O3164" s="4288"/>
    </row>
    <row r="3165" spans="15:15">
      <c r="O3165" s="4288"/>
    </row>
    <row r="3166" spans="15:15">
      <c r="O3166" s="4288"/>
    </row>
    <row r="3167" spans="15:15">
      <c r="O3167" s="4288"/>
    </row>
    <row r="3168" spans="15:15">
      <c r="O3168" s="4288"/>
    </row>
    <row r="3169" spans="15:15">
      <c r="O3169" s="4288"/>
    </row>
    <row r="3170" spans="15:15">
      <c r="O3170" s="4288"/>
    </row>
    <row r="3171" spans="15:15">
      <c r="O3171" s="4288"/>
    </row>
    <row r="3172" spans="15:15">
      <c r="O3172" s="4288"/>
    </row>
    <row r="3173" spans="15:15">
      <c r="O3173" s="4288"/>
    </row>
    <row r="3174" spans="15:15">
      <c r="O3174" s="4288"/>
    </row>
    <row r="3175" spans="15:15">
      <c r="O3175" s="4288"/>
    </row>
    <row r="3176" spans="15:15">
      <c r="O3176" s="4288"/>
    </row>
    <row r="3177" spans="15:15">
      <c r="O3177" s="4288"/>
    </row>
    <row r="3178" spans="15:15">
      <c r="O3178" s="4288"/>
    </row>
    <row r="3179" spans="15:15">
      <c r="O3179" s="4288"/>
    </row>
    <row r="3180" spans="15:15">
      <c r="O3180" s="4288"/>
    </row>
    <row r="3181" spans="15:15">
      <c r="O3181" s="4288"/>
    </row>
    <row r="3182" spans="15:15">
      <c r="O3182" s="4288"/>
    </row>
    <row r="3183" spans="15:15">
      <c r="O3183" s="4288"/>
    </row>
    <row r="3184" spans="15:15">
      <c r="O3184" s="4288"/>
    </row>
    <row r="3185" spans="15:15">
      <c r="O3185" s="4288"/>
    </row>
    <row r="3186" spans="15:15">
      <c r="O3186" s="4288"/>
    </row>
    <row r="3187" spans="15:15">
      <c r="O3187" s="4288"/>
    </row>
    <row r="3188" spans="15:15">
      <c r="O3188" s="4288"/>
    </row>
    <row r="3189" spans="15:15">
      <c r="O3189" s="4288"/>
    </row>
    <row r="3190" spans="15:15">
      <c r="O3190" s="4288"/>
    </row>
    <row r="3191" spans="15:15">
      <c r="O3191" s="4288"/>
    </row>
    <row r="3192" spans="15:15">
      <c r="O3192" s="4288"/>
    </row>
    <row r="3193" spans="15:15">
      <c r="O3193" s="4288"/>
    </row>
    <row r="3194" spans="15:15">
      <c r="O3194" s="4288"/>
    </row>
    <row r="3195" spans="15:15">
      <c r="O3195" s="4288"/>
    </row>
    <row r="3196" spans="15:15">
      <c r="O3196" s="4288"/>
    </row>
    <row r="3197" spans="15:15">
      <c r="O3197" s="4288"/>
    </row>
    <row r="3198" spans="15:15">
      <c r="O3198" s="4288"/>
    </row>
    <row r="3199" spans="15:15">
      <c r="O3199" s="4288"/>
    </row>
    <row r="3200" spans="15:15">
      <c r="O3200" s="4288"/>
    </row>
    <row r="3201" spans="15:15">
      <c r="O3201" s="4288"/>
    </row>
    <row r="3202" spans="15:15">
      <c r="O3202" s="4288"/>
    </row>
    <row r="3203" spans="15:15">
      <c r="O3203" s="4288"/>
    </row>
    <row r="3204" spans="15:15">
      <c r="O3204" s="4288"/>
    </row>
    <row r="3205" spans="15:15">
      <c r="O3205" s="4288"/>
    </row>
    <row r="3206" spans="15:15">
      <c r="O3206" s="4288"/>
    </row>
    <row r="3207" spans="15:15">
      <c r="O3207" s="4288"/>
    </row>
    <row r="3208" spans="15:15">
      <c r="O3208" s="4288"/>
    </row>
    <row r="3209" spans="15:15">
      <c r="O3209" s="4288"/>
    </row>
    <row r="3210" spans="15:15">
      <c r="O3210" s="4288"/>
    </row>
    <row r="3211" spans="15:15">
      <c r="O3211" s="4288"/>
    </row>
    <row r="3212" spans="15:15">
      <c r="O3212" s="4288"/>
    </row>
    <row r="3213" spans="15:15">
      <c r="O3213" s="4288"/>
    </row>
    <row r="3214" spans="15:15">
      <c r="O3214" s="4288"/>
    </row>
    <row r="3215" spans="15:15">
      <c r="O3215" s="4288"/>
    </row>
    <row r="3216" spans="15:15">
      <c r="O3216" s="4288"/>
    </row>
    <row r="3217" spans="15:15">
      <c r="O3217" s="4288"/>
    </row>
    <row r="3218" spans="15:15">
      <c r="O3218" s="4288"/>
    </row>
    <row r="3219" spans="15:15">
      <c r="O3219" s="4288"/>
    </row>
    <row r="3220" spans="15:15">
      <c r="O3220" s="4288"/>
    </row>
    <row r="3221" spans="15:15">
      <c r="O3221" s="4288"/>
    </row>
    <row r="3222" spans="15:15">
      <c r="O3222" s="4288"/>
    </row>
    <row r="3223" spans="15:15">
      <c r="O3223" s="4288"/>
    </row>
    <row r="3224" spans="15:15">
      <c r="O3224" s="4288"/>
    </row>
    <row r="3225" spans="15:15">
      <c r="O3225" s="4288"/>
    </row>
    <row r="3226" spans="15:15">
      <c r="O3226" s="4288"/>
    </row>
    <row r="3227" spans="15:15">
      <c r="O3227" s="4288"/>
    </row>
    <row r="3228" spans="15:15">
      <c r="O3228" s="4288"/>
    </row>
    <row r="3229" spans="15:15">
      <c r="O3229" s="4288"/>
    </row>
    <row r="3230" spans="15:15">
      <c r="O3230" s="4288"/>
    </row>
    <row r="3231" spans="15:15">
      <c r="O3231" s="4288"/>
    </row>
    <row r="3232" spans="15:15">
      <c r="O3232" s="4288"/>
    </row>
    <row r="3233" spans="15:15">
      <c r="O3233" s="4288"/>
    </row>
    <row r="3234" spans="15:15">
      <c r="O3234" s="4288"/>
    </row>
    <row r="3235" spans="15:15">
      <c r="O3235" s="4288"/>
    </row>
    <row r="3236" spans="15:15">
      <c r="O3236" s="4288"/>
    </row>
    <row r="3237" spans="15:15">
      <c r="O3237" s="4288"/>
    </row>
    <row r="3238" spans="15:15">
      <c r="O3238" s="4288"/>
    </row>
    <row r="3239" spans="15:15">
      <c r="O3239" s="4288"/>
    </row>
    <row r="3240" spans="15:15">
      <c r="O3240" s="4288"/>
    </row>
    <row r="3241" spans="15:15">
      <c r="O3241" s="4288"/>
    </row>
    <row r="3242" spans="15:15">
      <c r="O3242" s="4288"/>
    </row>
    <row r="3243" spans="15:15">
      <c r="O3243" s="4288"/>
    </row>
    <row r="3244" spans="15:15">
      <c r="O3244" s="4288"/>
    </row>
    <row r="3245" spans="15:15">
      <c r="O3245" s="4288"/>
    </row>
    <row r="3246" spans="15:15">
      <c r="O3246" s="4288"/>
    </row>
    <row r="3247" spans="15:15">
      <c r="O3247" s="4288"/>
    </row>
    <row r="3248" spans="15:15">
      <c r="O3248" s="4288"/>
    </row>
    <row r="3249" spans="15:15">
      <c r="O3249" s="4288"/>
    </row>
    <row r="3250" spans="15:15">
      <c r="O3250" s="4288"/>
    </row>
    <row r="3251" spans="15:15">
      <c r="O3251" s="4288"/>
    </row>
    <row r="3252" spans="15:15">
      <c r="O3252" s="4288"/>
    </row>
    <row r="3253" spans="15:15">
      <c r="O3253" s="4288"/>
    </row>
    <row r="3254" spans="15:15">
      <c r="O3254" s="4288"/>
    </row>
    <row r="3255" spans="15:15">
      <c r="O3255" s="4288"/>
    </row>
    <row r="3256" spans="15:15">
      <c r="O3256" s="4288"/>
    </row>
    <row r="3257" spans="15:15">
      <c r="O3257" s="4288"/>
    </row>
    <row r="3258" spans="15:15">
      <c r="O3258" s="4288"/>
    </row>
    <row r="3259" spans="15:15">
      <c r="O3259" s="4288"/>
    </row>
    <row r="3260" spans="15:15">
      <c r="O3260" s="4288"/>
    </row>
    <row r="3261" spans="15:15">
      <c r="O3261" s="4288"/>
    </row>
    <row r="3262" spans="15:15">
      <c r="O3262" s="4288"/>
    </row>
    <row r="3263" spans="15:15">
      <c r="O3263" s="4288"/>
    </row>
    <row r="3264" spans="15:15">
      <c r="O3264" s="4288"/>
    </row>
    <row r="3265" spans="15:15">
      <c r="O3265" s="4288"/>
    </row>
    <row r="3266" spans="15:15">
      <c r="O3266" s="4288"/>
    </row>
    <row r="3267" spans="15:15">
      <c r="O3267" s="4288"/>
    </row>
    <row r="3268" spans="15:15">
      <c r="O3268" s="4288"/>
    </row>
    <row r="3269" spans="15:15">
      <c r="O3269" s="4288"/>
    </row>
    <row r="3270" spans="15:15">
      <c r="O3270" s="4288"/>
    </row>
    <row r="3271" spans="15:15">
      <c r="O3271" s="4288"/>
    </row>
    <row r="3272" spans="15:15">
      <c r="O3272" s="4288"/>
    </row>
    <row r="3273" spans="15:15">
      <c r="O3273" s="4288"/>
    </row>
    <row r="3274" spans="15:15">
      <c r="O3274" s="4288"/>
    </row>
    <row r="3275" spans="15:15">
      <c r="O3275" s="4288"/>
    </row>
    <row r="3276" spans="15:15">
      <c r="O3276" s="4288"/>
    </row>
    <row r="3277" spans="15:15">
      <c r="O3277" s="4288"/>
    </row>
    <row r="3278" spans="15:15">
      <c r="O3278" s="4288"/>
    </row>
    <row r="3279" spans="15:15">
      <c r="O3279" s="4288"/>
    </row>
    <row r="3280" spans="15:15">
      <c r="O3280" s="4288"/>
    </row>
    <row r="3281" spans="15:15">
      <c r="O3281" s="4288"/>
    </row>
    <row r="3282" spans="15:15">
      <c r="O3282" s="4288"/>
    </row>
    <row r="3283" spans="15:15">
      <c r="O3283" s="4288"/>
    </row>
    <row r="3284" spans="15:15">
      <c r="O3284" s="4288"/>
    </row>
    <row r="3285" spans="15:15">
      <c r="O3285" s="4288"/>
    </row>
    <row r="3286" spans="15:15">
      <c r="O3286" s="4288"/>
    </row>
    <row r="3287" spans="15:15">
      <c r="O3287" s="4288"/>
    </row>
    <row r="3288" spans="15:15">
      <c r="O3288" s="4288"/>
    </row>
    <row r="3289" spans="15:15">
      <c r="O3289" s="4288"/>
    </row>
    <row r="3290" spans="15:15">
      <c r="O3290" s="4288"/>
    </row>
    <row r="3291" spans="15:15">
      <c r="O3291" s="4288"/>
    </row>
    <row r="3292" spans="15:15">
      <c r="O3292" s="4288"/>
    </row>
    <row r="3293" spans="15:15">
      <c r="O3293" s="4288"/>
    </row>
    <row r="3294" spans="15:15">
      <c r="O3294" s="4288"/>
    </row>
    <row r="3295" spans="15:15">
      <c r="O3295" s="4288"/>
    </row>
    <row r="3296" spans="15:15">
      <c r="O3296" s="4288"/>
    </row>
    <row r="3297" spans="15:15">
      <c r="O3297" s="4288"/>
    </row>
    <row r="3298" spans="15:15">
      <c r="O3298" s="4288"/>
    </row>
    <row r="3299" spans="15:15">
      <c r="O3299" s="4288"/>
    </row>
    <row r="3300" spans="15:15">
      <c r="O3300" s="4288"/>
    </row>
    <row r="3301" spans="15:15">
      <c r="O3301" s="4288"/>
    </row>
    <row r="3302" spans="15:15">
      <c r="O3302" s="4288"/>
    </row>
    <row r="3303" spans="15:15">
      <c r="O3303" s="4288"/>
    </row>
    <row r="3304" spans="15:15">
      <c r="O3304" s="4288"/>
    </row>
    <row r="3305" spans="15:15">
      <c r="O3305" s="4288"/>
    </row>
    <row r="3306" spans="15:15">
      <c r="O3306" s="4288"/>
    </row>
    <row r="3307" spans="15:15">
      <c r="O3307" s="4288"/>
    </row>
    <row r="3308" spans="15:15">
      <c r="O3308" s="4288"/>
    </row>
    <row r="3309" spans="15:15">
      <c r="O3309" s="4288"/>
    </row>
    <row r="3310" spans="15:15">
      <c r="O3310" s="4288"/>
    </row>
    <row r="3311" spans="15:15">
      <c r="O3311" s="4288"/>
    </row>
    <row r="3312" spans="15:15">
      <c r="O3312" s="4288"/>
    </row>
    <row r="3313" spans="15:15">
      <c r="O3313" s="4288"/>
    </row>
    <row r="3314" spans="15:15">
      <c r="O3314" s="4288"/>
    </row>
    <row r="3315" spans="15:15">
      <c r="O3315" s="4288"/>
    </row>
    <row r="3316" spans="15:15">
      <c r="O3316" s="4288"/>
    </row>
    <row r="3317" spans="15:15">
      <c r="O3317" s="4288"/>
    </row>
    <row r="3318" spans="15:15">
      <c r="O3318" s="4288"/>
    </row>
    <row r="3319" spans="15:15">
      <c r="O3319" s="4288"/>
    </row>
    <row r="3320" spans="15:15">
      <c r="O3320" s="4288"/>
    </row>
    <row r="3321" spans="15:15">
      <c r="O3321" s="4288"/>
    </row>
    <row r="3322" spans="15:15">
      <c r="O3322" s="4288"/>
    </row>
    <row r="3323" spans="15:15">
      <c r="O3323" s="4288"/>
    </row>
    <row r="3324" spans="15:15">
      <c r="O3324" s="4288"/>
    </row>
    <row r="3325" spans="15:15">
      <c r="O3325" s="4288"/>
    </row>
    <row r="3326" spans="15:15">
      <c r="O3326" s="4288"/>
    </row>
    <row r="3327" spans="15:15">
      <c r="O3327" s="4288"/>
    </row>
    <row r="3328" spans="15:15">
      <c r="O3328" s="4288"/>
    </row>
    <row r="3329" spans="15:15">
      <c r="O3329" s="4288"/>
    </row>
    <row r="3330" spans="15:15">
      <c r="O3330" s="4288"/>
    </row>
    <row r="3331" spans="15:15">
      <c r="O3331" s="4288"/>
    </row>
    <row r="3332" spans="15:15">
      <c r="O3332" s="4288"/>
    </row>
    <row r="3333" spans="15:15">
      <c r="O3333" s="4288"/>
    </row>
    <row r="3334" spans="15:15">
      <c r="O3334" s="4288"/>
    </row>
    <row r="3335" spans="15:15">
      <c r="O3335" s="4288"/>
    </row>
    <row r="3336" spans="15:15">
      <c r="O3336" s="4288"/>
    </row>
    <row r="3337" spans="15:15">
      <c r="O3337" s="4288"/>
    </row>
    <row r="3338" spans="15:15">
      <c r="O3338" s="4288"/>
    </row>
    <row r="3339" spans="15:15">
      <c r="O3339" s="4288"/>
    </row>
    <row r="3340" spans="15:15">
      <c r="O3340" s="4288"/>
    </row>
    <row r="3341" spans="15:15">
      <c r="O3341" s="4288"/>
    </row>
    <row r="3342" spans="15:15">
      <c r="O3342" s="4288"/>
    </row>
    <row r="3343" spans="15:15">
      <c r="O3343" s="4288"/>
    </row>
    <row r="3344" spans="15:15">
      <c r="O3344" s="4288"/>
    </row>
    <row r="3345" spans="15:15">
      <c r="O3345" s="4288"/>
    </row>
    <row r="3346" spans="15:15">
      <c r="O3346" s="4288"/>
    </row>
    <row r="3347" spans="15:15">
      <c r="O3347" s="4288"/>
    </row>
    <row r="3348" spans="15:15">
      <c r="O3348" s="4288"/>
    </row>
    <row r="3349" spans="15:15">
      <c r="O3349" s="4288"/>
    </row>
    <row r="3350" spans="15:15">
      <c r="O3350" s="4288"/>
    </row>
    <row r="3351" spans="15:15">
      <c r="O3351" s="4288"/>
    </row>
    <row r="3352" spans="15:15">
      <c r="O3352" s="4288"/>
    </row>
    <row r="3353" spans="15:15">
      <c r="O3353" s="4288"/>
    </row>
    <row r="3354" spans="15:15">
      <c r="O3354" s="4288"/>
    </row>
    <row r="3355" spans="15:15">
      <c r="O3355" s="4288"/>
    </row>
    <row r="3356" spans="15:15">
      <c r="O3356" s="4288"/>
    </row>
    <row r="3357" spans="15:15">
      <c r="O3357" s="4288"/>
    </row>
    <row r="3358" spans="15:15">
      <c r="O3358" s="4288"/>
    </row>
    <row r="3359" spans="15:15">
      <c r="O3359" s="4288"/>
    </row>
    <row r="3360" spans="15:15">
      <c r="O3360" s="4288"/>
    </row>
    <row r="3361" spans="15:15">
      <c r="O3361" s="4288"/>
    </row>
    <row r="3362" spans="15:15">
      <c r="O3362" s="4288"/>
    </row>
    <row r="3363" spans="15:15">
      <c r="O3363" s="4288"/>
    </row>
    <row r="3364" spans="15:15">
      <c r="O3364" s="4288"/>
    </row>
    <row r="3365" spans="15:15">
      <c r="O3365" s="4288"/>
    </row>
    <row r="3366" spans="15:15">
      <c r="O3366" s="4288"/>
    </row>
    <row r="3367" spans="15:15">
      <c r="O3367" s="4288"/>
    </row>
    <row r="3368" spans="15:15">
      <c r="O3368" s="4288"/>
    </row>
    <row r="3369" spans="15:15">
      <c r="O3369" s="4288"/>
    </row>
    <row r="3370" spans="15:15">
      <c r="O3370" s="4288"/>
    </row>
    <row r="3371" spans="15:15">
      <c r="O3371" s="4288"/>
    </row>
    <row r="3372" spans="15:15">
      <c r="O3372" s="4288"/>
    </row>
    <row r="3373" spans="15:15">
      <c r="O3373" s="4288"/>
    </row>
    <row r="3374" spans="15:15">
      <c r="O3374" s="4288"/>
    </row>
    <row r="3375" spans="15:15">
      <c r="O3375" s="4288"/>
    </row>
    <row r="3376" spans="15:15">
      <c r="O3376" s="4288"/>
    </row>
    <row r="3377" spans="15:15">
      <c r="O3377" s="4288"/>
    </row>
    <row r="3378" spans="15:15">
      <c r="O3378" s="4288"/>
    </row>
    <row r="3379" spans="15:15">
      <c r="O3379" s="4288"/>
    </row>
    <row r="3380" spans="15:15">
      <c r="O3380" s="4288"/>
    </row>
    <row r="3381" spans="15:15">
      <c r="O3381" s="4288"/>
    </row>
    <row r="3382" spans="15:15">
      <c r="O3382" s="4288"/>
    </row>
    <row r="3383" spans="15:15">
      <c r="O3383" s="4288"/>
    </row>
    <row r="3384" spans="15:15">
      <c r="O3384" s="4288"/>
    </row>
    <row r="3385" spans="15:15">
      <c r="O3385" s="4288"/>
    </row>
    <row r="3386" spans="15:15">
      <c r="O3386" s="4288"/>
    </row>
    <row r="3387" spans="15:15">
      <c r="O3387" s="4288"/>
    </row>
    <row r="3388" spans="15:15">
      <c r="O3388" s="4288"/>
    </row>
    <row r="3389" spans="15:15">
      <c r="O3389" s="4288"/>
    </row>
    <row r="3390" spans="15:15">
      <c r="O3390" s="4288"/>
    </row>
    <row r="3391" spans="15:15">
      <c r="O3391" s="4288"/>
    </row>
    <row r="3392" spans="15:15">
      <c r="O3392" s="4288"/>
    </row>
    <row r="3393" spans="15:15">
      <c r="O3393" s="4288"/>
    </row>
    <row r="3394" spans="15:15">
      <c r="O3394" s="4288"/>
    </row>
    <row r="3395" spans="15:15">
      <c r="O3395" s="4288"/>
    </row>
    <row r="3396" spans="15:15">
      <c r="O3396" s="4288"/>
    </row>
    <row r="3397" spans="15:15">
      <c r="O3397" s="4288"/>
    </row>
    <row r="3398" spans="15:15">
      <c r="O3398" s="4288"/>
    </row>
    <row r="3399" spans="15:15">
      <c r="O3399" s="4288"/>
    </row>
    <row r="3400" spans="15:15">
      <c r="O3400" s="4288"/>
    </row>
    <row r="3401" spans="15:15">
      <c r="O3401" s="4288"/>
    </row>
    <row r="3402" spans="15:15">
      <c r="O3402" s="4288"/>
    </row>
    <row r="3403" spans="15:15">
      <c r="O3403" s="4288"/>
    </row>
    <row r="3404" spans="15:15">
      <c r="O3404" s="4288"/>
    </row>
    <row r="3405" spans="15:15">
      <c r="O3405" s="4288"/>
    </row>
    <row r="3406" spans="15:15">
      <c r="O3406" s="4288"/>
    </row>
    <row r="3407" spans="15:15">
      <c r="O3407" s="4288"/>
    </row>
    <row r="3408" spans="15:15">
      <c r="O3408" s="4288"/>
    </row>
    <row r="3409" spans="15:15">
      <c r="O3409" s="4288"/>
    </row>
    <row r="3410" spans="15:15">
      <c r="O3410" s="4288"/>
    </row>
    <row r="3411" spans="15:15">
      <c r="O3411" s="4288"/>
    </row>
    <row r="3412" spans="15:15">
      <c r="O3412" s="4288"/>
    </row>
    <row r="3413" spans="15:15">
      <c r="O3413" s="4288"/>
    </row>
    <row r="3414" spans="15:15">
      <c r="O3414" s="4288"/>
    </row>
    <row r="3415" spans="15:15">
      <c r="O3415" s="4288"/>
    </row>
    <row r="3416" spans="15:15">
      <c r="O3416" s="4288"/>
    </row>
    <row r="3417" spans="15:15">
      <c r="O3417" s="4288"/>
    </row>
    <row r="3418" spans="15:15">
      <c r="O3418" s="4288"/>
    </row>
    <row r="3419" spans="15:15">
      <c r="O3419" s="4288"/>
    </row>
    <row r="3420" spans="15:15">
      <c r="O3420" s="4288"/>
    </row>
    <row r="3421" spans="15:15">
      <c r="O3421" s="4288"/>
    </row>
    <row r="3422" spans="15:15">
      <c r="O3422" s="4288"/>
    </row>
    <row r="3423" spans="15:15">
      <c r="O3423" s="4288"/>
    </row>
    <row r="3424" spans="15:15">
      <c r="O3424" s="4288"/>
    </row>
    <row r="3425" spans="15:15">
      <c r="O3425" s="4288"/>
    </row>
    <row r="3426" spans="15:15">
      <c r="O3426" s="4288"/>
    </row>
    <row r="3427" spans="15:15">
      <c r="O3427" s="4288"/>
    </row>
    <row r="3428" spans="15:15">
      <c r="O3428" s="4288"/>
    </row>
    <row r="3429" spans="15:15">
      <c r="O3429" s="4288"/>
    </row>
    <row r="3430" spans="15:15">
      <c r="O3430" s="4288"/>
    </row>
    <row r="3431" spans="15:15">
      <c r="O3431" s="4288"/>
    </row>
    <row r="3432" spans="15:15">
      <c r="O3432" s="4288"/>
    </row>
    <row r="3433" spans="15:15">
      <c r="O3433" s="4288"/>
    </row>
    <row r="3434" spans="15:15">
      <c r="O3434" s="4288"/>
    </row>
    <row r="3435" spans="15:15">
      <c r="O3435" s="4288"/>
    </row>
    <row r="3436" spans="15:15">
      <c r="O3436" s="4288"/>
    </row>
    <row r="3437" spans="15:15">
      <c r="O3437" s="4288"/>
    </row>
    <row r="3438" spans="15:15">
      <c r="O3438" s="4288"/>
    </row>
    <row r="3439" spans="15:15">
      <c r="O3439" s="4288"/>
    </row>
    <row r="3440" spans="15:15">
      <c r="O3440" s="4288"/>
    </row>
    <row r="3441" spans="15:15">
      <c r="O3441" s="4288"/>
    </row>
    <row r="3442" spans="15:15">
      <c r="O3442" s="4288"/>
    </row>
    <row r="3443" spans="15:15">
      <c r="O3443" s="4288"/>
    </row>
    <row r="3444" spans="15:15">
      <c r="O3444" s="4288"/>
    </row>
    <row r="3445" spans="15:15">
      <c r="O3445" s="4288"/>
    </row>
    <row r="3446" spans="15:15">
      <c r="O3446" s="4288"/>
    </row>
    <row r="3447" spans="15:15">
      <c r="O3447" s="4288"/>
    </row>
    <row r="3448" spans="15:15">
      <c r="O3448" s="4288"/>
    </row>
    <row r="3449" spans="15:15">
      <c r="O3449" s="4288"/>
    </row>
    <row r="3450" spans="15:15">
      <c r="O3450" s="4288"/>
    </row>
    <row r="3451" spans="15:15">
      <c r="O3451" s="4288"/>
    </row>
    <row r="3452" spans="15:15">
      <c r="O3452" s="4288"/>
    </row>
    <row r="3453" spans="15:15">
      <c r="O3453" s="4288"/>
    </row>
    <row r="3454" spans="15:15">
      <c r="O3454" s="4288"/>
    </row>
    <row r="3455" spans="15:15">
      <c r="O3455" s="4288"/>
    </row>
    <row r="3456" spans="15:15">
      <c r="O3456" s="4288"/>
    </row>
    <row r="3457" spans="15:15">
      <c r="O3457" s="4288"/>
    </row>
    <row r="3458" spans="15:15">
      <c r="O3458" s="4288"/>
    </row>
    <row r="3459" spans="15:15">
      <c r="O3459" s="4288"/>
    </row>
    <row r="3460" spans="15:15">
      <c r="O3460" s="4288"/>
    </row>
    <row r="3461" spans="15:15">
      <c r="O3461" s="4288"/>
    </row>
    <row r="3462" spans="15:15">
      <c r="O3462" s="4288"/>
    </row>
    <row r="3463" spans="15:15">
      <c r="O3463" s="4288"/>
    </row>
    <row r="3464" spans="15:15">
      <c r="O3464" s="4288"/>
    </row>
    <row r="3465" spans="15:15">
      <c r="O3465" s="4288"/>
    </row>
    <row r="3466" spans="15:15">
      <c r="O3466" s="4288"/>
    </row>
    <row r="3467" spans="15:15">
      <c r="O3467" s="4288"/>
    </row>
    <row r="3468" spans="15:15">
      <c r="O3468" s="4288"/>
    </row>
    <row r="3469" spans="15:15">
      <c r="O3469" s="4288"/>
    </row>
    <row r="3470" spans="15:15">
      <c r="O3470" s="4288"/>
    </row>
    <row r="3471" spans="15:15">
      <c r="O3471" s="4288"/>
    </row>
    <row r="3472" spans="15:15">
      <c r="O3472" s="4288"/>
    </row>
    <row r="3473" spans="15:15">
      <c r="O3473" s="4288"/>
    </row>
    <row r="3474" spans="15:15">
      <c r="O3474" s="4288"/>
    </row>
    <row r="3475" spans="15:15">
      <c r="O3475" s="4288"/>
    </row>
    <row r="3476" spans="15:15">
      <c r="O3476" s="4288"/>
    </row>
    <row r="3477" spans="15:15">
      <c r="O3477" s="4288"/>
    </row>
    <row r="3478" spans="15:15">
      <c r="O3478" s="4288"/>
    </row>
    <row r="3479" spans="15:15">
      <c r="O3479" s="4288"/>
    </row>
    <row r="3480" spans="15:15">
      <c r="O3480" s="4288"/>
    </row>
    <row r="3481" spans="15:15">
      <c r="O3481" s="4288"/>
    </row>
    <row r="3482" spans="15:15">
      <c r="O3482" s="4288"/>
    </row>
    <row r="3483" spans="15:15">
      <c r="O3483" s="4288"/>
    </row>
    <row r="3484" spans="15:15">
      <c r="O3484" s="4288"/>
    </row>
    <row r="3485" spans="15:15">
      <c r="O3485" s="4288"/>
    </row>
    <row r="3486" spans="15:15">
      <c r="O3486" s="4288"/>
    </row>
    <row r="3487" spans="15:15">
      <c r="O3487" s="4288"/>
    </row>
    <row r="3488" spans="15:15">
      <c r="O3488" s="4288"/>
    </row>
    <row r="3489" spans="15:15">
      <c r="O3489" s="4288"/>
    </row>
    <row r="3490" spans="15:15">
      <c r="O3490" s="4288"/>
    </row>
    <row r="3491" spans="15:15">
      <c r="O3491" s="4288"/>
    </row>
    <row r="3492" spans="15:15">
      <c r="O3492" s="4288"/>
    </row>
    <row r="3493" spans="15:15">
      <c r="O3493" s="4288"/>
    </row>
    <row r="3494" spans="15:15">
      <c r="O3494" s="4288"/>
    </row>
    <row r="3495" spans="15:15">
      <c r="O3495" s="4288"/>
    </row>
    <row r="3496" spans="15:15">
      <c r="O3496" s="4288"/>
    </row>
    <row r="3497" spans="15:15">
      <c r="O3497" s="4288"/>
    </row>
    <row r="3498" spans="15:15">
      <c r="O3498" s="4288"/>
    </row>
    <row r="3499" spans="15:15">
      <c r="O3499" s="4288"/>
    </row>
    <row r="3500" spans="15:15">
      <c r="O3500" s="4288"/>
    </row>
    <row r="3501" spans="15:15">
      <c r="O3501" s="4288"/>
    </row>
    <row r="3502" spans="15:15">
      <c r="O3502" s="4288"/>
    </row>
    <row r="3503" spans="15:15">
      <c r="O3503" s="4288"/>
    </row>
    <row r="3504" spans="15:15">
      <c r="O3504" s="4288"/>
    </row>
    <row r="3505" spans="15:15">
      <c r="O3505" s="4288"/>
    </row>
    <row r="3506" spans="15:15">
      <c r="O3506" s="4288"/>
    </row>
    <row r="3507" spans="15:15">
      <c r="O3507" s="4288"/>
    </row>
    <row r="3508" spans="15:15">
      <c r="O3508" s="4288"/>
    </row>
    <row r="3509" spans="15:15">
      <c r="O3509" s="4288"/>
    </row>
    <row r="3510" spans="15:15">
      <c r="O3510" s="4288"/>
    </row>
    <row r="3511" spans="15:15">
      <c r="O3511" s="4288"/>
    </row>
    <row r="3512" spans="15:15">
      <c r="O3512" s="4288"/>
    </row>
    <row r="3513" spans="15:15">
      <c r="O3513" s="4288"/>
    </row>
    <row r="3514" spans="15:15">
      <c r="O3514" s="4288"/>
    </row>
    <row r="3515" spans="15:15">
      <c r="O3515" s="4288"/>
    </row>
    <row r="3516" spans="15:15">
      <c r="O3516" s="4288"/>
    </row>
    <row r="3517" spans="15:15">
      <c r="O3517" s="4288"/>
    </row>
    <row r="3518" spans="15:15">
      <c r="O3518" s="4288"/>
    </row>
    <row r="3519" spans="15:15">
      <c r="O3519" s="4288"/>
    </row>
    <row r="3520" spans="15:15">
      <c r="O3520" s="4288"/>
    </row>
    <row r="3521" spans="15:15">
      <c r="O3521" s="4288"/>
    </row>
    <row r="3522" spans="15:15">
      <c r="O3522" s="4288"/>
    </row>
    <row r="3523" spans="15:15">
      <c r="O3523" s="4288"/>
    </row>
    <row r="3524" spans="15:15">
      <c r="O3524" s="4288"/>
    </row>
    <row r="3525" spans="15:15">
      <c r="O3525" s="4288"/>
    </row>
    <row r="3526" spans="15:15">
      <c r="O3526" s="4288"/>
    </row>
    <row r="3527" spans="15:15">
      <c r="O3527" s="4288"/>
    </row>
    <row r="3528" spans="15:15">
      <c r="O3528" s="4288"/>
    </row>
    <row r="3529" spans="15:15">
      <c r="O3529" s="4288"/>
    </row>
    <row r="3530" spans="15:15">
      <c r="O3530" s="4288"/>
    </row>
    <row r="3531" spans="15:15">
      <c r="O3531" s="4288"/>
    </row>
    <row r="3532" spans="15:15">
      <c r="O3532" s="4288"/>
    </row>
    <row r="3533" spans="15:15">
      <c r="O3533" s="4288"/>
    </row>
    <row r="3534" spans="15:15">
      <c r="O3534" s="4288"/>
    </row>
    <row r="3535" spans="15:15">
      <c r="O3535" s="4288"/>
    </row>
    <row r="3536" spans="15:15">
      <c r="O3536" s="4288"/>
    </row>
    <row r="3537" spans="15:15">
      <c r="O3537" s="4288"/>
    </row>
    <row r="3538" spans="15:15">
      <c r="O3538" s="4288"/>
    </row>
    <row r="3539" spans="15:15">
      <c r="O3539" s="4288"/>
    </row>
    <row r="3540" spans="15:15">
      <c r="O3540" s="4288"/>
    </row>
    <row r="3541" spans="15:15">
      <c r="O3541" s="4288"/>
    </row>
    <row r="3542" spans="15:15">
      <c r="O3542" s="4288"/>
    </row>
    <row r="3543" spans="15:15">
      <c r="O3543" s="4288"/>
    </row>
    <row r="3544" spans="15:15">
      <c r="O3544" s="4288"/>
    </row>
    <row r="3545" spans="15:15">
      <c r="O3545" s="4288"/>
    </row>
    <row r="3546" spans="15:15">
      <c r="O3546" s="4288"/>
    </row>
    <row r="3547" spans="15:15">
      <c r="O3547" s="4288"/>
    </row>
    <row r="3548" spans="15:15">
      <c r="O3548" s="4288"/>
    </row>
    <row r="3549" spans="15:15">
      <c r="O3549" s="4288"/>
    </row>
    <row r="3550" spans="15:15">
      <c r="O3550" s="4288"/>
    </row>
    <row r="3551" spans="15:15">
      <c r="O3551" s="4288"/>
    </row>
    <row r="3552" spans="15:15">
      <c r="O3552" s="4288"/>
    </row>
    <row r="3553" spans="15:15">
      <c r="O3553" s="4288"/>
    </row>
    <row r="3554" spans="15:15">
      <c r="O3554" s="4288"/>
    </row>
    <row r="3555" spans="15:15">
      <c r="O3555" s="4288"/>
    </row>
    <row r="3556" spans="15:15">
      <c r="O3556" s="4288"/>
    </row>
    <row r="3557" spans="15:15">
      <c r="O3557" s="4288"/>
    </row>
    <row r="3558" spans="15:15">
      <c r="O3558" s="4288"/>
    </row>
    <row r="3559" spans="15:15">
      <c r="O3559" s="4288"/>
    </row>
    <row r="3560" spans="15:15">
      <c r="O3560" s="4288"/>
    </row>
    <row r="3561" spans="15:15">
      <c r="O3561" s="4288"/>
    </row>
    <row r="3562" spans="15:15">
      <c r="O3562" s="4288"/>
    </row>
    <row r="3563" spans="15:15">
      <c r="O3563" s="4288"/>
    </row>
    <row r="3564" spans="15:15">
      <c r="O3564" s="4288"/>
    </row>
    <row r="3565" spans="15:15">
      <c r="O3565" s="4288"/>
    </row>
    <row r="3566" spans="15:15">
      <c r="O3566" s="4288"/>
    </row>
    <row r="3567" spans="15:15">
      <c r="O3567" s="4288"/>
    </row>
    <row r="3568" spans="15:15">
      <c r="O3568" s="4288"/>
    </row>
    <row r="3569" spans="15:15">
      <c r="O3569" s="4288"/>
    </row>
    <row r="3570" spans="15:15">
      <c r="O3570" s="4288"/>
    </row>
    <row r="3571" spans="15:15">
      <c r="O3571" s="4288"/>
    </row>
    <row r="3572" spans="15:15">
      <c r="O3572" s="4288"/>
    </row>
    <row r="3573" spans="15:15">
      <c r="O3573" s="4288"/>
    </row>
    <row r="3574" spans="15:15">
      <c r="O3574" s="4288"/>
    </row>
    <row r="3575" spans="15:15">
      <c r="O3575" s="4288"/>
    </row>
    <row r="3576" spans="15:15">
      <c r="O3576" s="4288"/>
    </row>
    <row r="3577" spans="15:15">
      <c r="O3577" s="4288"/>
    </row>
    <row r="3578" spans="15:15">
      <c r="O3578" s="4288"/>
    </row>
    <row r="3579" spans="15:15">
      <c r="O3579" s="4288"/>
    </row>
    <row r="3580" spans="15:15">
      <c r="O3580" s="4288"/>
    </row>
    <row r="3581" spans="15:15">
      <c r="O3581" s="4288"/>
    </row>
    <row r="3582" spans="15:15">
      <c r="O3582" s="4288"/>
    </row>
    <row r="3583" spans="15:15">
      <c r="O3583" s="4288"/>
    </row>
    <row r="3584" spans="15:15">
      <c r="O3584" s="4288"/>
    </row>
    <row r="3585" spans="15:15">
      <c r="O3585" s="4288"/>
    </row>
    <row r="3586" spans="15:15">
      <c r="O3586" s="4288"/>
    </row>
    <row r="3587" spans="15:15">
      <c r="O3587" s="4288"/>
    </row>
    <row r="3588" spans="15:15">
      <c r="O3588" s="4288"/>
    </row>
    <row r="3589" spans="15:15">
      <c r="O3589" s="4288"/>
    </row>
    <row r="3590" spans="15:15">
      <c r="O3590" s="4288"/>
    </row>
    <row r="3591" spans="15:15">
      <c r="O3591" s="4288"/>
    </row>
    <row r="3592" spans="15:15">
      <c r="O3592" s="4288"/>
    </row>
    <row r="3593" spans="15:15">
      <c r="O3593" s="4288"/>
    </row>
    <row r="3594" spans="15:15">
      <c r="O3594" s="4288"/>
    </row>
    <row r="3595" spans="15:15">
      <c r="O3595" s="4288"/>
    </row>
    <row r="3596" spans="15:15">
      <c r="O3596" s="4288"/>
    </row>
    <row r="3597" spans="15:15">
      <c r="O3597" s="4288"/>
    </row>
    <row r="3598" spans="15:15">
      <c r="O3598" s="4288"/>
    </row>
    <row r="3599" spans="15:15">
      <c r="O3599" s="4288"/>
    </row>
    <row r="3600" spans="15:15">
      <c r="O3600" s="4288"/>
    </row>
    <row r="3601" spans="15:15">
      <c r="O3601" s="4288"/>
    </row>
    <row r="3602" spans="15:15">
      <c r="O3602" s="4288"/>
    </row>
    <row r="3603" spans="15:15">
      <c r="O3603" s="4288"/>
    </row>
    <row r="3604" spans="15:15">
      <c r="O3604" s="4288"/>
    </row>
    <row r="3605" spans="15:15">
      <c r="O3605" s="4288"/>
    </row>
    <row r="3606" spans="15:15">
      <c r="O3606" s="4288"/>
    </row>
    <row r="3607" spans="15:15">
      <c r="O3607" s="4288"/>
    </row>
    <row r="3608" spans="15:15">
      <c r="O3608" s="4288"/>
    </row>
    <row r="3609" spans="15:15">
      <c r="O3609" s="4288"/>
    </row>
    <row r="3610" spans="15:15">
      <c r="O3610" s="4288"/>
    </row>
    <row r="3611" spans="15:15">
      <c r="O3611" s="4288"/>
    </row>
    <row r="3612" spans="15:15">
      <c r="O3612" s="4288"/>
    </row>
    <row r="3613" spans="15:15">
      <c r="O3613" s="4288"/>
    </row>
    <row r="3614" spans="15:15">
      <c r="O3614" s="4288"/>
    </row>
    <row r="3615" spans="15:15">
      <c r="O3615" s="4288"/>
    </row>
    <row r="3616" spans="15:15">
      <c r="O3616" s="4288"/>
    </row>
    <row r="3617" spans="15:15">
      <c r="O3617" s="4288"/>
    </row>
    <row r="3618" spans="15:15">
      <c r="O3618" s="4288"/>
    </row>
    <row r="3619" spans="15:15">
      <c r="O3619" s="4288"/>
    </row>
    <row r="3620" spans="15:15">
      <c r="O3620" s="4288"/>
    </row>
    <row r="3621" spans="15:15">
      <c r="O3621" s="4288"/>
    </row>
    <row r="3622" spans="15:15">
      <c r="O3622" s="4288"/>
    </row>
    <row r="3623" spans="15:15">
      <c r="O3623" s="4288"/>
    </row>
    <row r="3624" spans="15:15">
      <c r="O3624" s="4288"/>
    </row>
    <row r="3625" spans="15:15">
      <c r="O3625" s="4288"/>
    </row>
    <row r="3626" spans="15:15">
      <c r="O3626" s="4288"/>
    </row>
    <row r="3627" spans="15:15">
      <c r="O3627" s="4288"/>
    </row>
    <row r="3628" spans="15:15">
      <c r="O3628" s="4288"/>
    </row>
    <row r="3629" spans="15:15">
      <c r="O3629" s="4288"/>
    </row>
    <row r="3630" spans="15:15">
      <c r="O3630" s="4288"/>
    </row>
    <row r="3631" spans="15:15">
      <c r="O3631" s="4288"/>
    </row>
    <row r="3632" spans="15:15">
      <c r="O3632" s="4288"/>
    </row>
    <row r="3633" spans="15:15">
      <c r="O3633" s="4288"/>
    </row>
    <row r="3634" spans="15:15">
      <c r="O3634" s="4288"/>
    </row>
    <row r="3635" spans="15:15">
      <c r="O3635" s="4288"/>
    </row>
    <row r="3636" spans="15:15">
      <c r="O3636" s="4288"/>
    </row>
    <row r="3637" spans="15:15">
      <c r="O3637" s="4288"/>
    </row>
    <row r="3638" spans="15:15">
      <c r="O3638" s="4288"/>
    </row>
    <row r="3639" spans="15:15">
      <c r="O3639" s="4288"/>
    </row>
    <row r="3640" spans="15:15">
      <c r="O3640" s="4288"/>
    </row>
    <row r="3641" spans="15:15">
      <c r="O3641" s="4288"/>
    </row>
    <row r="3642" spans="15:15">
      <c r="O3642" s="4288"/>
    </row>
    <row r="3643" spans="15:15">
      <c r="O3643" s="4288"/>
    </row>
    <row r="3644" spans="15:15">
      <c r="O3644" s="4288"/>
    </row>
    <row r="3645" spans="15:15">
      <c r="O3645" s="4288"/>
    </row>
    <row r="3646" spans="15:15">
      <c r="O3646" s="4288"/>
    </row>
    <row r="3647" spans="15:15">
      <c r="O3647" s="4288"/>
    </row>
    <row r="3648" spans="15:15">
      <c r="O3648" s="4288"/>
    </row>
    <row r="3649" spans="15:15">
      <c r="O3649" s="4288"/>
    </row>
    <row r="3650" spans="15:15">
      <c r="O3650" s="4288"/>
    </row>
    <row r="3651" spans="15:15">
      <c r="O3651" s="4288"/>
    </row>
    <row r="3652" spans="15:15">
      <c r="O3652" s="4288"/>
    </row>
    <row r="3653" spans="15:15">
      <c r="O3653" s="4288"/>
    </row>
    <row r="3654" spans="15:15">
      <c r="O3654" s="4288"/>
    </row>
    <row r="3655" spans="15:15">
      <c r="O3655" s="4288"/>
    </row>
    <row r="3656" spans="15:15">
      <c r="O3656" s="4288"/>
    </row>
    <row r="3657" spans="15:15">
      <c r="O3657" s="4288"/>
    </row>
    <row r="3658" spans="15:15">
      <c r="O3658" s="4288"/>
    </row>
    <row r="3659" spans="15:15">
      <c r="O3659" s="4288"/>
    </row>
    <row r="3660" spans="15:15">
      <c r="O3660" s="4288"/>
    </row>
    <row r="3661" spans="15:15">
      <c r="O3661" s="4288"/>
    </row>
    <row r="3662" spans="15:15">
      <c r="O3662" s="4288"/>
    </row>
    <row r="3663" spans="15:15">
      <c r="O3663" s="4288"/>
    </row>
    <row r="3664" spans="15:15">
      <c r="O3664" s="4288"/>
    </row>
    <row r="3665" spans="15:15">
      <c r="O3665" s="4288"/>
    </row>
    <row r="3666" spans="15:15">
      <c r="O3666" s="4288"/>
    </row>
    <row r="3667" spans="15:15">
      <c r="O3667" s="4288"/>
    </row>
    <row r="3668" spans="15:15">
      <c r="O3668" s="4288"/>
    </row>
    <row r="3669" spans="15:15">
      <c r="O3669" s="4288"/>
    </row>
    <row r="3670" spans="15:15">
      <c r="O3670" s="4288"/>
    </row>
    <row r="3671" spans="15:15">
      <c r="O3671" s="4288"/>
    </row>
    <row r="3672" spans="15:15">
      <c r="O3672" s="4288"/>
    </row>
    <row r="3673" spans="15:15">
      <c r="O3673" s="4288"/>
    </row>
    <row r="3674" spans="15:15">
      <c r="O3674" s="4288"/>
    </row>
    <row r="3675" spans="15:15">
      <c r="O3675" s="4288"/>
    </row>
    <row r="3676" spans="15:15">
      <c r="O3676" s="4288"/>
    </row>
    <row r="3677" spans="15:15">
      <c r="O3677" s="4288"/>
    </row>
    <row r="3678" spans="15:15">
      <c r="O3678" s="4288"/>
    </row>
    <row r="3679" spans="15:15">
      <c r="O3679" s="4288"/>
    </row>
    <row r="3680" spans="15:15">
      <c r="O3680" s="4288"/>
    </row>
    <row r="3681" spans="15:15">
      <c r="O3681" s="4288"/>
    </row>
    <row r="3682" spans="15:15">
      <c r="O3682" s="4288"/>
    </row>
    <row r="3683" spans="15:15">
      <c r="O3683" s="4288"/>
    </row>
    <row r="3684" spans="15:15">
      <c r="O3684" s="4288"/>
    </row>
    <row r="3685" spans="15:15">
      <c r="O3685" s="4288"/>
    </row>
    <row r="3686" spans="15:15">
      <c r="O3686" s="4288"/>
    </row>
    <row r="3687" spans="15:15">
      <c r="O3687" s="4288"/>
    </row>
    <row r="3688" spans="15:15">
      <c r="O3688" s="4288"/>
    </row>
    <row r="3689" spans="15:15">
      <c r="O3689" s="4288"/>
    </row>
    <row r="3690" spans="15:15">
      <c r="O3690" s="4288"/>
    </row>
    <row r="3691" spans="15:15">
      <c r="O3691" s="4288"/>
    </row>
    <row r="3692" spans="15:15">
      <c r="O3692" s="4288"/>
    </row>
    <row r="3693" spans="15:15">
      <c r="O3693" s="4288"/>
    </row>
    <row r="3694" spans="15:15">
      <c r="O3694" s="4288"/>
    </row>
    <row r="3695" spans="15:15">
      <c r="O3695" s="4288"/>
    </row>
    <row r="3696" spans="15:15">
      <c r="O3696" s="4288"/>
    </row>
    <row r="3697" spans="15:15">
      <c r="O3697" s="4288"/>
    </row>
    <row r="3698" spans="15:15">
      <c r="O3698" s="4288"/>
    </row>
    <row r="3699" spans="15:15">
      <c r="O3699" s="4288"/>
    </row>
    <row r="3700" spans="15:15">
      <c r="O3700" s="4288"/>
    </row>
    <row r="3701" spans="15:15">
      <c r="O3701" s="4288"/>
    </row>
    <row r="3702" spans="15:15">
      <c r="O3702" s="4288"/>
    </row>
    <row r="3703" spans="15:15">
      <c r="O3703" s="4288"/>
    </row>
    <row r="3704" spans="15:15">
      <c r="O3704" s="4288"/>
    </row>
    <row r="3705" spans="15:15">
      <c r="O3705" s="4288"/>
    </row>
    <row r="3706" spans="15:15">
      <c r="O3706" s="4288"/>
    </row>
    <row r="3707" spans="15:15">
      <c r="O3707" s="4288"/>
    </row>
    <row r="3708" spans="15:15">
      <c r="O3708" s="4288"/>
    </row>
    <row r="3709" spans="15:15">
      <c r="O3709" s="4288"/>
    </row>
    <row r="3710" spans="15:15">
      <c r="O3710" s="4288"/>
    </row>
    <row r="3711" spans="15:15">
      <c r="O3711" s="4288"/>
    </row>
    <row r="3712" spans="15:15">
      <c r="O3712" s="4288"/>
    </row>
    <row r="3713" spans="15:15">
      <c r="O3713" s="4288"/>
    </row>
    <row r="3714" spans="15:15">
      <c r="O3714" s="4288"/>
    </row>
    <row r="3715" spans="15:15">
      <c r="O3715" s="4288"/>
    </row>
    <row r="3716" spans="15:15">
      <c r="O3716" s="4288"/>
    </row>
    <row r="3717" spans="15:15">
      <c r="O3717" s="4288"/>
    </row>
    <row r="3718" spans="15:15">
      <c r="O3718" s="4288"/>
    </row>
    <row r="3719" spans="15:15">
      <c r="O3719" s="4288"/>
    </row>
    <row r="3720" spans="15:15">
      <c r="O3720" s="4288"/>
    </row>
    <row r="3721" spans="15:15">
      <c r="O3721" s="4288"/>
    </row>
    <row r="3722" spans="15:15">
      <c r="O3722" s="4288"/>
    </row>
    <row r="3723" spans="15:15">
      <c r="O3723" s="4288"/>
    </row>
    <row r="3724" spans="15:15">
      <c r="O3724" s="4288"/>
    </row>
    <row r="3725" spans="15:15">
      <c r="O3725" s="4288"/>
    </row>
    <row r="3726" spans="15:15">
      <c r="O3726" s="4288"/>
    </row>
    <row r="3727" spans="15:15">
      <c r="O3727" s="4288"/>
    </row>
    <row r="3728" spans="15:15">
      <c r="O3728" s="4288"/>
    </row>
    <row r="3729" spans="15:15">
      <c r="O3729" s="4288"/>
    </row>
    <row r="3730" spans="15:15">
      <c r="O3730" s="4288"/>
    </row>
    <row r="3731" spans="15:15">
      <c r="O3731" s="4288"/>
    </row>
    <row r="3732" spans="15:15">
      <c r="O3732" s="4288"/>
    </row>
    <row r="3733" spans="15:15">
      <c r="O3733" s="4288"/>
    </row>
    <row r="3734" spans="15:15">
      <c r="O3734" s="4288"/>
    </row>
    <row r="3735" spans="15:15">
      <c r="O3735" s="4288"/>
    </row>
    <row r="3736" spans="15:15">
      <c r="O3736" s="4288"/>
    </row>
    <row r="3737" spans="15:15">
      <c r="O3737" s="4288"/>
    </row>
    <row r="3738" spans="15:15">
      <c r="O3738" s="4288"/>
    </row>
    <row r="3739" spans="15:15">
      <c r="O3739" s="4288"/>
    </row>
    <row r="3740" spans="15:15">
      <c r="O3740" s="4288"/>
    </row>
    <row r="3741" spans="15:15">
      <c r="O3741" s="4288"/>
    </row>
    <row r="3742" spans="15:15">
      <c r="O3742" s="4288"/>
    </row>
    <row r="3743" spans="15:15">
      <c r="O3743" s="4288"/>
    </row>
    <row r="3744" spans="15:15">
      <c r="O3744" s="4288"/>
    </row>
    <row r="3745" spans="15:15">
      <c r="O3745" s="4288"/>
    </row>
    <row r="3746" spans="15:15">
      <c r="O3746" s="4288"/>
    </row>
    <row r="3747" spans="15:15">
      <c r="O3747" s="4288"/>
    </row>
    <row r="3748" spans="15:15">
      <c r="O3748" s="4288"/>
    </row>
    <row r="3749" spans="15:15">
      <c r="O3749" s="4288"/>
    </row>
    <row r="3750" spans="15:15">
      <c r="O3750" s="4288"/>
    </row>
    <row r="3751" spans="15:15">
      <c r="O3751" s="4288"/>
    </row>
    <row r="3752" spans="15:15">
      <c r="O3752" s="4288"/>
    </row>
    <row r="3753" spans="15:15">
      <c r="O3753" s="4288"/>
    </row>
    <row r="3754" spans="15:15">
      <c r="O3754" s="4288"/>
    </row>
    <row r="3755" spans="15:15">
      <c r="O3755" s="4288"/>
    </row>
    <row r="3756" spans="15:15">
      <c r="O3756" s="4288"/>
    </row>
    <row r="3757" spans="15:15">
      <c r="O3757" s="4288"/>
    </row>
    <row r="3758" spans="15:15">
      <c r="O3758" s="4288"/>
    </row>
    <row r="3759" spans="15:15">
      <c r="O3759" s="4288"/>
    </row>
    <row r="3760" spans="15:15">
      <c r="O3760" s="4288"/>
    </row>
    <row r="3761" spans="15:15">
      <c r="O3761" s="4288"/>
    </row>
    <row r="3762" spans="15:15">
      <c r="O3762" s="4288"/>
    </row>
    <row r="3763" spans="15:15">
      <c r="O3763" s="4288"/>
    </row>
    <row r="3764" spans="15:15">
      <c r="O3764" s="4288"/>
    </row>
    <row r="3765" spans="15:15">
      <c r="O3765" s="4288"/>
    </row>
    <row r="3766" spans="15:15">
      <c r="O3766" s="4288"/>
    </row>
    <row r="3767" spans="15:15">
      <c r="O3767" s="4288"/>
    </row>
    <row r="3768" spans="15:15">
      <c r="O3768" s="4288"/>
    </row>
    <row r="3769" spans="15:15">
      <c r="O3769" s="4288"/>
    </row>
    <row r="3770" spans="15:15">
      <c r="O3770" s="4288"/>
    </row>
    <row r="3771" spans="15:15">
      <c r="O3771" s="4288"/>
    </row>
    <row r="3772" spans="15:15">
      <c r="O3772" s="4288"/>
    </row>
    <row r="3773" spans="15:15">
      <c r="O3773" s="4288"/>
    </row>
    <row r="3774" spans="15:15">
      <c r="O3774" s="4288"/>
    </row>
    <row r="3775" spans="15:15">
      <c r="O3775" s="4288"/>
    </row>
    <row r="3776" spans="15:15">
      <c r="O3776" s="4288"/>
    </row>
    <row r="3777" spans="15:15">
      <c r="O3777" s="4288"/>
    </row>
    <row r="3778" spans="15:15">
      <c r="O3778" s="4288"/>
    </row>
    <row r="3779" spans="15:15">
      <c r="O3779" s="4288"/>
    </row>
    <row r="3780" spans="15:15">
      <c r="O3780" s="4288"/>
    </row>
    <row r="3781" spans="15:15">
      <c r="O3781" s="4288"/>
    </row>
    <row r="3782" spans="15:15">
      <c r="O3782" s="4288"/>
    </row>
    <row r="3783" spans="15:15">
      <c r="O3783" s="4288"/>
    </row>
    <row r="3784" spans="15:15">
      <c r="O3784" s="4288"/>
    </row>
    <row r="3785" spans="15:15">
      <c r="O3785" s="4288"/>
    </row>
    <row r="3786" spans="15:15">
      <c r="O3786" s="4288"/>
    </row>
    <row r="3787" spans="15:15">
      <c r="O3787" s="4288"/>
    </row>
    <row r="3788" spans="15:15">
      <c r="O3788" s="4288"/>
    </row>
    <row r="3789" spans="15:15">
      <c r="O3789" s="4288"/>
    </row>
    <row r="3790" spans="15:15">
      <c r="O3790" s="4288"/>
    </row>
    <row r="3791" spans="15:15">
      <c r="O3791" s="4288"/>
    </row>
    <row r="3792" spans="15:15">
      <c r="O3792" s="4288"/>
    </row>
    <row r="3793" spans="15:15">
      <c r="O3793" s="4288"/>
    </row>
    <row r="3794" spans="15:15">
      <c r="O3794" s="4288"/>
    </row>
    <row r="3795" spans="15:15">
      <c r="O3795" s="4288"/>
    </row>
    <row r="3796" spans="15:15">
      <c r="O3796" s="4288"/>
    </row>
    <row r="3797" spans="15:15">
      <c r="O3797" s="4288"/>
    </row>
    <row r="3798" spans="15:15">
      <c r="O3798" s="4288"/>
    </row>
    <row r="3799" spans="15:15">
      <c r="O3799" s="4288"/>
    </row>
    <row r="3800" spans="15:15">
      <c r="O3800" s="4288"/>
    </row>
    <row r="3801" spans="15:15">
      <c r="O3801" s="4288"/>
    </row>
    <row r="3802" spans="15:15">
      <c r="O3802" s="4288"/>
    </row>
    <row r="3803" spans="15:15">
      <c r="O3803" s="4288"/>
    </row>
    <row r="3804" spans="15:15">
      <c r="O3804" s="4288"/>
    </row>
    <row r="3805" spans="15:15">
      <c r="O3805" s="4288"/>
    </row>
    <row r="3806" spans="15:15">
      <c r="O3806" s="4288"/>
    </row>
    <row r="3807" spans="15:15">
      <c r="O3807" s="4288"/>
    </row>
    <row r="3808" spans="15:15">
      <c r="O3808" s="4288"/>
    </row>
    <row r="3809" spans="15:15">
      <c r="O3809" s="4288"/>
    </row>
    <row r="3810" spans="15:15">
      <c r="O3810" s="4288"/>
    </row>
    <row r="3811" spans="15:15">
      <c r="O3811" s="4288"/>
    </row>
    <row r="3812" spans="15:15">
      <c r="O3812" s="4288"/>
    </row>
    <row r="3813" spans="15:15">
      <c r="O3813" s="4288"/>
    </row>
    <row r="3814" spans="15:15">
      <c r="O3814" s="4288"/>
    </row>
    <row r="3815" spans="15:15">
      <c r="O3815" s="4288"/>
    </row>
    <row r="3816" spans="15:15">
      <c r="O3816" s="4288"/>
    </row>
    <row r="3817" spans="15:15">
      <c r="O3817" s="4288"/>
    </row>
    <row r="3818" spans="15:15">
      <c r="O3818" s="4288"/>
    </row>
    <row r="3819" spans="15:15">
      <c r="O3819" s="4288"/>
    </row>
    <row r="3820" spans="15:15">
      <c r="O3820" s="4288"/>
    </row>
    <row r="3821" spans="15:15">
      <c r="O3821" s="4288"/>
    </row>
    <row r="3822" spans="15:15">
      <c r="O3822" s="4288"/>
    </row>
    <row r="3823" spans="15:15">
      <c r="O3823" s="4288"/>
    </row>
    <row r="3824" spans="15:15">
      <c r="O3824" s="4288"/>
    </row>
    <row r="3825" spans="15:15">
      <c r="O3825" s="4288"/>
    </row>
    <row r="3826" spans="15:15">
      <c r="O3826" s="4288"/>
    </row>
    <row r="3827" spans="15:15">
      <c r="O3827" s="4288"/>
    </row>
    <row r="3828" spans="15:15">
      <c r="O3828" s="4288"/>
    </row>
    <row r="3829" spans="15:15">
      <c r="O3829" s="4288"/>
    </row>
    <row r="3830" spans="15:15">
      <c r="O3830" s="4288"/>
    </row>
    <row r="3831" spans="15:15">
      <c r="O3831" s="4288"/>
    </row>
    <row r="3832" spans="15:15">
      <c r="O3832" s="4288"/>
    </row>
    <row r="3833" spans="15:15">
      <c r="O3833" s="4288"/>
    </row>
    <row r="3834" spans="15:15">
      <c r="O3834" s="4288"/>
    </row>
    <row r="3835" spans="15:15">
      <c r="O3835" s="4288"/>
    </row>
    <row r="3836" spans="15:15">
      <c r="O3836" s="4288"/>
    </row>
    <row r="3837" spans="15:15">
      <c r="O3837" s="4288"/>
    </row>
    <row r="3838" spans="15:15">
      <c r="O3838" s="4288"/>
    </row>
    <row r="3839" spans="15:15">
      <c r="O3839" s="4288"/>
    </row>
    <row r="3840" spans="15:15">
      <c r="O3840" s="4288"/>
    </row>
    <row r="3841" spans="15:15">
      <c r="O3841" s="4288"/>
    </row>
    <row r="3842" spans="15:15">
      <c r="O3842" s="4288"/>
    </row>
    <row r="3843" spans="15:15">
      <c r="O3843" s="4288"/>
    </row>
    <row r="3844" spans="15:15">
      <c r="O3844" s="4288"/>
    </row>
    <row r="3845" spans="15:15">
      <c r="O3845" s="4288"/>
    </row>
    <row r="3846" spans="15:15">
      <c r="O3846" s="4288"/>
    </row>
    <row r="3847" spans="15:15">
      <c r="O3847" s="4288"/>
    </row>
    <row r="3848" spans="15:15">
      <c r="O3848" s="4288"/>
    </row>
    <row r="3849" spans="15:15">
      <c r="O3849" s="4288"/>
    </row>
    <row r="3850" spans="15:15">
      <c r="O3850" s="4288"/>
    </row>
    <row r="3851" spans="15:15">
      <c r="O3851" s="4288"/>
    </row>
    <row r="3852" spans="15:15">
      <c r="O3852" s="4288"/>
    </row>
    <row r="3853" spans="15:15">
      <c r="O3853" s="4288"/>
    </row>
    <row r="3854" spans="15:15">
      <c r="O3854" s="4288"/>
    </row>
    <row r="3855" spans="15:15">
      <c r="O3855" s="4288"/>
    </row>
    <row r="3856" spans="15:15">
      <c r="O3856" s="4288"/>
    </row>
    <row r="3857" spans="15:15">
      <c r="O3857" s="4288"/>
    </row>
    <row r="3858" spans="15:15">
      <c r="O3858" s="4288"/>
    </row>
    <row r="3859" spans="15:15">
      <c r="O3859" s="4288"/>
    </row>
    <row r="3860" spans="15:15">
      <c r="O3860" s="4288"/>
    </row>
    <row r="3861" spans="15:15">
      <c r="O3861" s="4288"/>
    </row>
    <row r="3862" spans="15:15">
      <c r="O3862" s="4288"/>
    </row>
    <row r="3863" spans="15:15">
      <c r="O3863" s="4288"/>
    </row>
    <row r="3864" spans="15:15">
      <c r="O3864" s="4288"/>
    </row>
    <row r="3865" spans="15:15">
      <c r="O3865" s="4288"/>
    </row>
    <row r="3866" spans="15:15">
      <c r="O3866" s="4288"/>
    </row>
    <row r="3867" spans="15:15">
      <c r="O3867" s="4288"/>
    </row>
    <row r="3868" spans="15:15">
      <c r="O3868" s="4288"/>
    </row>
    <row r="3869" spans="15:15">
      <c r="O3869" s="4288"/>
    </row>
    <row r="3870" spans="15:15">
      <c r="O3870" s="4288"/>
    </row>
    <row r="3871" spans="15:15">
      <c r="O3871" s="4288"/>
    </row>
    <row r="3872" spans="15:15">
      <c r="O3872" s="4288"/>
    </row>
    <row r="3873" spans="15:15">
      <c r="O3873" s="4288"/>
    </row>
    <row r="3874" spans="15:15">
      <c r="O3874" s="4288"/>
    </row>
    <row r="3875" spans="15:15">
      <c r="O3875" s="4288"/>
    </row>
    <row r="3876" spans="15:15">
      <c r="O3876" s="4288"/>
    </row>
    <row r="3877" spans="15:15">
      <c r="O3877" s="4288"/>
    </row>
    <row r="3878" spans="15:15">
      <c r="O3878" s="4288"/>
    </row>
    <row r="3879" spans="15:15">
      <c r="O3879" s="4288"/>
    </row>
    <row r="3880" spans="15:15">
      <c r="O3880" s="4288"/>
    </row>
    <row r="3881" spans="15:15">
      <c r="O3881" s="4288"/>
    </row>
    <row r="3882" spans="15:15">
      <c r="O3882" s="4288"/>
    </row>
    <row r="3883" spans="15:15">
      <c r="O3883" s="4288"/>
    </row>
    <row r="3884" spans="15:15">
      <c r="O3884" s="4288"/>
    </row>
    <row r="3885" spans="15:15">
      <c r="O3885" s="4288"/>
    </row>
    <row r="3886" spans="15:15">
      <c r="O3886" s="4288"/>
    </row>
    <row r="3887" spans="15:15">
      <c r="O3887" s="4288"/>
    </row>
    <row r="3888" spans="15:15">
      <c r="O3888" s="4288"/>
    </row>
    <row r="3889" spans="15:15">
      <c r="O3889" s="4288"/>
    </row>
    <row r="3890" spans="15:15">
      <c r="O3890" s="4288"/>
    </row>
    <row r="3891" spans="15:15">
      <c r="O3891" s="4288"/>
    </row>
    <row r="3892" spans="15:15">
      <c r="O3892" s="4288"/>
    </row>
    <row r="3893" spans="15:15">
      <c r="O3893" s="4288"/>
    </row>
    <row r="3894" spans="15:15">
      <c r="O3894" s="4288"/>
    </row>
    <row r="3895" spans="15:15">
      <c r="O3895" s="4288"/>
    </row>
    <row r="3896" spans="15:15">
      <c r="O3896" s="4288"/>
    </row>
    <row r="3897" spans="15:15">
      <c r="O3897" s="4288"/>
    </row>
    <row r="3898" spans="15:15">
      <c r="O3898" s="4288"/>
    </row>
    <row r="3899" spans="15:15">
      <c r="O3899" s="4288"/>
    </row>
    <row r="3900" spans="15:15">
      <c r="O3900" s="4288"/>
    </row>
    <row r="3901" spans="15:15">
      <c r="O3901" s="4288"/>
    </row>
    <row r="3902" spans="15:15">
      <c r="O3902" s="4288"/>
    </row>
    <row r="3903" spans="15:15">
      <c r="O3903" s="4288"/>
    </row>
    <row r="3904" spans="15:15">
      <c r="O3904" s="4288"/>
    </row>
    <row r="3905" spans="15:15">
      <c r="O3905" s="4288"/>
    </row>
    <row r="3906" spans="15:15">
      <c r="O3906" s="4288"/>
    </row>
    <row r="3907" spans="15:15">
      <c r="O3907" s="4288"/>
    </row>
    <row r="3908" spans="15:15">
      <c r="O3908" s="4288"/>
    </row>
    <row r="3909" spans="15:15">
      <c r="O3909" s="4288"/>
    </row>
    <row r="3910" spans="15:15">
      <c r="O3910" s="4288"/>
    </row>
    <row r="3911" spans="15:15">
      <c r="O3911" s="4288"/>
    </row>
    <row r="3912" spans="15:15">
      <c r="O3912" s="4288"/>
    </row>
    <row r="3913" spans="15:15">
      <c r="O3913" s="4288"/>
    </row>
    <row r="3914" spans="15:15">
      <c r="O3914" s="4288"/>
    </row>
    <row r="3915" spans="15:15">
      <c r="O3915" s="4288"/>
    </row>
    <row r="3916" spans="15:15">
      <c r="O3916" s="4288"/>
    </row>
    <row r="3917" spans="15:15">
      <c r="O3917" s="4288"/>
    </row>
    <row r="3918" spans="15:15">
      <c r="O3918" s="4288"/>
    </row>
    <row r="3919" spans="15:15">
      <c r="O3919" s="4288"/>
    </row>
    <row r="3920" spans="15:15">
      <c r="O3920" s="4288"/>
    </row>
    <row r="3921" spans="15:15">
      <c r="O3921" s="4288"/>
    </row>
    <row r="3922" spans="15:15">
      <c r="O3922" s="4288"/>
    </row>
    <row r="3923" spans="15:15">
      <c r="O3923" s="4288"/>
    </row>
    <row r="3924" spans="15:15">
      <c r="O3924" s="4288"/>
    </row>
    <row r="3925" spans="15:15">
      <c r="O3925" s="4288"/>
    </row>
    <row r="3926" spans="15:15">
      <c r="O3926" s="4288"/>
    </row>
    <row r="3927" spans="15:15">
      <c r="O3927" s="4288"/>
    </row>
    <row r="3928" spans="15:15">
      <c r="O3928" s="4288"/>
    </row>
    <row r="3929" spans="15:15">
      <c r="O3929" s="4288"/>
    </row>
    <row r="3930" spans="15:15">
      <c r="O3930" s="4288"/>
    </row>
    <row r="3931" spans="15:15">
      <c r="O3931" s="4288"/>
    </row>
    <row r="3932" spans="15:15">
      <c r="O3932" s="4288"/>
    </row>
    <row r="3933" spans="15:15">
      <c r="O3933" s="4288"/>
    </row>
    <row r="3934" spans="15:15">
      <c r="O3934" s="4288"/>
    </row>
    <row r="3935" spans="15:15">
      <c r="O3935" s="4288"/>
    </row>
    <row r="3936" spans="15:15">
      <c r="O3936" s="4288"/>
    </row>
    <row r="3937" spans="15:15">
      <c r="O3937" s="4288"/>
    </row>
    <row r="3938" spans="15:15">
      <c r="O3938" s="4288"/>
    </row>
    <row r="3939" spans="15:15">
      <c r="O3939" s="4288"/>
    </row>
    <row r="3940" spans="15:15">
      <c r="O3940" s="4288"/>
    </row>
    <row r="3941" spans="15:15">
      <c r="O3941" s="4288"/>
    </row>
    <row r="3942" spans="15:15">
      <c r="O3942" s="4288"/>
    </row>
    <row r="3943" spans="15:15">
      <c r="O3943" s="4288"/>
    </row>
    <row r="3944" spans="15:15">
      <c r="O3944" s="4288"/>
    </row>
    <row r="3945" spans="15:15">
      <c r="O3945" s="4288"/>
    </row>
    <row r="3946" spans="15:15">
      <c r="O3946" s="4288"/>
    </row>
    <row r="3947" spans="15:15">
      <c r="O3947" s="4288"/>
    </row>
    <row r="3948" spans="15:15">
      <c r="O3948" s="4288"/>
    </row>
    <row r="3949" spans="15:15">
      <c r="O3949" s="4288"/>
    </row>
    <row r="3950" spans="15:15">
      <c r="O3950" s="4288"/>
    </row>
    <row r="3951" spans="15:15">
      <c r="O3951" s="4288"/>
    </row>
    <row r="3952" spans="15:15">
      <c r="O3952" s="4288"/>
    </row>
    <row r="3953" spans="15:15">
      <c r="O3953" s="4288"/>
    </row>
    <row r="3954" spans="15:15">
      <c r="O3954" s="4288"/>
    </row>
    <row r="3955" spans="15:15">
      <c r="O3955" s="4288"/>
    </row>
    <row r="3956" spans="15:15">
      <c r="O3956" s="4288"/>
    </row>
    <row r="3957" spans="15:15">
      <c r="O3957" s="4288"/>
    </row>
    <row r="3958" spans="15:15">
      <c r="O3958" s="4288"/>
    </row>
    <row r="3959" spans="15:15">
      <c r="O3959" s="4288"/>
    </row>
    <row r="3960" spans="15:15">
      <c r="O3960" s="4288"/>
    </row>
    <row r="3961" spans="15:15">
      <c r="O3961" s="4288"/>
    </row>
    <row r="3962" spans="15:15">
      <c r="O3962" s="4288"/>
    </row>
    <row r="3963" spans="15:15">
      <c r="O3963" s="4288"/>
    </row>
    <row r="3964" spans="15:15">
      <c r="O3964" s="4288"/>
    </row>
    <row r="3965" spans="15:15">
      <c r="O3965" s="4288"/>
    </row>
    <row r="3966" spans="15:15">
      <c r="O3966" s="4288"/>
    </row>
    <row r="3967" spans="15:15">
      <c r="O3967" s="4288"/>
    </row>
    <row r="3968" spans="15:15">
      <c r="O3968" s="4288"/>
    </row>
    <row r="3969" spans="15:15">
      <c r="O3969" s="4288"/>
    </row>
    <row r="3970" spans="15:15">
      <c r="O3970" s="4288"/>
    </row>
    <row r="3971" spans="15:15">
      <c r="O3971" s="4288"/>
    </row>
    <row r="3972" spans="15:15">
      <c r="O3972" s="4288"/>
    </row>
    <row r="3973" spans="15:15">
      <c r="O3973" s="4288"/>
    </row>
    <row r="3974" spans="15:15">
      <c r="O3974" s="4288"/>
    </row>
    <row r="3975" spans="15:15">
      <c r="O3975" s="4288"/>
    </row>
    <row r="3976" spans="15:15">
      <c r="O3976" s="4288"/>
    </row>
    <row r="3977" spans="15:15">
      <c r="O3977" s="4288"/>
    </row>
    <row r="3978" spans="15:15">
      <c r="O3978" s="4288"/>
    </row>
    <row r="3979" spans="15:15">
      <c r="O3979" s="4288"/>
    </row>
    <row r="3980" spans="15:15">
      <c r="O3980" s="4288"/>
    </row>
    <row r="3981" spans="15:15">
      <c r="O3981" s="4288"/>
    </row>
    <row r="3982" spans="15:15">
      <c r="O3982" s="4288"/>
    </row>
    <row r="3983" spans="15:15">
      <c r="O3983" s="4288"/>
    </row>
    <row r="3984" spans="15:15">
      <c r="O3984" s="4288"/>
    </row>
    <row r="3985" spans="15:15">
      <c r="O3985" s="4288"/>
    </row>
    <row r="3986" spans="15:15">
      <c r="O3986" s="4288"/>
    </row>
    <row r="3987" spans="15:15">
      <c r="O3987" s="4288"/>
    </row>
    <row r="3988" spans="15:15">
      <c r="O3988" s="4288"/>
    </row>
    <row r="3989" spans="15:15">
      <c r="O3989" s="4288"/>
    </row>
    <row r="3990" spans="15:15">
      <c r="O3990" s="4288"/>
    </row>
    <row r="3991" spans="15:15">
      <c r="O3991" s="4288"/>
    </row>
    <row r="3992" spans="15:15">
      <c r="O3992" s="4288"/>
    </row>
    <row r="3993" spans="15:15">
      <c r="O3993" s="4288"/>
    </row>
    <row r="3994" spans="15:15">
      <c r="O3994" s="4288"/>
    </row>
    <row r="3995" spans="15:15">
      <c r="O3995" s="4288"/>
    </row>
    <row r="3996" spans="15:15">
      <c r="O3996" s="4288"/>
    </row>
    <row r="3997" spans="15:15">
      <c r="O3997" s="4288"/>
    </row>
    <row r="3998" spans="15:15">
      <c r="O3998" s="4288"/>
    </row>
    <row r="3999" spans="15:15">
      <c r="O3999" s="4288"/>
    </row>
    <row r="4000" spans="15:15">
      <c r="O4000" s="4288"/>
    </row>
    <row r="4001" spans="15:15">
      <c r="O4001" s="4288"/>
    </row>
    <row r="4002" spans="15:15">
      <c r="O4002" s="4288"/>
    </row>
    <row r="4003" spans="15:15">
      <c r="O4003" s="4288"/>
    </row>
    <row r="4004" spans="15:15">
      <c r="O4004" s="4288"/>
    </row>
    <row r="4005" spans="15:15">
      <c r="O4005" s="4288"/>
    </row>
    <row r="4006" spans="15:15">
      <c r="O4006" s="4288"/>
    </row>
    <row r="4007" spans="15:15">
      <c r="O4007" s="4288"/>
    </row>
    <row r="4008" spans="15:15">
      <c r="O4008" s="4288"/>
    </row>
    <row r="4009" spans="15:15">
      <c r="O4009" s="4288"/>
    </row>
    <row r="4010" spans="15:15">
      <c r="O4010" s="4288"/>
    </row>
    <row r="4011" spans="15:15">
      <c r="O4011" s="4288"/>
    </row>
    <row r="4012" spans="15:15">
      <c r="O4012" s="4288"/>
    </row>
    <row r="4013" spans="15:15">
      <c r="O4013" s="4288"/>
    </row>
    <row r="4014" spans="15:15">
      <c r="O4014" s="4288"/>
    </row>
    <row r="4015" spans="15:15">
      <c r="O4015" s="4288"/>
    </row>
    <row r="4016" spans="15:15">
      <c r="O4016" s="4288"/>
    </row>
    <row r="4017" spans="15:15">
      <c r="O4017" s="4288"/>
    </row>
    <row r="4018" spans="15:15">
      <c r="O4018" s="4288"/>
    </row>
    <row r="4019" spans="15:15">
      <c r="O4019" s="4288"/>
    </row>
    <row r="4020" spans="15:15">
      <c r="O4020" s="4288"/>
    </row>
    <row r="4021" spans="15:15">
      <c r="O4021" s="4288"/>
    </row>
    <row r="4022" spans="15:15">
      <c r="O4022" s="4288"/>
    </row>
    <row r="4023" spans="15:15">
      <c r="O4023" s="4288"/>
    </row>
    <row r="4024" spans="15:15">
      <c r="O4024" s="4288"/>
    </row>
    <row r="4025" spans="15:15">
      <c r="O4025" s="4288"/>
    </row>
    <row r="4026" spans="15:15">
      <c r="O4026" s="4288"/>
    </row>
    <row r="4027" spans="15:15">
      <c r="O4027" s="4288"/>
    </row>
    <row r="4028" spans="15:15">
      <c r="O4028" s="4288"/>
    </row>
    <row r="4029" spans="15:15">
      <c r="O4029" s="4288"/>
    </row>
    <row r="4030" spans="15:15">
      <c r="O4030" s="4288"/>
    </row>
    <row r="4031" spans="15:15">
      <c r="O4031" s="4288"/>
    </row>
    <row r="4032" spans="15:15">
      <c r="O4032" s="4288"/>
    </row>
    <row r="4033" spans="15:15">
      <c r="O4033" s="4288"/>
    </row>
    <row r="4034" spans="15:15">
      <c r="O4034" s="4288"/>
    </row>
    <row r="4035" spans="15:15">
      <c r="O4035" s="4288"/>
    </row>
    <row r="4036" spans="15:15">
      <c r="O4036" s="4288"/>
    </row>
    <row r="4037" spans="15:15">
      <c r="O4037" s="4288"/>
    </row>
    <row r="4038" spans="15:15">
      <c r="O4038" s="4288"/>
    </row>
    <row r="4039" spans="15:15">
      <c r="O4039" s="4288"/>
    </row>
    <row r="4040" spans="15:15">
      <c r="O4040" s="4288"/>
    </row>
    <row r="4041" spans="15:15">
      <c r="O4041" s="4288"/>
    </row>
    <row r="4042" spans="15:15">
      <c r="O4042" s="4288"/>
    </row>
    <row r="4043" spans="15:15">
      <c r="O4043" s="4288"/>
    </row>
    <row r="4044" spans="15:15">
      <c r="O4044" s="4288"/>
    </row>
    <row r="4045" spans="15:15">
      <c r="O4045" s="4288"/>
    </row>
    <row r="4046" spans="15:15">
      <c r="O4046" s="4288"/>
    </row>
    <row r="4047" spans="15:15">
      <c r="O4047" s="4288"/>
    </row>
    <row r="4048" spans="15:15">
      <c r="O4048" s="4288"/>
    </row>
    <row r="4049" spans="15:15">
      <c r="O4049" s="4288"/>
    </row>
    <row r="4050" spans="15:15">
      <c r="O4050" s="4288"/>
    </row>
    <row r="4051" spans="15:15">
      <c r="O4051" s="4288"/>
    </row>
    <row r="4052" spans="15:15">
      <c r="O4052" s="4288"/>
    </row>
    <row r="4053" spans="15:15">
      <c r="O4053" s="4288"/>
    </row>
    <row r="4054" spans="15:15">
      <c r="O4054" s="4288"/>
    </row>
    <row r="4055" spans="15:15">
      <c r="O4055" s="4288"/>
    </row>
    <row r="4056" spans="15:15">
      <c r="O4056" s="4288"/>
    </row>
    <row r="4057" spans="15:15">
      <c r="O4057" s="4288"/>
    </row>
    <row r="4058" spans="15:15">
      <c r="O4058" s="4288"/>
    </row>
    <row r="4059" spans="15:15">
      <c r="O4059" s="4288"/>
    </row>
    <row r="4060" spans="15:15">
      <c r="O4060" s="4288"/>
    </row>
    <row r="4061" spans="15:15">
      <c r="O4061" s="4288"/>
    </row>
    <row r="4062" spans="15:15">
      <c r="O4062" s="4288"/>
    </row>
    <row r="4063" spans="15:15">
      <c r="O4063" s="4288"/>
    </row>
    <row r="4064" spans="15:15">
      <c r="O4064" s="4288"/>
    </row>
    <row r="4065" spans="15:15">
      <c r="O4065" s="4288"/>
    </row>
    <row r="4066" spans="15:15">
      <c r="O4066" s="4288"/>
    </row>
    <row r="4067" spans="15:15">
      <c r="O4067" s="4288"/>
    </row>
    <row r="4068" spans="15:15">
      <c r="O4068" s="4288"/>
    </row>
    <row r="4069" spans="15:15">
      <c r="O4069" s="4288"/>
    </row>
    <row r="4070" spans="15:15">
      <c r="O4070" s="4288"/>
    </row>
    <row r="4071" spans="15:15">
      <c r="O4071" s="4288"/>
    </row>
    <row r="4072" spans="15:15">
      <c r="O4072" s="4288"/>
    </row>
    <row r="4073" spans="15:15">
      <c r="O4073" s="4288"/>
    </row>
    <row r="4074" spans="15:15">
      <c r="O4074" s="4288"/>
    </row>
    <row r="4075" spans="15:15">
      <c r="O4075" s="4288"/>
    </row>
    <row r="4076" spans="15:15">
      <c r="O4076" s="4288"/>
    </row>
    <row r="4077" spans="15:15">
      <c r="O4077" s="4288"/>
    </row>
    <row r="4078" spans="15:15">
      <c r="O4078" s="4288"/>
    </row>
    <row r="4079" spans="15:15">
      <c r="O4079" s="4288"/>
    </row>
    <row r="4080" spans="15:15">
      <c r="O4080" s="4288"/>
    </row>
    <row r="4081" spans="15:15">
      <c r="O4081" s="4288"/>
    </row>
    <row r="4082" spans="15:15">
      <c r="O4082" s="4288"/>
    </row>
    <row r="4083" spans="15:15">
      <c r="O4083" s="4288"/>
    </row>
    <row r="4084" spans="15:15">
      <c r="O4084" s="4288"/>
    </row>
    <row r="4085" spans="15:15">
      <c r="O4085" s="4288"/>
    </row>
    <row r="4086" spans="15:15">
      <c r="O4086" s="4288"/>
    </row>
    <row r="4087" spans="15:15">
      <c r="O4087" s="4288"/>
    </row>
    <row r="4088" spans="15:15">
      <c r="O4088" s="4288"/>
    </row>
    <row r="4089" spans="15:15">
      <c r="O4089" s="4288"/>
    </row>
    <row r="4090" spans="15:15">
      <c r="O4090" s="4288"/>
    </row>
    <row r="4091" spans="15:15">
      <c r="O4091" s="4288"/>
    </row>
    <row r="4092" spans="15:15">
      <c r="O4092" s="4288"/>
    </row>
    <row r="4093" spans="15:15">
      <c r="O4093" s="4288"/>
    </row>
    <row r="4094" spans="15:15">
      <c r="O4094" s="4288"/>
    </row>
    <row r="4095" spans="15:15">
      <c r="O4095" s="4288"/>
    </row>
    <row r="4096" spans="15:15">
      <c r="O4096" s="4288"/>
    </row>
    <row r="4097" spans="15:15">
      <c r="O4097" s="4288"/>
    </row>
    <row r="4098" spans="15:15">
      <c r="O4098" s="4288"/>
    </row>
    <row r="4099" spans="15:15">
      <c r="O4099" s="4288"/>
    </row>
    <row r="4100" spans="15:15">
      <c r="O4100" s="4288"/>
    </row>
    <row r="4101" spans="15:15">
      <c r="O4101" s="4288"/>
    </row>
    <row r="4102" spans="15:15">
      <c r="O4102" s="4288"/>
    </row>
    <row r="4103" spans="15:15">
      <c r="O4103" s="4288"/>
    </row>
    <row r="4104" spans="15:15">
      <c r="O4104" s="4288"/>
    </row>
    <row r="4105" spans="15:15">
      <c r="O4105" s="4288"/>
    </row>
    <row r="4106" spans="15:15">
      <c r="O4106" s="4288"/>
    </row>
    <row r="4107" spans="15:15">
      <c r="O4107" s="4288"/>
    </row>
    <row r="4108" spans="15:15">
      <c r="O4108" s="4288"/>
    </row>
    <row r="4109" spans="15:15">
      <c r="O4109" s="4288"/>
    </row>
    <row r="4110" spans="15:15">
      <c r="O4110" s="4288"/>
    </row>
    <row r="4111" spans="15:15">
      <c r="O4111" s="4288"/>
    </row>
    <row r="4112" spans="15:15">
      <c r="O4112" s="4288"/>
    </row>
    <row r="4113" spans="15:15">
      <c r="O4113" s="4288"/>
    </row>
    <row r="4114" spans="15:15">
      <c r="O4114" s="4288"/>
    </row>
    <row r="4115" spans="15:15">
      <c r="O4115" s="4288"/>
    </row>
    <row r="4116" spans="15:15">
      <c r="O4116" s="4288"/>
    </row>
    <row r="4117" spans="15:15">
      <c r="O4117" s="4288"/>
    </row>
    <row r="4118" spans="15:15">
      <c r="O4118" s="4288"/>
    </row>
    <row r="4119" spans="15:15">
      <c r="O4119" s="4288"/>
    </row>
    <row r="4120" spans="15:15">
      <c r="O4120" s="4288"/>
    </row>
    <row r="4121" spans="15:15">
      <c r="O4121" s="4288"/>
    </row>
    <row r="4122" spans="15:15">
      <c r="O4122" s="4288"/>
    </row>
    <row r="4123" spans="15:15">
      <c r="O4123" s="4288"/>
    </row>
    <row r="4124" spans="15:15">
      <c r="O4124" s="4288"/>
    </row>
    <row r="4125" spans="15:15">
      <c r="O4125" s="4288"/>
    </row>
    <row r="4126" spans="15:15">
      <c r="O4126" s="4288"/>
    </row>
    <row r="4127" spans="15:15">
      <c r="O4127" s="4288"/>
    </row>
    <row r="4128" spans="15:15">
      <c r="O4128" s="4288"/>
    </row>
    <row r="4129" spans="15:15">
      <c r="O4129" s="4288"/>
    </row>
    <row r="4130" spans="15:15">
      <c r="O4130" s="4288"/>
    </row>
    <row r="4131" spans="15:15">
      <c r="O4131" s="4288"/>
    </row>
    <row r="4132" spans="15:15">
      <c r="O4132" s="4288"/>
    </row>
    <row r="4133" spans="15:15">
      <c r="O4133" s="4288"/>
    </row>
    <row r="4134" spans="15:15">
      <c r="O4134" s="4288"/>
    </row>
    <row r="4135" spans="15:15">
      <c r="O4135" s="4288"/>
    </row>
    <row r="4136" spans="15:15">
      <c r="O4136" s="4288"/>
    </row>
    <row r="4137" spans="15:15">
      <c r="O4137" s="4288"/>
    </row>
    <row r="4138" spans="15:15">
      <c r="O4138" s="4288"/>
    </row>
    <row r="4139" spans="15:15">
      <c r="O4139" s="4288"/>
    </row>
    <row r="4140" spans="15:15">
      <c r="O4140" s="4288"/>
    </row>
    <row r="4141" spans="15:15">
      <c r="O4141" s="4288"/>
    </row>
    <row r="4142" spans="15:15">
      <c r="O4142" s="4288"/>
    </row>
    <row r="4143" spans="15:15">
      <c r="O4143" s="4288"/>
    </row>
    <row r="4144" spans="15:15">
      <c r="O4144" s="4288"/>
    </row>
    <row r="4145" spans="15:15">
      <c r="O4145" s="4288"/>
    </row>
    <row r="4146" spans="15:15">
      <c r="O4146" s="4288"/>
    </row>
    <row r="4147" spans="15:15">
      <c r="O4147" s="4288"/>
    </row>
    <row r="4148" spans="15:15">
      <c r="O4148" s="4288"/>
    </row>
    <row r="4149" spans="15:15">
      <c r="O4149" s="4288"/>
    </row>
    <row r="4150" spans="15:15">
      <c r="O4150" s="4288"/>
    </row>
    <row r="4151" spans="15:15">
      <c r="O4151" s="4288"/>
    </row>
    <row r="4152" spans="15:15">
      <c r="O4152" s="4288"/>
    </row>
    <row r="4153" spans="15:15">
      <c r="O4153" s="4288"/>
    </row>
    <row r="4154" spans="15:15">
      <c r="O4154" s="4288"/>
    </row>
    <row r="4155" spans="15:15">
      <c r="O4155" s="4288"/>
    </row>
    <row r="4156" spans="15:15">
      <c r="O4156" s="4288"/>
    </row>
    <row r="4157" spans="15:15">
      <c r="O4157" s="4288"/>
    </row>
    <row r="4158" spans="15:15">
      <c r="O4158" s="4288"/>
    </row>
    <row r="4159" spans="15:15">
      <c r="O4159" s="4288"/>
    </row>
    <row r="4160" spans="15:15">
      <c r="O4160" s="4288"/>
    </row>
    <row r="4161" spans="15:15">
      <c r="O4161" s="4288"/>
    </row>
    <row r="4162" spans="15:15">
      <c r="O4162" s="4288"/>
    </row>
    <row r="4163" spans="15:15">
      <c r="O4163" s="4288"/>
    </row>
    <row r="4164" spans="15:15">
      <c r="O4164" s="4288"/>
    </row>
    <row r="4165" spans="15:15">
      <c r="O4165" s="4288"/>
    </row>
    <row r="4166" spans="15:15">
      <c r="O4166" s="4288"/>
    </row>
    <row r="4167" spans="15:15">
      <c r="O4167" s="4288"/>
    </row>
    <row r="4168" spans="15:15">
      <c r="O4168" s="4288"/>
    </row>
    <row r="4169" spans="15:15">
      <c r="O4169" s="4288"/>
    </row>
    <row r="4170" spans="15:15">
      <c r="O4170" s="4288"/>
    </row>
    <row r="4171" spans="15:15">
      <c r="O4171" s="4288"/>
    </row>
    <row r="4172" spans="15:15">
      <c r="O4172" s="4288"/>
    </row>
    <row r="4173" spans="15:15">
      <c r="O4173" s="4288"/>
    </row>
    <row r="4174" spans="15:15">
      <c r="O4174" s="4288"/>
    </row>
    <row r="4175" spans="15:15">
      <c r="O4175" s="4288"/>
    </row>
    <row r="4176" spans="15:15">
      <c r="O4176" s="4288"/>
    </row>
    <row r="4177" spans="15:15">
      <c r="O4177" s="4288"/>
    </row>
    <row r="4178" spans="15:15">
      <c r="O4178" s="4288"/>
    </row>
    <row r="4179" spans="15:15">
      <c r="O4179" s="4288"/>
    </row>
    <row r="4180" spans="15:15">
      <c r="O4180" s="4288"/>
    </row>
    <row r="4181" spans="15:15">
      <c r="O4181" s="4288"/>
    </row>
    <row r="4182" spans="15:15">
      <c r="O4182" s="4288"/>
    </row>
    <row r="4183" spans="15:15">
      <c r="O4183" s="4288"/>
    </row>
    <row r="4184" spans="15:15">
      <c r="O4184" s="4288"/>
    </row>
    <row r="4185" spans="15:15">
      <c r="O4185" s="4288"/>
    </row>
    <row r="4186" spans="15:15">
      <c r="O4186" s="4288"/>
    </row>
    <row r="4187" spans="15:15">
      <c r="O4187" s="4288"/>
    </row>
    <row r="4188" spans="15:15">
      <c r="O4188" s="4288"/>
    </row>
    <row r="4189" spans="15:15">
      <c r="O4189" s="4288"/>
    </row>
    <row r="4190" spans="15:15">
      <c r="O4190" s="4288"/>
    </row>
    <row r="4191" spans="15:15">
      <c r="O4191" s="4288"/>
    </row>
    <row r="4192" spans="15:15">
      <c r="O4192" s="4288"/>
    </row>
    <row r="4193" spans="15:15">
      <c r="O4193" s="4288"/>
    </row>
    <row r="4194" spans="15:15">
      <c r="O4194" s="4288"/>
    </row>
    <row r="4195" spans="15:15">
      <c r="O4195" s="4288"/>
    </row>
    <row r="4196" spans="15:15">
      <c r="O4196" s="4288"/>
    </row>
    <row r="4197" spans="15:15">
      <c r="O4197" s="4288"/>
    </row>
    <row r="4198" spans="15:15">
      <c r="O4198" s="4288"/>
    </row>
    <row r="4199" spans="15:15">
      <c r="O4199" s="4288"/>
    </row>
    <row r="4200" spans="15:15">
      <c r="O4200" s="4288"/>
    </row>
    <row r="4201" spans="15:15">
      <c r="O4201" s="4288"/>
    </row>
    <row r="4202" spans="15:15">
      <c r="O4202" s="4288"/>
    </row>
    <row r="4203" spans="15:15">
      <c r="O4203" s="4288"/>
    </row>
    <row r="4204" spans="15:15">
      <c r="O4204" s="4288"/>
    </row>
    <row r="4205" spans="15:15">
      <c r="O4205" s="4288"/>
    </row>
    <row r="4206" spans="15:15">
      <c r="O4206" s="4288"/>
    </row>
    <row r="4207" spans="15:15">
      <c r="O4207" s="4288"/>
    </row>
    <row r="4208" spans="15:15">
      <c r="O4208" s="4288"/>
    </row>
    <row r="4209" spans="15:15">
      <c r="O4209" s="4288"/>
    </row>
    <row r="4210" spans="15:15">
      <c r="O4210" s="4288"/>
    </row>
    <row r="4211" spans="15:15">
      <c r="O4211" s="4288"/>
    </row>
    <row r="4212" spans="15:15">
      <c r="O4212" s="4288"/>
    </row>
    <row r="4213" spans="15:15">
      <c r="O4213" s="4288"/>
    </row>
    <row r="4214" spans="15:15">
      <c r="O4214" s="4288"/>
    </row>
    <row r="4215" spans="15:15">
      <c r="O4215" s="4288"/>
    </row>
    <row r="4216" spans="15:15">
      <c r="O4216" s="4288"/>
    </row>
    <row r="4217" spans="15:15">
      <c r="O4217" s="4288"/>
    </row>
    <row r="4218" spans="15:15">
      <c r="O4218" s="4288"/>
    </row>
    <row r="4219" spans="15:15">
      <c r="O4219" s="4288"/>
    </row>
    <row r="4220" spans="15:15">
      <c r="O4220" s="4288"/>
    </row>
    <row r="4221" spans="15:15">
      <c r="O4221" s="4288"/>
    </row>
    <row r="4222" spans="15:15">
      <c r="O4222" s="4288"/>
    </row>
    <row r="4223" spans="15:15">
      <c r="O4223" s="4288"/>
    </row>
    <row r="4224" spans="15:15">
      <c r="O4224" s="4288"/>
    </row>
    <row r="4225" spans="15:15">
      <c r="O4225" s="4288"/>
    </row>
    <row r="4226" spans="15:15">
      <c r="O4226" s="4288"/>
    </row>
    <row r="4227" spans="15:15">
      <c r="O4227" s="4288"/>
    </row>
    <row r="4228" spans="15:15">
      <c r="O4228" s="4288"/>
    </row>
    <row r="4229" spans="15:15">
      <c r="O4229" s="4288"/>
    </row>
    <row r="4230" spans="15:15">
      <c r="O4230" s="4288"/>
    </row>
    <row r="4231" spans="15:15">
      <c r="O4231" s="4288"/>
    </row>
    <row r="4232" spans="15:15">
      <c r="O4232" s="4288"/>
    </row>
    <row r="4233" spans="15:15">
      <c r="O4233" s="4288"/>
    </row>
    <row r="4234" spans="15:15">
      <c r="O4234" s="4288"/>
    </row>
    <row r="4235" spans="15:15">
      <c r="O4235" s="4288"/>
    </row>
    <row r="4236" spans="15:15">
      <c r="O4236" s="4288"/>
    </row>
    <row r="4237" spans="15:15">
      <c r="O4237" s="4288"/>
    </row>
    <row r="4238" spans="15:15">
      <c r="O4238" s="4288"/>
    </row>
    <row r="4239" spans="15:15">
      <c r="O4239" s="4288"/>
    </row>
    <row r="4240" spans="15:15">
      <c r="O4240" s="4288"/>
    </row>
    <row r="4241" spans="15:15">
      <c r="O4241" s="4288"/>
    </row>
    <row r="4242" spans="15:15">
      <c r="O4242" s="4288"/>
    </row>
    <row r="4243" spans="15:15">
      <c r="O4243" s="4288"/>
    </row>
    <row r="4244" spans="15:15">
      <c r="O4244" s="4288"/>
    </row>
    <row r="4245" spans="15:15">
      <c r="O4245" s="4288"/>
    </row>
    <row r="4246" spans="15:15">
      <c r="O4246" s="4288"/>
    </row>
    <row r="4247" spans="15:15">
      <c r="O4247" s="4288"/>
    </row>
    <row r="4248" spans="15:15">
      <c r="O4248" s="4288"/>
    </row>
    <row r="4249" spans="15:15">
      <c r="O4249" s="4288"/>
    </row>
    <row r="4250" spans="15:15">
      <c r="O4250" s="4288"/>
    </row>
    <row r="4251" spans="15:15">
      <c r="O4251" s="4288"/>
    </row>
    <row r="4252" spans="15:15">
      <c r="O4252" s="4288"/>
    </row>
    <row r="4253" spans="15:15">
      <c r="O4253" s="4288"/>
    </row>
    <row r="4254" spans="15:15">
      <c r="O4254" s="4288"/>
    </row>
    <row r="4255" spans="15:15">
      <c r="O4255" s="4288"/>
    </row>
    <row r="4256" spans="15:15">
      <c r="O4256" s="4288"/>
    </row>
    <row r="4257" spans="15:15">
      <c r="O4257" s="4288"/>
    </row>
    <row r="4258" spans="15:15">
      <c r="O4258" s="4288"/>
    </row>
    <row r="4259" spans="15:15">
      <c r="O4259" s="4288"/>
    </row>
    <row r="4260" spans="15:15">
      <c r="O4260" s="4288"/>
    </row>
    <row r="4261" spans="15:15">
      <c r="O4261" s="4288"/>
    </row>
    <row r="4262" spans="15:15">
      <c r="O4262" s="4288"/>
    </row>
    <row r="4263" spans="15:15">
      <c r="O4263" s="4288"/>
    </row>
    <row r="4264" spans="15:15">
      <c r="O4264" s="4288"/>
    </row>
    <row r="4265" spans="15:15">
      <c r="O4265" s="4288"/>
    </row>
    <row r="4266" spans="15:15">
      <c r="O4266" s="4288"/>
    </row>
    <row r="4267" spans="15:15">
      <c r="O4267" s="4288"/>
    </row>
    <row r="4268" spans="15:15">
      <c r="O4268" s="4288"/>
    </row>
    <row r="4269" spans="15:15">
      <c r="O4269" s="4288"/>
    </row>
    <row r="4270" spans="15:15">
      <c r="O4270" s="4288"/>
    </row>
    <row r="4271" spans="15:15">
      <c r="O4271" s="4288"/>
    </row>
    <row r="4272" spans="15:15">
      <c r="O4272" s="4288"/>
    </row>
    <row r="4273" spans="15:15">
      <c r="O4273" s="4288"/>
    </row>
    <row r="4274" spans="15:15">
      <c r="O4274" s="4288"/>
    </row>
    <row r="4275" spans="15:15">
      <c r="O4275" s="4288"/>
    </row>
    <row r="4276" spans="15:15">
      <c r="O4276" s="4288"/>
    </row>
    <row r="4277" spans="15:15">
      <c r="O4277" s="4288"/>
    </row>
    <row r="4278" spans="15:15">
      <c r="O4278" s="4288"/>
    </row>
    <row r="4279" spans="15:15">
      <c r="O4279" s="4288"/>
    </row>
    <row r="4280" spans="15:15">
      <c r="O4280" s="4288"/>
    </row>
    <row r="4281" spans="15:15">
      <c r="O4281" s="4288"/>
    </row>
    <row r="4282" spans="15:15">
      <c r="O4282" s="4288"/>
    </row>
    <row r="4283" spans="15:15">
      <c r="O4283" s="4288"/>
    </row>
    <row r="4284" spans="15:15">
      <c r="O4284" s="4288"/>
    </row>
    <row r="4285" spans="15:15">
      <c r="O4285" s="4288"/>
    </row>
    <row r="4286" spans="15:15">
      <c r="O4286" s="4288"/>
    </row>
    <row r="4287" spans="15:15">
      <c r="O4287" s="4288"/>
    </row>
    <row r="4288" spans="15:15">
      <c r="O4288" s="4288"/>
    </row>
    <row r="4289" spans="15:15">
      <c r="O4289" s="4288"/>
    </row>
    <row r="4290" spans="15:15">
      <c r="O4290" s="4288"/>
    </row>
    <row r="4291" spans="15:15">
      <c r="O4291" s="4288"/>
    </row>
    <row r="4292" spans="15:15">
      <c r="O4292" s="4288"/>
    </row>
    <row r="4293" spans="15:15">
      <c r="O4293" s="4288"/>
    </row>
    <row r="4294" spans="15:15">
      <c r="O4294" s="4288"/>
    </row>
    <row r="4295" spans="15:15">
      <c r="O4295" s="4288"/>
    </row>
    <row r="4296" spans="15:15">
      <c r="O4296" s="4288"/>
    </row>
    <row r="4297" spans="15:15">
      <c r="O4297" s="4288"/>
    </row>
    <row r="4298" spans="15:15">
      <c r="O4298" s="4288"/>
    </row>
    <row r="4299" spans="15:15">
      <c r="O4299" s="4288"/>
    </row>
    <row r="4300" spans="15:15">
      <c r="O4300" s="4288"/>
    </row>
    <row r="4301" spans="15:15">
      <c r="O4301" s="4288"/>
    </row>
    <row r="4302" spans="15:15">
      <c r="O4302" s="4288"/>
    </row>
    <row r="4303" spans="15:15">
      <c r="O4303" s="4288"/>
    </row>
    <row r="4304" spans="15:15">
      <c r="O4304" s="4288"/>
    </row>
    <row r="4305" spans="15:15">
      <c r="O4305" s="4288"/>
    </row>
    <row r="4306" spans="15:15">
      <c r="O4306" s="4288"/>
    </row>
    <row r="4307" spans="15:15">
      <c r="O4307" s="4288"/>
    </row>
    <row r="4308" spans="15:15">
      <c r="O4308" s="4288"/>
    </row>
    <row r="4309" spans="15:15">
      <c r="O4309" s="4288"/>
    </row>
    <row r="4310" spans="15:15">
      <c r="O4310" s="4288"/>
    </row>
    <row r="4311" spans="15:15">
      <c r="O4311" s="4288"/>
    </row>
    <row r="4312" spans="15:15">
      <c r="O4312" s="4288"/>
    </row>
    <row r="4313" spans="15:15">
      <c r="O4313" s="4288"/>
    </row>
    <row r="4314" spans="15:15">
      <c r="O4314" s="4288"/>
    </row>
    <row r="4315" spans="15:15">
      <c r="O4315" s="4288"/>
    </row>
    <row r="4316" spans="15:15">
      <c r="O4316" s="4288"/>
    </row>
    <row r="4317" spans="15:15">
      <c r="O4317" s="4288"/>
    </row>
    <row r="4318" spans="15:15">
      <c r="O4318" s="4288"/>
    </row>
    <row r="4319" spans="15:15">
      <c r="O4319" s="4288"/>
    </row>
    <row r="4320" spans="15:15">
      <c r="O4320" s="4288"/>
    </row>
    <row r="4321" spans="15:15">
      <c r="O4321" s="4288"/>
    </row>
    <row r="4322" spans="15:15">
      <c r="O4322" s="4288"/>
    </row>
    <row r="4323" spans="15:15">
      <c r="O4323" s="4288"/>
    </row>
    <row r="4324" spans="15:15">
      <c r="O4324" s="4288"/>
    </row>
    <row r="4325" spans="15:15">
      <c r="O4325" s="4288"/>
    </row>
    <row r="4326" spans="15:15">
      <c r="O4326" s="4288"/>
    </row>
    <row r="4327" spans="15:15">
      <c r="O4327" s="4288"/>
    </row>
    <row r="4328" spans="15:15">
      <c r="O4328" s="4288"/>
    </row>
    <row r="4329" spans="15:15">
      <c r="O4329" s="4288"/>
    </row>
    <row r="4330" spans="15:15">
      <c r="O4330" s="4288"/>
    </row>
    <row r="4331" spans="15:15">
      <c r="O4331" s="4288"/>
    </row>
    <row r="4332" spans="15:15">
      <c r="O4332" s="4288"/>
    </row>
    <row r="4333" spans="15:15">
      <c r="O4333" s="4288"/>
    </row>
    <row r="4334" spans="15:15">
      <c r="O4334" s="4288"/>
    </row>
    <row r="4335" spans="15:15">
      <c r="O4335" s="4288"/>
    </row>
    <row r="4336" spans="15:15">
      <c r="O4336" s="4288"/>
    </row>
    <row r="4337" spans="15:15">
      <c r="O4337" s="4288"/>
    </row>
    <row r="4338" spans="15:15">
      <c r="O4338" s="4288"/>
    </row>
    <row r="4339" spans="15:15">
      <c r="O4339" s="4288"/>
    </row>
    <row r="4340" spans="15:15">
      <c r="O4340" s="4288"/>
    </row>
    <row r="4341" spans="15:15">
      <c r="O4341" s="4288"/>
    </row>
    <row r="4342" spans="15:15">
      <c r="O4342" s="4288"/>
    </row>
    <row r="4343" spans="15:15">
      <c r="O4343" s="4288"/>
    </row>
    <row r="4344" spans="15:15">
      <c r="O4344" s="4288"/>
    </row>
    <row r="4345" spans="15:15">
      <c r="O4345" s="4288"/>
    </row>
    <row r="4346" spans="15:15">
      <c r="O4346" s="4288"/>
    </row>
    <row r="4347" spans="15:15">
      <c r="O4347" s="4288"/>
    </row>
    <row r="4348" spans="15:15">
      <c r="O4348" s="4288"/>
    </row>
    <row r="4349" spans="15:15">
      <c r="O4349" s="4288"/>
    </row>
    <row r="4350" spans="15:15">
      <c r="O4350" s="4288"/>
    </row>
    <row r="4351" spans="15:15">
      <c r="O4351" s="4288"/>
    </row>
    <row r="4352" spans="15:15">
      <c r="O4352" s="4288"/>
    </row>
    <row r="4353" spans="15:15">
      <c r="O4353" s="4288"/>
    </row>
    <row r="4354" spans="15:15">
      <c r="O4354" s="4288"/>
    </row>
    <row r="4355" spans="15:15">
      <c r="O4355" s="4288"/>
    </row>
    <row r="4356" spans="15:15">
      <c r="O4356" s="4288"/>
    </row>
    <row r="4357" spans="15:15">
      <c r="O4357" s="4288"/>
    </row>
    <row r="4358" spans="15:15">
      <c r="O4358" s="4288"/>
    </row>
    <row r="4359" spans="15:15">
      <c r="O4359" s="4288"/>
    </row>
    <row r="4360" spans="15:15">
      <c r="O4360" s="4288"/>
    </row>
    <row r="4361" spans="15:15">
      <c r="O4361" s="4288"/>
    </row>
    <row r="4362" spans="15:15">
      <c r="O4362" s="4288"/>
    </row>
    <row r="4363" spans="15:15">
      <c r="O4363" s="4288"/>
    </row>
    <row r="4364" spans="15:15">
      <c r="O4364" s="4288"/>
    </row>
    <row r="4365" spans="15:15">
      <c r="O4365" s="4288"/>
    </row>
    <row r="4366" spans="15:15">
      <c r="O4366" s="4288"/>
    </row>
    <row r="4367" spans="15:15">
      <c r="O4367" s="4288"/>
    </row>
    <row r="4368" spans="15:15">
      <c r="O4368" s="4288"/>
    </row>
    <row r="4369" spans="15:15">
      <c r="O4369" s="4288"/>
    </row>
    <row r="4370" spans="15:15">
      <c r="O4370" s="4288"/>
    </row>
    <row r="4371" spans="15:15">
      <c r="O4371" s="4288"/>
    </row>
    <row r="4372" spans="15:15">
      <c r="O4372" s="4288"/>
    </row>
    <row r="4373" spans="15:15">
      <c r="O4373" s="4288"/>
    </row>
    <row r="4374" spans="15:15">
      <c r="O4374" s="4288"/>
    </row>
    <row r="4375" spans="15:15">
      <c r="O4375" s="4288"/>
    </row>
    <row r="4376" spans="15:15">
      <c r="O4376" s="4288"/>
    </row>
    <row r="4377" spans="15:15">
      <c r="O4377" s="4288"/>
    </row>
    <row r="4378" spans="15:15">
      <c r="O4378" s="4288"/>
    </row>
    <row r="4379" spans="15:15">
      <c r="O4379" s="4288"/>
    </row>
    <row r="4380" spans="15:15">
      <c r="O4380" s="4288"/>
    </row>
    <row r="4381" spans="15:15">
      <c r="O4381" s="4288"/>
    </row>
    <row r="4382" spans="15:15">
      <c r="O4382" s="4288"/>
    </row>
    <row r="4383" spans="15:15">
      <c r="O4383" s="4288"/>
    </row>
    <row r="4384" spans="15:15">
      <c r="O4384" s="4288"/>
    </row>
    <row r="4385" spans="15:15">
      <c r="O4385" s="4288"/>
    </row>
    <row r="4386" spans="15:15">
      <c r="O4386" s="4288"/>
    </row>
    <row r="4387" spans="15:15">
      <c r="O4387" s="4288"/>
    </row>
    <row r="4388" spans="15:15">
      <c r="O4388" s="4288"/>
    </row>
    <row r="4389" spans="15:15">
      <c r="O4389" s="4288"/>
    </row>
    <row r="4390" spans="15:15">
      <c r="O4390" s="4288"/>
    </row>
    <row r="4391" spans="15:15">
      <c r="O4391" s="4288"/>
    </row>
    <row r="4392" spans="15:15">
      <c r="O4392" s="4288"/>
    </row>
    <row r="4393" spans="15:15">
      <c r="O4393" s="4288"/>
    </row>
    <row r="4394" spans="15:15">
      <c r="O4394" s="4288"/>
    </row>
    <row r="4395" spans="15:15">
      <c r="O4395" s="4288"/>
    </row>
    <row r="4396" spans="15:15">
      <c r="O4396" s="4288"/>
    </row>
    <row r="4397" spans="15:15">
      <c r="O4397" s="4288"/>
    </row>
    <row r="4398" spans="15:15">
      <c r="O4398" s="4288"/>
    </row>
    <row r="4399" spans="15:15">
      <c r="O4399" s="4288"/>
    </row>
    <row r="4400" spans="15:15">
      <c r="O4400" s="4288"/>
    </row>
    <row r="4401" spans="15:15">
      <c r="O4401" s="4288"/>
    </row>
    <row r="4402" spans="15:15">
      <c r="O4402" s="4288"/>
    </row>
    <row r="4403" spans="15:15">
      <c r="O4403" s="4288"/>
    </row>
    <row r="4404" spans="15:15">
      <c r="O4404" s="4288"/>
    </row>
    <row r="4405" spans="15:15">
      <c r="O4405" s="4288"/>
    </row>
    <row r="4406" spans="15:15">
      <c r="O4406" s="4288"/>
    </row>
    <row r="4407" spans="15:15">
      <c r="O4407" s="4288"/>
    </row>
    <row r="4408" spans="15:15">
      <c r="O4408" s="4288"/>
    </row>
    <row r="4409" spans="15:15">
      <c r="O4409" s="4288"/>
    </row>
    <row r="4410" spans="15:15">
      <c r="O4410" s="4288"/>
    </row>
    <row r="4411" spans="15:15">
      <c r="O4411" s="4288"/>
    </row>
    <row r="4412" spans="15:15">
      <c r="O4412" s="4288"/>
    </row>
    <row r="4413" spans="15:15">
      <c r="O4413" s="4288"/>
    </row>
    <row r="4414" spans="15:15">
      <c r="O4414" s="4288"/>
    </row>
    <row r="4415" spans="15:15">
      <c r="O4415" s="4288"/>
    </row>
    <row r="4416" spans="15:15">
      <c r="O4416" s="4288"/>
    </row>
    <row r="4417" spans="15:15">
      <c r="O4417" s="4288"/>
    </row>
    <row r="4418" spans="15:15">
      <c r="O4418" s="4288"/>
    </row>
    <row r="4419" spans="15:15">
      <c r="O4419" s="4288"/>
    </row>
    <row r="4420" spans="15:15">
      <c r="O4420" s="4288"/>
    </row>
    <row r="4421" spans="15:15">
      <c r="O4421" s="4288"/>
    </row>
    <row r="4422" spans="15:15">
      <c r="O4422" s="4288"/>
    </row>
    <row r="4423" spans="15:15">
      <c r="O4423" s="4288"/>
    </row>
    <row r="4424" spans="15:15">
      <c r="O4424" s="4288"/>
    </row>
    <row r="4425" spans="15:15">
      <c r="O4425" s="4288"/>
    </row>
    <row r="4426" spans="15:15">
      <c r="O4426" s="4288"/>
    </row>
    <row r="4427" spans="15:15">
      <c r="O4427" s="4288"/>
    </row>
    <row r="4428" spans="15:15">
      <c r="O4428" s="4288"/>
    </row>
    <row r="4429" spans="15:15">
      <c r="O4429" s="4288"/>
    </row>
    <row r="4430" spans="15:15">
      <c r="O4430" s="4288"/>
    </row>
    <row r="4431" spans="15:15">
      <c r="O4431" s="4288"/>
    </row>
    <row r="4432" spans="15:15">
      <c r="O4432" s="4288"/>
    </row>
    <row r="4433" spans="15:15">
      <c r="O4433" s="4288"/>
    </row>
    <row r="4434" spans="15:15">
      <c r="O4434" s="4288"/>
    </row>
    <row r="4435" spans="15:15">
      <c r="O4435" s="4288"/>
    </row>
    <row r="4436" spans="15:15">
      <c r="O4436" s="4288"/>
    </row>
    <row r="4437" spans="15:15">
      <c r="O4437" s="4288"/>
    </row>
    <row r="4438" spans="15:15">
      <c r="O4438" s="4288"/>
    </row>
    <row r="4439" spans="15:15">
      <c r="O4439" s="4288"/>
    </row>
    <row r="4440" spans="15:15">
      <c r="O4440" s="4288"/>
    </row>
    <row r="4441" spans="15:15">
      <c r="O4441" s="4288"/>
    </row>
    <row r="4442" spans="15:15">
      <c r="O4442" s="4288"/>
    </row>
    <row r="4443" spans="15:15">
      <c r="O4443" s="4288"/>
    </row>
    <row r="4444" spans="15:15">
      <c r="O4444" s="4288"/>
    </row>
    <row r="4445" spans="15:15">
      <c r="O4445" s="4288"/>
    </row>
    <row r="4446" spans="15:15">
      <c r="O4446" s="4288"/>
    </row>
    <row r="4447" spans="15:15">
      <c r="O4447" s="4288"/>
    </row>
    <row r="4448" spans="15:15">
      <c r="O4448" s="4288"/>
    </row>
    <row r="4449" spans="15:15">
      <c r="O4449" s="4288"/>
    </row>
    <row r="4450" spans="15:15">
      <c r="O4450" s="4288"/>
    </row>
    <row r="4451" spans="15:15">
      <c r="O4451" s="4288"/>
    </row>
    <row r="4452" spans="15:15">
      <c r="O4452" s="4288"/>
    </row>
    <row r="4453" spans="15:15">
      <c r="O4453" s="4288"/>
    </row>
    <row r="4454" spans="15:15">
      <c r="O4454" s="4288"/>
    </row>
    <row r="4455" spans="15:15">
      <c r="O4455" s="4288"/>
    </row>
    <row r="4456" spans="15:15">
      <c r="O4456" s="4288"/>
    </row>
    <row r="4457" spans="15:15">
      <c r="O4457" s="4288"/>
    </row>
    <row r="4458" spans="15:15">
      <c r="O4458" s="4288"/>
    </row>
    <row r="4459" spans="15:15">
      <c r="O4459" s="4288"/>
    </row>
    <row r="4460" spans="15:15">
      <c r="O4460" s="4288"/>
    </row>
    <row r="4461" spans="15:15">
      <c r="O4461" s="4288"/>
    </row>
    <row r="4462" spans="15:15">
      <c r="O4462" s="4288"/>
    </row>
    <row r="4463" spans="15:15">
      <c r="O4463" s="4288"/>
    </row>
    <row r="4464" spans="15:15">
      <c r="O4464" s="4288"/>
    </row>
    <row r="4465" spans="15:15">
      <c r="O4465" s="4288"/>
    </row>
    <row r="4466" spans="15:15">
      <c r="O4466" s="4288"/>
    </row>
    <row r="4467" spans="15:15">
      <c r="O4467" s="4288"/>
    </row>
    <row r="4468" spans="15:15">
      <c r="O4468" s="4288"/>
    </row>
    <row r="4469" spans="15:15">
      <c r="O4469" s="4288"/>
    </row>
    <row r="4470" spans="15:15">
      <c r="O4470" s="4288"/>
    </row>
    <row r="4471" spans="15:15">
      <c r="O4471" s="4288"/>
    </row>
    <row r="4472" spans="15:15">
      <c r="O4472" s="4288"/>
    </row>
    <row r="4473" spans="15:15">
      <c r="O4473" s="4288"/>
    </row>
    <row r="4474" spans="15:15">
      <c r="O4474" s="4288"/>
    </row>
    <row r="4475" spans="15:15">
      <c r="O4475" s="4288"/>
    </row>
    <row r="4476" spans="15:15">
      <c r="O4476" s="4288"/>
    </row>
    <row r="4477" spans="15:15">
      <c r="O4477" s="4288"/>
    </row>
    <row r="4478" spans="15:15">
      <c r="O4478" s="4288"/>
    </row>
    <row r="4479" spans="15:15">
      <c r="O4479" s="4288"/>
    </row>
    <row r="4480" spans="15:15">
      <c r="O4480" s="4288"/>
    </row>
    <row r="4481" spans="15:15">
      <c r="O4481" s="4288"/>
    </row>
    <row r="4482" spans="15:15">
      <c r="O4482" s="4288"/>
    </row>
    <row r="4483" spans="15:15">
      <c r="O4483" s="4288"/>
    </row>
    <row r="4484" spans="15:15">
      <c r="O4484" s="4288"/>
    </row>
    <row r="4485" spans="15:15">
      <c r="O4485" s="4288"/>
    </row>
    <row r="4486" spans="15:15">
      <c r="O4486" s="4288"/>
    </row>
    <row r="4487" spans="15:15">
      <c r="O4487" s="4288"/>
    </row>
    <row r="4488" spans="15:15">
      <c r="O4488" s="4288"/>
    </row>
    <row r="4489" spans="15:15">
      <c r="O4489" s="4288"/>
    </row>
    <row r="4490" spans="15:15">
      <c r="O4490" s="4288"/>
    </row>
    <row r="4491" spans="15:15">
      <c r="O4491" s="4288"/>
    </row>
    <row r="4492" spans="15:15">
      <c r="O4492" s="4288"/>
    </row>
    <row r="4493" spans="15:15">
      <c r="O4493" s="4288"/>
    </row>
    <row r="4494" spans="15:15">
      <c r="O4494" s="4288"/>
    </row>
    <row r="4495" spans="15:15">
      <c r="O4495" s="4288"/>
    </row>
    <row r="4496" spans="15:15">
      <c r="O4496" s="4288"/>
    </row>
    <row r="4497" spans="15:15">
      <c r="O4497" s="4288"/>
    </row>
    <row r="4498" spans="15:15">
      <c r="O4498" s="4288"/>
    </row>
    <row r="4499" spans="15:15">
      <c r="O4499" s="4288"/>
    </row>
    <row r="4500" spans="15:15">
      <c r="O4500" s="4288"/>
    </row>
    <row r="4501" spans="15:15">
      <c r="O4501" s="4288"/>
    </row>
    <row r="4502" spans="15:15">
      <c r="O4502" s="4288"/>
    </row>
    <row r="4503" spans="15:15">
      <c r="O4503" s="4288"/>
    </row>
    <row r="4504" spans="15:15">
      <c r="O4504" s="4288"/>
    </row>
    <row r="4505" spans="15:15">
      <c r="O4505" s="4288"/>
    </row>
    <row r="4506" spans="15:15">
      <c r="O4506" s="4288"/>
    </row>
    <row r="4507" spans="15:15">
      <c r="O4507" s="4288"/>
    </row>
    <row r="4508" spans="15:15">
      <c r="O4508" s="4288"/>
    </row>
    <row r="4509" spans="15:15">
      <c r="O4509" s="4288"/>
    </row>
    <row r="4510" spans="15:15">
      <c r="O4510" s="4288"/>
    </row>
    <row r="4511" spans="15:15">
      <c r="O4511" s="4288"/>
    </row>
    <row r="4512" spans="15:15">
      <c r="O4512" s="4288"/>
    </row>
    <row r="4513" spans="15:15">
      <c r="O4513" s="4288"/>
    </row>
    <row r="4514" spans="15:15">
      <c r="O4514" s="4288"/>
    </row>
    <row r="4515" spans="15:15">
      <c r="O4515" s="4288"/>
    </row>
    <row r="4516" spans="15:15">
      <c r="O4516" s="4288"/>
    </row>
    <row r="4517" spans="15:15">
      <c r="O4517" s="4288"/>
    </row>
    <row r="4518" spans="15:15">
      <c r="O4518" s="4288"/>
    </row>
    <row r="4519" spans="15:15">
      <c r="O4519" s="4288"/>
    </row>
    <row r="4520" spans="15:15">
      <c r="O4520" s="4288"/>
    </row>
    <row r="4521" spans="15:15">
      <c r="O4521" s="4288"/>
    </row>
    <row r="4522" spans="15:15">
      <c r="O4522" s="4288"/>
    </row>
    <row r="4523" spans="15:15">
      <c r="O4523" s="4288"/>
    </row>
    <row r="4524" spans="15:15">
      <c r="O4524" s="4288"/>
    </row>
    <row r="4525" spans="15:15">
      <c r="O4525" s="4288"/>
    </row>
    <row r="4526" spans="15:15">
      <c r="O4526" s="4288"/>
    </row>
    <row r="4527" spans="15:15">
      <c r="O4527" s="4288"/>
    </row>
    <row r="4528" spans="15:15">
      <c r="O4528" s="4288"/>
    </row>
    <row r="4529" spans="15:15">
      <c r="O4529" s="4288"/>
    </row>
    <row r="4530" spans="15:15">
      <c r="O4530" s="4288"/>
    </row>
    <row r="4531" spans="15:15">
      <c r="O4531" s="4288"/>
    </row>
    <row r="4532" spans="15:15">
      <c r="O4532" s="4288"/>
    </row>
    <row r="4533" spans="15:15">
      <c r="O4533" s="4288"/>
    </row>
    <row r="4534" spans="15:15">
      <c r="O4534" s="4288"/>
    </row>
    <row r="4535" spans="15:15">
      <c r="O4535" s="4288"/>
    </row>
    <row r="4536" spans="15:15">
      <c r="O4536" s="4288"/>
    </row>
    <row r="4537" spans="15:15">
      <c r="O4537" s="4288"/>
    </row>
    <row r="4538" spans="15:15">
      <c r="O4538" s="4288"/>
    </row>
    <row r="4539" spans="15:15">
      <c r="O4539" s="4288"/>
    </row>
    <row r="4540" spans="15:15">
      <c r="O4540" s="4288"/>
    </row>
    <row r="4541" spans="15:15">
      <c r="O4541" s="4288"/>
    </row>
    <row r="4542" spans="15:15">
      <c r="O4542" s="4288"/>
    </row>
    <row r="4543" spans="15:15">
      <c r="O4543" s="4288"/>
    </row>
    <row r="4544" spans="15:15">
      <c r="O4544" s="4288"/>
    </row>
    <row r="4545" spans="15:15">
      <c r="O4545" s="4288"/>
    </row>
    <row r="4546" spans="15:15">
      <c r="O4546" s="4288"/>
    </row>
    <row r="4547" spans="15:15">
      <c r="O4547" s="4288"/>
    </row>
    <row r="4548" spans="15:15">
      <c r="O4548" s="4288"/>
    </row>
    <row r="4549" spans="15:15">
      <c r="O4549" s="4288"/>
    </row>
    <row r="4550" spans="15:15">
      <c r="O4550" s="4288"/>
    </row>
    <row r="4551" spans="15:15">
      <c r="O4551" s="4288"/>
    </row>
    <row r="4552" spans="15:15">
      <c r="O4552" s="4288"/>
    </row>
    <row r="4553" spans="15:15">
      <c r="O4553" s="4288"/>
    </row>
    <row r="4554" spans="15:15">
      <c r="O4554" s="4288"/>
    </row>
    <row r="4555" spans="15:15">
      <c r="O4555" s="4288"/>
    </row>
    <row r="4556" spans="15:15">
      <c r="O4556" s="4288"/>
    </row>
    <row r="4557" spans="15:15">
      <c r="O4557" s="4288"/>
    </row>
    <row r="4558" spans="15:15">
      <c r="O4558" s="4288"/>
    </row>
    <row r="4559" spans="15:15">
      <c r="O4559" s="4288"/>
    </row>
    <row r="4560" spans="15:15">
      <c r="O4560" s="4288"/>
    </row>
    <row r="4561" spans="15:15">
      <c r="O4561" s="4288"/>
    </row>
    <row r="4562" spans="15:15">
      <c r="O4562" s="4288"/>
    </row>
    <row r="4563" spans="15:15">
      <c r="O4563" s="4288"/>
    </row>
    <row r="4564" spans="15:15">
      <c r="O4564" s="4288"/>
    </row>
    <row r="4565" spans="15:15">
      <c r="O4565" s="4288"/>
    </row>
    <row r="4566" spans="15:15">
      <c r="O4566" s="4288"/>
    </row>
    <row r="4567" spans="15:15">
      <c r="O4567" s="4288"/>
    </row>
    <row r="4568" spans="15:15">
      <c r="O4568" s="4288"/>
    </row>
    <row r="4569" spans="15:15">
      <c r="O4569" s="4288"/>
    </row>
    <row r="4570" spans="15:15">
      <c r="O4570" s="4288"/>
    </row>
    <row r="4571" spans="15:15">
      <c r="O4571" s="4288"/>
    </row>
    <row r="4572" spans="15:15">
      <c r="O4572" s="4288"/>
    </row>
    <row r="4573" spans="15:15">
      <c r="O4573" s="4288"/>
    </row>
    <row r="4574" spans="15:15">
      <c r="O4574" s="4288"/>
    </row>
    <row r="4575" spans="15:15">
      <c r="O4575" s="4288"/>
    </row>
    <row r="4576" spans="15:15">
      <c r="O4576" s="4288"/>
    </row>
    <row r="4577" spans="15:15">
      <c r="O4577" s="4288"/>
    </row>
    <row r="4578" spans="15:15">
      <c r="O4578" s="4288"/>
    </row>
    <row r="4579" spans="15:15">
      <c r="O4579" s="4288"/>
    </row>
    <row r="4580" spans="15:15">
      <c r="O4580" s="4288"/>
    </row>
    <row r="4581" spans="15:15">
      <c r="O4581" s="4288"/>
    </row>
    <row r="4582" spans="15:15">
      <c r="O4582" s="4288"/>
    </row>
    <row r="4583" spans="15:15">
      <c r="O4583" s="4288"/>
    </row>
    <row r="4584" spans="15:15">
      <c r="O4584" s="4288"/>
    </row>
    <row r="4585" spans="15:15">
      <c r="O4585" s="4288"/>
    </row>
    <row r="4586" spans="15:15">
      <c r="O4586" s="4288"/>
    </row>
    <row r="4587" spans="15:15">
      <c r="O4587" s="4288"/>
    </row>
    <row r="4588" spans="15:15">
      <c r="O4588" s="4288"/>
    </row>
    <row r="4589" spans="15:15">
      <c r="O4589" s="4288"/>
    </row>
    <row r="4590" spans="15:15">
      <c r="O4590" s="4288"/>
    </row>
    <row r="4591" spans="15:15">
      <c r="O4591" s="4288"/>
    </row>
    <row r="4592" spans="15:15">
      <c r="O4592" s="4288"/>
    </row>
    <row r="4593" spans="15:15">
      <c r="O4593" s="4288"/>
    </row>
    <row r="4594" spans="15:15">
      <c r="O4594" s="4288"/>
    </row>
    <row r="4595" spans="15:15">
      <c r="O4595" s="4288"/>
    </row>
    <row r="4596" spans="15:15">
      <c r="O4596" s="4288"/>
    </row>
    <row r="4597" spans="15:15">
      <c r="O4597" s="4288"/>
    </row>
    <row r="4598" spans="15:15">
      <c r="O4598" s="4288"/>
    </row>
    <row r="4599" spans="15:15">
      <c r="O4599" s="4288"/>
    </row>
    <row r="4600" spans="15:15">
      <c r="O4600" s="4288"/>
    </row>
    <row r="4601" spans="15:15">
      <c r="O4601" s="4288"/>
    </row>
    <row r="4602" spans="15:15">
      <c r="O4602" s="4288"/>
    </row>
    <row r="4603" spans="15:15">
      <c r="O4603" s="4288"/>
    </row>
    <row r="4604" spans="15:15">
      <c r="O4604" s="4288"/>
    </row>
    <row r="4605" spans="15:15">
      <c r="O4605" s="4288"/>
    </row>
    <row r="4606" spans="15:15">
      <c r="O4606" s="4288"/>
    </row>
    <row r="4607" spans="15:15">
      <c r="O4607" s="4288"/>
    </row>
    <row r="4608" spans="15:15">
      <c r="O4608" s="4288"/>
    </row>
    <row r="4609" spans="15:15">
      <c r="O4609" s="4288"/>
    </row>
    <row r="4610" spans="15:15">
      <c r="O4610" s="4288"/>
    </row>
    <row r="4611" spans="15:15">
      <c r="O4611" s="4288"/>
    </row>
    <row r="4612" spans="15:15">
      <c r="O4612" s="4288"/>
    </row>
    <row r="4613" spans="15:15">
      <c r="O4613" s="4288"/>
    </row>
    <row r="4614" spans="15:15">
      <c r="O4614" s="4288"/>
    </row>
    <row r="4615" spans="15:15">
      <c r="O4615" s="4288"/>
    </row>
    <row r="4616" spans="15:15">
      <c r="O4616" s="4288"/>
    </row>
    <row r="4617" spans="15:15">
      <c r="O4617" s="4288"/>
    </row>
    <row r="4618" spans="15:15">
      <c r="O4618" s="4288"/>
    </row>
    <row r="4619" spans="15:15">
      <c r="O4619" s="4288"/>
    </row>
    <row r="4620" spans="15:15">
      <c r="O4620" s="4288"/>
    </row>
    <row r="4621" spans="15:15">
      <c r="O4621" s="4288"/>
    </row>
    <row r="4622" spans="15:15">
      <c r="O4622" s="4288"/>
    </row>
    <row r="4623" spans="15:15">
      <c r="O4623" s="4288"/>
    </row>
    <row r="4624" spans="15:15">
      <c r="O4624" s="4288"/>
    </row>
    <row r="4625" spans="15:15">
      <c r="O4625" s="4288"/>
    </row>
    <row r="4626" spans="15:15">
      <c r="O4626" s="4288"/>
    </row>
    <row r="4627" spans="15:15">
      <c r="O4627" s="4288"/>
    </row>
    <row r="4628" spans="15:15">
      <c r="O4628" s="4288"/>
    </row>
    <row r="4629" spans="15:15">
      <c r="O4629" s="4288"/>
    </row>
    <row r="4630" spans="15:15">
      <c r="O4630" s="4288"/>
    </row>
    <row r="4631" spans="15:15">
      <c r="O4631" s="4288"/>
    </row>
    <row r="4632" spans="15:15">
      <c r="O4632" s="4288"/>
    </row>
    <row r="4633" spans="15:15">
      <c r="O4633" s="4288"/>
    </row>
    <row r="4634" spans="15:15">
      <c r="O4634" s="4288"/>
    </row>
    <row r="4635" spans="15:15">
      <c r="O4635" s="4288"/>
    </row>
    <row r="4636" spans="15:15">
      <c r="O4636" s="4288"/>
    </row>
    <row r="4637" spans="15:15">
      <c r="O4637" s="4288"/>
    </row>
    <row r="4638" spans="15:15">
      <c r="O4638" s="4288"/>
    </row>
    <row r="4639" spans="15:15">
      <c r="O4639" s="4288"/>
    </row>
    <row r="4640" spans="15:15">
      <c r="O4640" s="4288"/>
    </row>
    <row r="4641" spans="15:15">
      <c r="O4641" s="4288"/>
    </row>
    <row r="4642" spans="15:15">
      <c r="O4642" s="4288"/>
    </row>
    <row r="4643" spans="15:15">
      <c r="O4643" s="4288"/>
    </row>
    <row r="4644" spans="15:15">
      <c r="O4644" s="4288"/>
    </row>
    <row r="4645" spans="15:15">
      <c r="O4645" s="4288"/>
    </row>
    <row r="4646" spans="15:15">
      <c r="O4646" s="4288"/>
    </row>
    <row r="4647" spans="15:15">
      <c r="O4647" s="4288"/>
    </row>
    <row r="4648" spans="15:15">
      <c r="O4648" s="4288"/>
    </row>
    <row r="4649" spans="15:15">
      <c r="O4649" s="4288"/>
    </row>
    <row r="4650" spans="15:15">
      <c r="O4650" s="4288"/>
    </row>
    <row r="4651" spans="15:15">
      <c r="O4651" s="4288"/>
    </row>
    <row r="4652" spans="15:15">
      <c r="O4652" s="4288"/>
    </row>
    <row r="4653" spans="15:15">
      <c r="O4653" s="4288"/>
    </row>
    <row r="4654" spans="15:15">
      <c r="O4654" s="4288"/>
    </row>
    <row r="4655" spans="15:15">
      <c r="O4655" s="4288"/>
    </row>
    <row r="4656" spans="15:15">
      <c r="O4656" s="4288"/>
    </row>
    <row r="4657" spans="15:15">
      <c r="O4657" s="4288"/>
    </row>
    <row r="4658" spans="15:15">
      <c r="O4658" s="4288"/>
    </row>
    <row r="4659" spans="15:15">
      <c r="O4659" s="4288"/>
    </row>
    <row r="4660" spans="15:15">
      <c r="O4660" s="4288"/>
    </row>
    <row r="4661" spans="15:15">
      <c r="O4661" s="4288"/>
    </row>
    <row r="4662" spans="15:15">
      <c r="O4662" s="4288"/>
    </row>
    <row r="4663" spans="15:15">
      <c r="O4663" s="4288"/>
    </row>
    <row r="4664" spans="15:15">
      <c r="O4664" s="4288"/>
    </row>
    <row r="4665" spans="15:15">
      <c r="O4665" s="4288"/>
    </row>
    <row r="4666" spans="15:15">
      <c r="O4666" s="4288"/>
    </row>
    <row r="4667" spans="15:15">
      <c r="O4667" s="4288"/>
    </row>
    <row r="4668" spans="15:15">
      <c r="O4668" s="4288"/>
    </row>
    <row r="4669" spans="15:15">
      <c r="O4669" s="4288"/>
    </row>
    <row r="4670" spans="15:15">
      <c r="O4670" s="4288"/>
    </row>
    <row r="4671" spans="15:15">
      <c r="O4671" s="4288"/>
    </row>
    <row r="4672" spans="15:15">
      <c r="O4672" s="4288"/>
    </row>
    <row r="4673" spans="15:15">
      <c r="O4673" s="4288"/>
    </row>
    <row r="4674" spans="15:15">
      <c r="O4674" s="4288"/>
    </row>
    <row r="4675" spans="15:15">
      <c r="O4675" s="4288"/>
    </row>
    <row r="4676" spans="15:15">
      <c r="O4676" s="4288"/>
    </row>
    <row r="4677" spans="15:15">
      <c r="O4677" s="4288"/>
    </row>
    <row r="4678" spans="15:15">
      <c r="O4678" s="4288"/>
    </row>
    <row r="4679" spans="15:15">
      <c r="O4679" s="4288"/>
    </row>
    <row r="4680" spans="15:15">
      <c r="O4680" s="4288"/>
    </row>
    <row r="4681" spans="15:15">
      <c r="O4681" s="4288"/>
    </row>
    <row r="4682" spans="15:15">
      <c r="O4682" s="4288"/>
    </row>
    <row r="4683" spans="15:15">
      <c r="O4683" s="4288"/>
    </row>
    <row r="4684" spans="15:15">
      <c r="O4684" s="4288"/>
    </row>
    <row r="4685" spans="15:15">
      <c r="O4685" s="4288"/>
    </row>
    <row r="4686" spans="15:15">
      <c r="O4686" s="4288"/>
    </row>
    <row r="4687" spans="15:15">
      <c r="O4687" s="4288"/>
    </row>
    <row r="4688" spans="15:15">
      <c r="O4688" s="4288"/>
    </row>
    <row r="4689" spans="15:15">
      <c r="O4689" s="4288"/>
    </row>
    <row r="4690" spans="15:15">
      <c r="O4690" s="4288"/>
    </row>
    <row r="4691" spans="15:15">
      <c r="O4691" s="4288"/>
    </row>
    <row r="4692" spans="15:15">
      <c r="O4692" s="4288"/>
    </row>
    <row r="4693" spans="15:15">
      <c r="O4693" s="4288"/>
    </row>
    <row r="4694" spans="15:15">
      <c r="O4694" s="4288"/>
    </row>
    <row r="4695" spans="15:15">
      <c r="O4695" s="4288"/>
    </row>
    <row r="4696" spans="15:15">
      <c r="O4696" s="4288"/>
    </row>
    <row r="4697" spans="15:15">
      <c r="O4697" s="4288"/>
    </row>
    <row r="4698" spans="15:15">
      <c r="O4698" s="4288"/>
    </row>
    <row r="4699" spans="15:15">
      <c r="O4699" s="4288"/>
    </row>
    <row r="4700" spans="15:15">
      <c r="O4700" s="4288"/>
    </row>
    <row r="4701" spans="15:15">
      <c r="O4701" s="4288"/>
    </row>
    <row r="4702" spans="15:15">
      <c r="O4702" s="4288"/>
    </row>
    <row r="4703" spans="15:15">
      <c r="O4703" s="4288"/>
    </row>
    <row r="4704" spans="15:15">
      <c r="O4704" s="4288"/>
    </row>
    <row r="4705" spans="15:15">
      <c r="O4705" s="4288"/>
    </row>
    <row r="4706" spans="15:15">
      <c r="O4706" s="4288"/>
    </row>
    <row r="4707" spans="15:15">
      <c r="O4707" s="4288"/>
    </row>
    <row r="4708" spans="15:15">
      <c r="O4708" s="4288"/>
    </row>
    <row r="4709" spans="15:15">
      <c r="O4709" s="4288"/>
    </row>
    <row r="4710" spans="15:15">
      <c r="O4710" s="4288"/>
    </row>
    <row r="4711" spans="15:15">
      <c r="O4711" s="4288"/>
    </row>
    <row r="4712" spans="15:15">
      <c r="O4712" s="4288"/>
    </row>
    <row r="4713" spans="15:15">
      <c r="O4713" s="4288"/>
    </row>
    <row r="4714" spans="15:15">
      <c r="O4714" s="4288"/>
    </row>
    <row r="4715" spans="15:15">
      <c r="O4715" s="4288"/>
    </row>
    <row r="4716" spans="15:15">
      <c r="O4716" s="4288"/>
    </row>
    <row r="4717" spans="15:15">
      <c r="O4717" s="4288"/>
    </row>
    <row r="4718" spans="15:15">
      <c r="O4718" s="4288"/>
    </row>
    <row r="4719" spans="15:15">
      <c r="O4719" s="4288"/>
    </row>
    <row r="4720" spans="15:15">
      <c r="O4720" s="4288"/>
    </row>
    <row r="4721" spans="15:15">
      <c r="O4721" s="4288"/>
    </row>
    <row r="4722" spans="15:15">
      <c r="O4722" s="4288"/>
    </row>
    <row r="4723" spans="15:15">
      <c r="O4723" s="4288"/>
    </row>
    <row r="4724" spans="15:15">
      <c r="O4724" s="4288"/>
    </row>
    <row r="4725" spans="15:15">
      <c r="O4725" s="4288"/>
    </row>
    <row r="4726" spans="15:15">
      <c r="O4726" s="4288"/>
    </row>
    <row r="4727" spans="15:15">
      <c r="O4727" s="4288"/>
    </row>
    <row r="4728" spans="15:15">
      <c r="O4728" s="4288"/>
    </row>
    <row r="4729" spans="15:15">
      <c r="O4729" s="4288"/>
    </row>
    <row r="4730" spans="15:15">
      <c r="O4730" s="4288"/>
    </row>
    <row r="4731" spans="15:15">
      <c r="O4731" s="4288"/>
    </row>
    <row r="4732" spans="15:15">
      <c r="O4732" s="4288"/>
    </row>
    <row r="4733" spans="15:15">
      <c r="O4733" s="4288"/>
    </row>
    <row r="4734" spans="15:15">
      <c r="O4734" s="4288"/>
    </row>
    <row r="4735" spans="15:15">
      <c r="O4735" s="4288"/>
    </row>
    <row r="4736" spans="15:15">
      <c r="O4736" s="4288"/>
    </row>
    <row r="4737" spans="15:15">
      <c r="O4737" s="4288"/>
    </row>
    <row r="4738" spans="15:15">
      <c r="O4738" s="4288"/>
    </row>
    <row r="4739" spans="15:15">
      <c r="O4739" s="4288"/>
    </row>
    <row r="4740" spans="15:15">
      <c r="O4740" s="4288"/>
    </row>
    <row r="4741" spans="15:15">
      <c r="O4741" s="4288"/>
    </row>
    <row r="4742" spans="15:15">
      <c r="O4742" s="4288"/>
    </row>
    <row r="4743" spans="15:15">
      <c r="O4743" s="4288"/>
    </row>
    <row r="4744" spans="15:15">
      <c r="O4744" s="4288"/>
    </row>
    <row r="4745" spans="15:15">
      <c r="O4745" s="4288"/>
    </row>
    <row r="4746" spans="15:15">
      <c r="O4746" s="4288"/>
    </row>
    <row r="4747" spans="15:15">
      <c r="O4747" s="4288"/>
    </row>
    <row r="4748" spans="15:15">
      <c r="O4748" s="4288"/>
    </row>
    <row r="4749" spans="15:15">
      <c r="O4749" s="4288"/>
    </row>
    <row r="4750" spans="15:15">
      <c r="O4750" s="4288"/>
    </row>
    <row r="4751" spans="15:15">
      <c r="O4751" s="4288"/>
    </row>
    <row r="4752" spans="15:15">
      <c r="O4752" s="4288"/>
    </row>
    <row r="4753" spans="15:15">
      <c r="O4753" s="4288"/>
    </row>
    <row r="4754" spans="15:15">
      <c r="O4754" s="4288"/>
    </row>
    <row r="4755" spans="15:15">
      <c r="O4755" s="4288"/>
    </row>
    <row r="4756" spans="15:15">
      <c r="O4756" s="4288"/>
    </row>
    <row r="4757" spans="15:15">
      <c r="O4757" s="4288"/>
    </row>
    <row r="4758" spans="15:15">
      <c r="O4758" s="4288"/>
    </row>
    <row r="4759" spans="15:15">
      <c r="O4759" s="4288"/>
    </row>
    <row r="4760" spans="15:15">
      <c r="O4760" s="4288"/>
    </row>
    <row r="4761" spans="15:15">
      <c r="O4761" s="4288"/>
    </row>
    <row r="4762" spans="15:15">
      <c r="O4762" s="4288"/>
    </row>
    <row r="4763" spans="15:15">
      <c r="O4763" s="4288"/>
    </row>
    <row r="4764" spans="15:15">
      <c r="O4764" s="4288"/>
    </row>
    <row r="4765" spans="15:15">
      <c r="O4765" s="4288"/>
    </row>
    <row r="4766" spans="15:15">
      <c r="O4766" s="4288"/>
    </row>
    <row r="4767" spans="15:15">
      <c r="O4767" s="4288"/>
    </row>
    <row r="4768" spans="15:15">
      <c r="O4768" s="4288"/>
    </row>
    <row r="4769" spans="15:15">
      <c r="O4769" s="4288"/>
    </row>
    <row r="4770" spans="15:15">
      <c r="O4770" s="4288"/>
    </row>
    <row r="4771" spans="15:15">
      <c r="O4771" s="4288"/>
    </row>
    <row r="4772" spans="15:15">
      <c r="O4772" s="4288"/>
    </row>
    <row r="4773" spans="15:15">
      <c r="O4773" s="4288"/>
    </row>
    <row r="4774" spans="15:15">
      <c r="O4774" s="4288"/>
    </row>
    <row r="4775" spans="15:15">
      <c r="O4775" s="4288"/>
    </row>
    <row r="4776" spans="15:15">
      <c r="O4776" s="4288"/>
    </row>
    <row r="4777" spans="15:15">
      <c r="O4777" s="4288"/>
    </row>
    <row r="4778" spans="15:15">
      <c r="O4778" s="4288"/>
    </row>
    <row r="4779" spans="15:15">
      <c r="O4779" s="4288"/>
    </row>
    <row r="4780" spans="15:15">
      <c r="O4780" s="4288"/>
    </row>
    <row r="4781" spans="15:15">
      <c r="O4781" s="4288"/>
    </row>
    <row r="4782" spans="15:15">
      <c r="O4782" s="4288"/>
    </row>
    <row r="4783" spans="15:15">
      <c r="O4783" s="4288"/>
    </row>
    <row r="4784" spans="15:15">
      <c r="O4784" s="4288"/>
    </row>
    <row r="4785" spans="15:15">
      <c r="O4785" s="4288"/>
    </row>
    <row r="4786" spans="15:15">
      <c r="O4786" s="4288"/>
    </row>
    <row r="4787" spans="15:15">
      <c r="O4787" s="4288"/>
    </row>
    <row r="4788" spans="15:15">
      <c r="O4788" s="4288"/>
    </row>
    <row r="4789" spans="15:15">
      <c r="O4789" s="4288"/>
    </row>
    <row r="4790" spans="15:15">
      <c r="O4790" s="4288"/>
    </row>
    <row r="4791" spans="15:15">
      <c r="O4791" s="4288"/>
    </row>
    <row r="4792" spans="15:15">
      <c r="O4792" s="4288"/>
    </row>
    <row r="4793" spans="15:15">
      <c r="O4793" s="4288"/>
    </row>
    <row r="4794" spans="15:15">
      <c r="O4794" s="4288"/>
    </row>
    <row r="4795" spans="15:15">
      <c r="O4795" s="4288"/>
    </row>
    <row r="4796" spans="15:15">
      <c r="O4796" s="4288"/>
    </row>
    <row r="4797" spans="15:15">
      <c r="O4797" s="4288"/>
    </row>
    <row r="4798" spans="15:15">
      <c r="O4798" s="4288"/>
    </row>
    <row r="4799" spans="15:15">
      <c r="O4799" s="4288"/>
    </row>
    <row r="4800" spans="15:15">
      <c r="O4800" s="4288"/>
    </row>
    <row r="4801" spans="15:15">
      <c r="O4801" s="4288"/>
    </row>
    <row r="4802" spans="15:15">
      <c r="O4802" s="4288"/>
    </row>
    <row r="4803" spans="15:15">
      <c r="O4803" s="4288"/>
    </row>
    <row r="4804" spans="15:15">
      <c r="O4804" s="4288"/>
    </row>
    <row r="4805" spans="15:15">
      <c r="O4805" s="4288"/>
    </row>
    <row r="4806" spans="15:15">
      <c r="O4806" s="4288"/>
    </row>
    <row r="4807" spans="15:15">
      <c r="O4807" s="4288"/>
    </row>
    <row r="4808" spans="15:15">
      <c r="O4808" s="4288"/>
    </row>
    <row r="4809" spans="15:15">
      <c r="O4809" s="4288"/>
    </row>
    <row r="4810" spans="15:15">
      <c r="O4810" s="4288"/>
    </row>
    <row r="4811" spans="15:15">
      <c r="O4811" s="4288"/>
    </row>
    <row r="4812" spans="15:15">
      <c r="O4812" s="4288"/>
    </row>
    <row r="4813" spans="15:15">
      <c r="O4813" s="4288"/>
    </row>
    <row r="4814" spans="15:15">
      <c r="O4814" s="4288"/>
    </row>
    <row r="4815" spans="15:15">
      <c r="O4815" s="4288"/>
    </row>
    <row r="4816" spans="15:15">
      <c r="O4816" s="4288"/>
    </row>
    <row r="4817" spans="15:15">
      <c r="O4817" s="4288"/>
    </row>
    <row r="4818" spans="15:15">
      <c r="O4818" s="4288"/>
    </row>
    <row r="4819" spans="15:15">
      <c r="O4819" s="4288"/>
    </row>
    <row r="4820" spans="15:15">
      <c r="O4820" s="4288"/>
    </row>
    <row r="4821" spans="15:15">
      <c r="O4821" s="4288"/>
    </row>
    <row r="4822" spans="15:15">
      <c r="O4822" s="4288"/>
    </row>
    <row r="4823" spans="15:15">
      <c r="O4823" s="4288"/>
    </row>
    <row r="4824" spans="15:15">
      <c r="O4824" s="4288"/>
    </row>
    <row r="4825" spans="15:15">
      <c r="O4825" s="4288"/>
    </row>
    <row r="4826" spans="15:15">
      <c r="O4826" s="4288"/>
    </row>
    <row r="4827" spans="15:15">
      <c r="O4827" s="4288"/>
    </row>
    <row r="4828" spans="15:15">
      <c r="O4828" s="4288"/>
    </row>
    <row r="4829" spans="15:15">
      <c r="O4829" s="4288"/>
    </row>
    <row r="4830" spans="15:15">
      <c r="O4830" s="4288"/>
    </row>
    <row r="4831" spans="15:15">
      <c r="O4831" s="4288"/>
    </row>
    <row r="4832" spans="15:15">
      <c r="O4832" s="4288"/>
    </row>
    <row r="4833" spans="15:15">
      <c r="O4833" s="4288"/>
    </row>
    <row r="4834" spans="15:15">
      <c r="O4834" s="4288"/>
    </row>
    <row r="4835" spans="15:15">
      <c r="O4835" s="4288"/>
    </row>
    <row r="4836" spans="15:15">
      <c r="O4836" s="4288"/>
    </row>
    <row r="4837" spans="15:15">
      <c r="O4837" s="4288"/>
    </row>
    <row r="4838" spans="15:15">
      <c r="O4838" s="4288"/>
    </row>
    <row r="4839" spans="15:15">
      <c r="O4839" s="4288"/>
    </row>
    <row r="4840" spans="15:15">
      <c r="O4840" s="4288"/>
    </row>
    <row r="4841" spans="15:15">
      <c r="O4841" s="4288"/>
    </row>
    <row r="4842" spans="15:15">
      <c r="O4842" s="4288"/>
    </row>
    <row r="4843" spans="15:15">
      <c r="O4843" s="4288"/>
    </row>
    <row r="4844" spans="15:15">
      <c r="O4844" s="4288"/>
    </row>
    <row r="4845" spans="15:15">
      <c r="O4845" s="4288"/>
    </row>
    <row r="4846" spans="15:15">
      <c r="O4846" s="4288"/>
    </row>
    <row r="4847" spans="15:15">
      <c r="O4847" s="4288"/>
    </row>
    <row r="4848" spans="15:15">
      <c r="O4848" s="4288"/>
    </row>
    <row r="4849" spans="15:15">
      <c r="O4849" s="4288"/>
    </row>
    <row r="4850" spans="15:15">
      <c r="O4850" s="4288"/>
    </row>
    <row r="4851" spans="15:15">
      <c r="O4851" s="4288"/>
    </row>
    <row r="4852" spans="15:15">
      <c r="O4852" s="4288"/>
    </row>
    <row r="4853" spans="15:15">
      <c r="O4853" s="4288"/>
    </row>
    <row r="4854" spans="15:15">
      <c r="O4854" s="4288"/>
    </row>
    <row r="4855" spans="15:15">
      <c r="O4855" s="4288"/>
    </row>
    <row r="4856" spans="15:15">
      <c r="O4856" s="4288"/>
    </row>
    <row r="4857" spans="15:15">
      <c r="O4857" s="4288"/>
    </row>
    <row r="4858" spans="15:15">
      <c r="O4858" s="4288"/>
    </row>
    <row r="4859" spans="15:15">
      <c r="O4859" s="4288"/>
    </row>
    <row r="4860" spans="15:15">
      <c r="O4860" s="4288"/>
    </row>
    <row r="4861" spans="15:15">
      <c r="O4861" s="4288"/>
    </row>
    <row r="4862" spans="15:15">
      <c r="O4862" s="4288"/>
    </row>
    <row r="4863" spans="15:15">
      <c r="O4863" s="4288"/>
    </row>
    <row r="4864" spans="15:15">
      <c r="O4864" s="4288"/>
    </row>
    <row r="4865" spans="15:15">
      <c r="O4865" s="4288"/>
    </row>
    <row r="4866" spans="15:15">
      <c r="O4866" s="4288"/>
    </row>
    <row r="4867" spans="15:15">
      <c r="O4867" s="4288"/>
    </row>
    <row r="4868" spans="15:15">
      <c r="O4868" s="4288"/>
    </row>
    <row r="4869" spans="15:15">
      <c r="O4869" s="4288"/>
    </row>
    <row r="4870" spans="15:15">
      <c r="O4870" s="4288"/>
    </row>
    <row r="4871" spans="15:15">
      <c r="O4871" s="4288"/>
    </row>
    <row r="4872" spans="15:15">
      <c r="O4872" s="4288"/>
    </row>
    <row r="4873" spans="15:15">
      <c r="O4873" s="4288"/>
    </row>
    <row r="4874" spans="15:15">
      <c r="O4874" s="4288"/>
    </row>
    <row r="4875" spans="15:15">
      <c r="O4875" s="4288"/>
    </row>
    <row r="4876" spans="15:15">
      <c r="O4876" s="4288"/>
    </row>
    <row r="4877" spans="15:15">
      <c r="O4877" s="4288"/>
    </row>
    <row r="4878" spans="15:15">
      <c r="O4878" s="4288"/>
    </row>
    <row r="4879" spans="15:15">
      <c r="O4879" s="4288"/>
    </row>
    <row r="4880" spans="15:15">
      <c r="O4880" s="4288"/>
    </row>
    <row r="4881" spans="15:15">
      <c r="O4881" s="4288"/>
    </row>
    <row r="4882" spans="15:15">
      <c r="O4882" s="4288"/>
    </row>
    <row r="4883" spans="15:15">
      <c r="O4883" s="4288"/>
    </row>
    <row r="4884" spans="15:15">
      <c r="O4884" s="4288"/>
    </row>
    <row r="4885" spans="15:15">
      <c r="O4885" s="4288"/>
    </row>
    <row r="4886" spans="15:15">
      <c r="O4886" s="4288"/>
    </row>
    <row r="4887" spans="15:15">
      <c r="O4887" s="4288"/>
    </row>
    <row r="4888" spans="15:15">
      <c r="O4888" s="4288"/>
    </row>
    <row r="4889" spans="15:15">
      <c r="O4889" s="4288"/>
    </row>
    <row r="4890" spans="15:15">
      <c r="O4890" s="4288"/>
    </row>
    <row r="4891" spans="15:15">
      <c r="O4891" s="4288"/>
    </row>
    <row r="4892" spans="15:15">
      <c r="O4892" s="4288"/>
    </row>
    <row r="4893" spans="15:15">
      <c r="O4893" s="4288"/>
    </row>
    <row r="4894" spans="15:15">
      <c r="O4894" s="4288"/>
    </row>
    <row r="4895" spans="15:15">
      <c r="O4895" s="4288"/>
    </row>
    <row r="4896" spans="15:15">
      <c r="O4896" s="4288"/>
    </row>
    <row r="4897" spans="15:15">
      <c r="O4897" s="4288"/>
    </row>
    <row r="4898" spans="15:15">
      <c r="O4898" s="4288"/>
    </row>
    <row r="4899" spans="15:15">
      <c r="O4899" s="4288"/>
    </row>
    <row r="4900" spans="15:15">
      <c r="O4900" s="4288"/>
    </row>
    <row r="4901" spans="15:15">
      <c r="O4901" s="4288"/>
    </row>
    <row r="4902" spans="15:15">
      <c r="O4902" s="4288"/>
    </row>
    <row r="4903" spans="15:15">
      <c r="O4903" s="4288"/>
    </row>
    <row r="4904" spans="15:15">
      <c r="O4904" s="4288"/>
    </row>
    <row r="4905" spans="15:15">
      <c r="O4905" s="4288"/>
    </row>
    <row r="4906" spans="15:15">
      <c r="O4906" s="4288"/>
    </row>
    <row r="4907" spans="15:15">
      <c r="O4907" s="4288"/>
    </row>
    <row r="4908" spans="15:15">
      <c r="O4908" s="4288"/>
    </row>
    <row r="4909" spans="15:15">
      <c r="O4909" s="4288"/>
    </row>
    <row r="4910" spans="15:15">
      <c r="O4910" s="4288"/>
    </row>
    <row r="4911" spans="15:15">
      <c r="O4911" s="4288"/>
    </row>
    <row r="4912" spans="15:15">
      <c r="O4912" s="4288"/>
    </row>
    <row r="4913" spans="15:15">
      <c r="O4913" s="4288"/>
    </row>
    <row r="4914" spans="15:15">
      <c r="O4914" s="4288"/>
    </row>
    <row r="4915" spans="15:15">
      <c r="O4915" s="4288"/>
    </row>
    <row r="4916" spans="15:15">
      <c r="O4916" s="4288"/>
    </row>
    <row r="4917" spans="15:15">
      <c r="O4917" s="4288"/>
    </row>
    <row r="4918" spans="15:15">
      <c r="O4918" s="4288"/>
    </row>
    <row r="4919" spans="15:15">
      <c r="O4919" s="4288"/>
    </row>
    <row r="4920" spans="15:15">
      <c r="O4920" s="4288"/>
    </row>
    <row r="4921" spans="15:15">
      <c r="O4921" s="4288"/>
    </row>
    <row r="4922" spans="15:15">
      <c r="O4922" s="4288"/>
    </row>
    <row r="4923" spans="15:15">
      <c r="O4923" s="4288"/>
    </row>
    <row r="4924" spans="15:15">
      <c r="O4924" s="4288"/>
    </row>
    <row r="4925" spans="15:15">
      <c r="O4925" s="4288"/>
    </row>
    <row r="4926" spans="15:15">
      <c r="O4926" s="4288"/>
    </row>
    <row r="4927" spans="15:15">
      <c r="O4927" s="4288"/>
    </row>
    <row r="4928" spans="15:15">
      <c r="O4928" s="4288"/>
    </row>
    <row r="4929" spans="15:15">
      <c r="O4929" s="4288"/>
    </row>
    <row r="4930" spans="15:15">
      <c r="O4930" s="4288"/>
    </row>
    <row r="4931" spans="15:15">
      <c r="O4931" s="4288"/>
    </row>
    <row r="4932" spans="15:15">
      <c r="O4932" s="4288"/>
    </row>
    <row r="4933" spans="15:15">
      <c r="O4933" s="4288"/>
    </row>
    <row r="4934" spans="15:15">
      <c r="O4934" s="4288"/>
    </row>
    <row r="4935" spans="15:15">
      <c r="O4935" s="4288"/>
    </row>
    <row r="4936" spans="15:15">
      <c r="O4936" s="4288"/>
    </row>
    <row r="4937" spans="15:15">
      <c r="O4937" s="4288"/>
    </row>
    <row r="4938" spans="15:15">
      <c r="O4938" s="4288"/>
    </row>
    <row r="4939" spans="15:15">
      <c r="O4939" s="4288"/>
    </row>
    <row r="4940" spans="15:15">
      <c r="O4940" s="4288"/>
    </row>
    <row r="4941" spans="15:15">
      <c r="O4941" s="4288"/>
    </row>
    <row r="4942" spans="15:15">
      <c r="O4942" s="4288"/>
    </row>
    <row r="4943" spans="15:15">
      <c r="O4943" s="4288"/>
    </row>
    <row r="4944" spans="15:15">
      <c r="O4944" s="4288"/>
    </row>
    <row r="4945" spans="15:15">
      <c r="O4945" s="4288"/>
    </row>
    <row r="4946" spans="15:15">
      <c r="O4946" s="4288"/>
    </row>
    <row r="4947" spans="15:15">
      <c r="O4947" s="4288"/>
    </row>
    <row r="4948" spans="15:15">
      <c r="O4948" s="4288"/>
    </row>
    <row r="4949" spans="15:15">
      <c r="O4949" s="4288"/>
    </row>
    <row r="4950" spans="15:15">
      <c r="O4950" s="4288"/>
    </row>
    <row r="4951" spans="15:15">
      <c r="O4951" s="4288"/>
    </row>
    <row r="4952" spans="15:15">
      <c r="O4952" s="4288"/>
    </row>
    <row r="4953" spans="15:15">
      <c r="O4953" s="4288"/>
    </row>
    <row r="4954" spans="15:15">
      <c r="O4954" s="4288"/>
    </row>
    <row r="4955" spans="15:15">
      <c r="O4955" s="4288"/>
    </row>
    <row r="4956" spans="15:15">
      <c r="O4956" s="4288"/>
    </row>
    <row r="4957" spans="15:15">
      <c r="O4957" s="4288"/>
    </row>
    <row r="4958" spans="15:15">
      <c r="O4958" s="4288"/>
    </row>
    <row r="4959" spans="15:15">
      <c r="O4959" s="4288"/>
    </row>
    <row r="4960" spans="15:15">
      <c r="O4960" s="4288"/>
    </row>
    <row r="4961" spans="15:15">
      <c r="O4961" s="4288"/>
    </row>
    <row r="4962" spans="15:15">
      <c r="O4962" s="4288"/>
    </row>
    <row r="4963" spans="15:15">
      <c r="O4963" s="4288"/>
    </row>
    <row r="4964" spans="15:15">
      <c r="O4964" s="4288"/>
    </row>
    <row r="4965" spans="15:15">
      <c r="O4965" s="4288"/>
    </row>
    <row r="4966" spans="15:15">
      <c r="O4966" s="4288"/>
    </row>
    <row r="4967" spans="15:15">
      <c r="O4967" s="4288"/>
    </row>
    <row r="4968" spans="15:15">
      <c r="O4968" s="4288"/>
    </row>
    <row r="4969" spans="15:15">
      <c r="O4969" s="4288"/>
    </row>
    <row r="4970" spans="15:15">
      <c r="O4970" s="4288"/>
    </row>
    <row r="4971" spans="15:15">
      <c r="O4971" s="4288"/>
    </row>
    <row r="4972" spans="15:15">
      <c r="O4972" s="4288"/>
    </row>
    <row r="4973" spans="15:15">
      <c r="O4973" s="4288"/>
    </row>
    <row r="4974" spans="15:15">
      <c r="O4974" s="4288"/>
    </row>
    <row r="4975" spans="15:15">
      <c r="O4975" s="4288"/>
    </row>
    <row r="4976" spans="15:15">
      <c r="O4976" s="4288"/>
    </row>
    <row r="4977" spans="15:15">
      <c r="O4977" s="4288"/>
    </row>
    <row r="4978" spans="15:15">
      <c r="O4978" s="4288"/>
    </row>
    <row r="4979" spans="15:15">
      <c r="O4979" s="4288"/>
    </row>
    <row r="4980" spans="15:15">
      <c r="O4980" s="4288"/>
    </row>
    <row r="4981" spans="15:15">
      <c r="O4981" s="4288"/>
    </row>
    <row r="4982" spans="15:15">
      <c r="O4982" s="4288"/>
    </row>
    <row r="4983" spans="15:15">
      <c r="O4983" s="4288"/>
    </row>
    <row r="4984" spans="15:15">
      <c r="O4984" s="4288"/>
    </row>
    <row r="4985" spans="15:15">
      <c r="O4985" s="4288"/>
    </row>
    <row r="4986" spans="15:15">
      <c r="O4986" s="4288"/>
    </row>
    <row r="4987" spans="15:15">
      <c r="O4987" s="4288"/>
    </row>
    <row r="4988" spans="15:15">
      <c r="O4988" s="4288"/>
    </row>
    <row r="4989" spans="15:15">
      <c r="O4989" s="4288"/>
    </row>
    <row r="4990" spans="15:15">
      <c r="O4990" s="4288"/>
    </row>
    <row r="4991" spans="15:15">
      <c r="O4991" s="4288"/>
    </row>
    <row r="4992" spans="15:15">
      <c r="O4992" s="4288"/>
    </row>
    <row r="4993" spans="15:15">
      <c r="O4993" s="4288"/>
    </row>
    <row r="4994" spans="15:15">
      <c r="O4994" s="4288"/>
    </row>
    <row r="4995" spans="15:15">
      <c r="O4995" s="4288"/>
    </row>
    <row r="4996" spans="15:15">
      <c r="O4996" s="4288"/>
    </row>
    <row r="4997" spans="15:15">
      <c r="O4997" s="4288"/>
    </row>
    <row r="4998" spans="15:15">
      <c r="O4998" s="4288"/>
    </row>
    <row r="4999" spans="15:15">
      <c r="O4999" s="4288"/>
    </row>
    <row r="5000" spans="15:15">
      <c r="O5000" s="4288"/>
    </row>
    <row r="5001" spans="15:15">
      <c r="O5001" s="4288"/>
    </row>
    <row r="5002" spans="15:15">
      <c r="O5002" s="4288"/>
    </row>
    <row r="5003" spans="15:15">
      <c r="O5003" s="4288"/>
    </row>
    <row r="5004" spans="15:15">
      <c r="O5004" s="4288"/>
    </row>
    <row r="5005" spans="15:15">
      <c r="O5005" s="4288"/>
    </row>
    <row r="5006" spans="15:15">
      <c r="O5006" s="4288"/>
    </row>
    <row r="5007" spans="15:15">
      <c r="O5007" s="4288"/>
    </row>
    <row r="5008" spans="15:15">
      <c r="O5008" s="4288"/>
    </row>
    <row r="5009" spans="15:15">
      <c r="O5009" s="4288"/>
    </row>
    <row r="5010" spans="15:15">
      <c r="O5010" s="4288"/>
    </row>
    <row r="5011" spans="15:15">
      <c r="O5011" s="4288"/>
    </row>
    <row r="5012" spans="15:15">
      <c r="O5012" s="4288"/>
    </row>
    <row r="5013" spans="15:15">
      <c r="O5013" s="4288"/>
    </row>
    <row r="5014" spans="15:15">
      <c r="O5014" s="4288"/>
    </row>
    <row r="5015" spans="15:15">
      <c r="O5015" s="4288"/>
    </row>
    <row r="5016" spans="15:15">
      <c r="O5016" s="4288"/>
    </row>
    <row r="5017" spans="15:15">
      <c r="O5017" s="4288"/>
    </row>
    <row r="5018" spans="15:15">
      <c r="O5018" s="4288"/>
    </row>
    <row r="5019" spans="15:15">
      <c r="O5019" s="4288"/>
    </row>
    <row r="5020" spans="15:15">
      <c r="O5020" s="4288"/>
    </row>
    <row r="5021" spans="15:15">
      <c r="O5021" s="4288"/>
    </row>
    <row r="5022" spans="15:15">
      <c r="O5022" s="4288"/>
    </row>
    <row r="5023" spans="15:15">
      <c r="O5023" s="4288"/>
    </row>
    <row r="5024" spans="15:15">
      <c r="O5024" s="4288"/>
    </row>
    <row r="5025" spans="15:15">
      <c r="O5025" s="4288"/>
    </row>
    <row r="5026" spans="15:15">
      <c r="O5026" s="4288"/>
    </row>
    <row r="5027" spans="15:15">
      <c r="O5027" s="4288"/>
    </row>
    <row r="5028" spans="15:15">
      <c r="O5028" s="4288"/>
    </row>
    <row r="5029" spans="15:15">
      <c r="O5029" s="4288"/>
    </row>
    <row r="5030" spans="15:15">
      <c r="O5030" s="4288"/>
    </row>
    <row r="5031" spans="15:15">
      <c r="O5031" s="4288"/>
    </row>
    <row r="5032" spans="15:15">
      <c r="O5032" s="4288"/>
    </row>
    <row r="5033" spans="15:15">
      <c r="O5033" s="4288"/>
    </row>
    <row r="5034" spans="15:15">
      <c r="O5034" s="4288"/>
    </row>
    <row r="5035" spans="15:15">
      <c r="O5035" s="4288"/>
    </row>
    <row r="5036" spans="15:15">
      <c r="O5036" s="4288"/>
    </row>
    <row r="5037" spans="15:15">
      <c r="O5037" s="4288"/>
    </row>
    <row r="5038" spans="15:15">
      <c r="O5038" s="4288"/>
    </row>
    <row r="5039" spans="15:15">
      <c r="O5039" s="4288"/>
    </row>
    <row r="5040" spans="15:15">
      <c r="O5040" s="4288"/>
    </row>
    <row r="5041" spans="15:15">
      <c r="O5041" s="4288"/>
    </row>
    <row r="5042" spans="15:15">
      <c r="O5042" s="4288"/>
    </row>
    <row r="5043" spans="15:15">
      <c r="O5043" s="4288"/>
    </row>
    <row r="5044" spans="15:15">
      <c r="O5044" s="4288"/>
    </row>
    <row r="5045" spans="15:15">
      <c r="O5045" s="4288"/>
    </row>
    <row r="5046" spans="15:15">
      <c r="O5046" s="4288"/>
    </row>
    <row r="5047" spans="15:15">
      <c r="O5047" s="4288"/>
    </row>
    <row r="5048" spans="15:15">
      <c r="O5048" s="4288"/>
    </row>
    <row r="5049" spans="15:15">
      <c r="O5049" s="4288"/>
    </row>
    <row r="5050" spans="15:15">
      <c r="O5050" s="4288"/>
    </row>
    <row r="5051" spans="15:15">
      <c r="O5051" s="4288"/>
    </row>
    <row r="5052" spans="15:15">
      <c r="O5052" s="4288"/>
    </row>
    <row r="5053" spans="15:15">
      <c r="O5053" s="4288"/>
    </row>
    <row r="5054" spans="15:15">
      <c r="O5054" s="4288"/>
    </row>
    <row r="5055" spans="15:15">
      <c r="O5055" s="4288"/>
    </row>
    <row r="5056" spans="15:15">
      <c r="O5056" s="4288"/>
    </row>
    <row r="5057" spans="15:15">
      <c r="O5057" s="4288"/>
    </row>
    <row r="5058" spans="15:15">
      <c r="O5058" s="4288"/>
    </row>
    <row r="5059" spans="15:15">
      <c r="O5059" s="4288"/>
    </row>
    <row r="5060" spans="15:15">
      <c r="O5060" s="4288"/>
    </row>
    <row r="5061" spans="15:15">
      <c r="O5061" s="4288"/>
    </row>
    <row r="5062" spans="15:15">
      <c r="O5062" s="4288"/>
    </row>
    <row r="5063" spans="15:15">
      <c r="O5063" s="4288"/>
    </row>
    <row r="5064" spans="15:15">
      <c r="O5064" s="4288"/>
    </row>
    <row r="5065" spans="15:15">
      <c r="O5065" s="4288"/>
    </row>
    <row r="5066" spans="15:15">
      <c r="O5066" s="4288"/>
    </row>
    <row r="5067" spans="15:15">
      <c r="O5067" s="4288"/>
    </row>
    <row r="5068" spans="15:15">
      <c r="O5068" s="4288"/>
    </row>
    <row r="5069" spans="15:15">
      <c r="O5069" s="4288"/>
    </row>
    <row r="5070" spans="15:15">
      <c r="O5070" s="4288"/>
    </row>
    <row r="5071" spans="15:15">
      <c r="O5071" s="4288"/>
    </row>
    <row r="5072" spans="15:15">
      <c r="O5072" s="4288"/>
    </row>
    <row r="5073" spans="15:15">
      <c r="O5073" s="4288"/>
    </row>
    <row r="5074" spans="15:15">
      <c r="O5074" s="4288"/>
    </row>
    <row r="5075" spans="15:15">
      <c r="O5075" s="4288"/>
    </row>
    <row r="5076" spans="15:15">
      <c r="O5076" s="4288"/>
    </row>
    <row r="5077" spans="15:15">
      <c r="O5077" s="4288"/>
    </row>
    <row r="5078" spans="15:15">
      <c r="O5078" s="4288"/>
    </row>
    <row r="5079" spans="15:15">
      <c r="O5079" s="4288"/>
    </row>
    <row r="5080" spans="15:15">
      <c r="O5080" s="4288"/>
    </row>
    <row r="5081" spans="15:15">
      <c r="O5081" s="4288"/>
    </row>
    <row r="5082" spans="15:15">
      <c r="O5082" s="4288"/>
    </row>
    <row r="5083" spans="15:15">
      <c r="O5083" s="4288"/>
    </row>
    <row r="5084" spans="15:15">
      <c r="O5084" s="4288"/>
    </row>
    <row r="5085" spans="15:15">
      <c r="O5085" s="4288"/>
    </row>
    <row r="5086" spans="15:15">
      <c r="O5086" s="4288"/>
    </row>
    <row r="5087" spans="15:15">
      <c r="O5087" s="4288"/>
    </row>
    <row r="5088" spans="15:15">
      <c r="O5088" s="4288"/>
    </row>
    <row r="5089" spans="15:15">
      <c r="O5089" s="4288"/>
    </row>
    <row r="5090" spans="15:15">
      <c r="O5090" s="4288"/>
    </row>
    <row r="5091" spans="15:15">
      <c r="O5091" s="4288"/>
    </row>
    <row r="5092" spans="15:15">
      <c r="O5092" s="4288"/>
    </row>
    <row r="5093" spans="15:15">
      <c r="O5093" s="4288"/>
    </row>
    <row r="5094" spans="15:15">
      <c r="O5094" s="4288"/>
    </row>
    <row r="5095" spans="15:15">
      <c r="O5095" s="4288"/>
    </row>
    <row r="5096" spans="15:15">
      <c r="O5096" s="4288"/>
    </row>
    <row r="5097" spans="15:15">
      <c r="O5097" s="4288"/>
    </row>
    <row r="5098" spans="15:15">
      <c r="O5098" s="4288"/>
    </row>
    <row r="5099" spans="15:15">
      <c r="O5099" s="4288"/>
    </row>
    <row r="5100" spans="15:15">
      <c r="O5100" s="4288"/>
    </row>
    <row r="5101" spans="15:15">
      <c r="O5101" s="4288"/>
    </row>
    <row r="5102" spans="15:15">
      <c r="O5102" s="4288"/>
    </row>
    <row r="5103" spans="15:15">
      <c r="O5103" s="4288"/>
    </row>
    <row r="5104" spans="15:15">
      <c r="O5104" s="4288"/>
    </row>
    <row r="5105" spans="15:15">
      <c r="O5105" s="4288"/>
    </row>
    <row r="5106" spans="15:15">
      <c r="O5106" s="4288"/>
    </row>
    <row r="5107" spans="15:15">
      <c r="O5107" s="4288"/>
    </row>
    <row r="5108" spans="15:15">
      <c r="O5108" s="4288"/>
    </row>
    <row r="5109" spans="15:15">
      <c r="O5109" s="4288"/>
    </row>
    <row r="5110" spans="15:15">
      <c r="O5110" s="4288"/>
    </row>
    <row r="5111" spans="15:15">
      <c r="O5111" s="4288"/>
    </row>
    <row r="5112" spans="15:15">
      <c r="O5112" s="4288"/>
    </row>
    <row r="5113" spans="15:15">
      <c r="O5113" s="4288"/>
    </row>
    <row r="5114" spans="15:15">
      <c r="O5114" s="4288"/>
    </row>
    <row r="5115" spans="15:15">
      <c r="O5115" s="4288"/>
    </row>
    <row r="5116" spans="15:15">
      <c r="O5116" s="4288"/>
    </row>
    <row r="5117" spans="15:15">
      <c r="O5117" s="4288"/>
    </row>
    <row r="5118" spans="15:15">
      <c r="O5118" s="4288"/>
    </row>
    <row r="5119" spans="15:15">
      <c r="O5119" s="4288"/>
    </row>
    <row r="5120" spans="15:15">
      <c r="O5120" s="4288"/>
    </row>
    <row r="5121" spans="15:15">
      <c r="O5121" s="4288"/>
    </row>
    <row r="5122" spans="15:15">
      <c r="O5122" s="4288"/>
    </row>
    <row r="5123" spans="15:15">
      <c r="O5123" s="4288"/>
    </row>
    <row r="5124" spans="15:15">
      <c r="O5124" s="4288"/>
    </row>
    <row r="5125" spans="15:15">
      <c r="O5125" s="4288"/>
    </row>
    <row r="5126" spans="15:15">
      <c r="O5126" s="4288"/>
    </row>
    <row r="5127" spans="15:15">
      <c r="O5127" s="4288"/>
    </row>
    <row r="5128" spans="15:15">
      <c r="O5128" s="4288"/>
    </row>
    <row r="5129" spans="15:15">
      <c r="O5129" s="4288"/>
    </row>
    <row r="5130" spans="15:15">
      <c r="O5130" s="4288"/>
    </row>
    <row r="5131" spans="15:15">
      <c r="O5131" s="4288"/>
    </row>
    <row r="5132" spans="15:15">
      <c r="O5132" s="4288"/>
    </row>
    <row r="5133" spans="15:15">
      <c r="O5133" s="4288"/>
    </row>
    <row r="5134" spans="15:15">
      <c r="O5134" s="4288"/>
    </row>
    <row r="5135" spans="15:15">
      <c r="O5135" s="4288"/>
    </row>
    <row r="5136" spans="15:15">
      <c r="O5136" s="4288"/>
    </row>
    <row r="5137" spans="15:15">
      <c r="O5137" s="4288"/>
    </row>
    <row r="5138" spans="15:15">
      <c r="O5138" s="4288"/>
    </row>
    <row r="5139" spans="15:15">
      <c r="O5139" s="4288"/>
    </row>
    <row r="5140" spans="15:15">
      <c r="O5140" s="4288"/>
    </row>
    <row r="5141" spans="15:15">
      <c r="O5141" s="4288"/>
    </row>
    <row r="5142" spans="15:15">
      <c r="O5142" s="4288"/>
    </row>
    <row r="5143" spans="15:15">
      <c r="O5143" s="4288"/>
    </row>
    <row r="5144" spans="15:15">
      <c r="O5144" s="4288"/>
    </row>
    <row r="5145" spans="15:15">
      <c r="O5145" s="4288"/>
    </row>
    <row r="5146" spans="15:15">
      <c r="O5146" s="4288"/>
    </row>
    <row r="5147" spans="15:15">
      <c r="O5147" s="4288"/>
    </row>
    <row r="5148" spans="15:15">
      <c r="O5148" s="4288"/>
    </row>
    <row r="5149" spans="15:15">
      <c r="O5149" s="4288"/>
    </row>
    <row r="5150" spans="15:15">
      <c r="O5150" s="4288"/>
    </row>
    <row r="5151" spans="15:15">
      <c r="O5151" s="4288"/>
    </row>
    <row r="5152" spans="15:15">
      <c r="O5152" s="4288"/>
    </row>
    <row r="5153" spans="15:15">
      <c r="O5153" s="4288"/>
    </row>
    <row r="5154" spans="15:15">
      <c r="O5154" s="4288"/>
    </row>
    <row r="5155" spans="15:15">
      <c r="O5155" s="4288"/>
    </row>
    <row r="5156" spans="15:15">
      <c r="O5156" s="4288"/>
    </row>
    <row r="5157" spans="15:15">
      <c r="O5157" s="4288"/>
    </row>
    <row r="5158" spans="15:15">
      <c r="O5158" s="4288"/>
    </row>
    <row r="5159" spans="15:15">
      <c r="O5159" s="4288"/>
    </row>
    <row r="5160" spans="15:15">
      <c r="O5160" s="4288"/>
    </row>
    <row r="5161" spans="15:15">
      <c r="O5161" s="4288"/>
    </row>
    <row r="5162" spans="15:15">
      <c r="O5162" s="4288"/>
    </row>
    <row r="5163" spans="15:15">
      <c r="O5163" s="4288"/>
    </row>
    <row r="5164" spans="15:15">
      <c r="O5164" s="4288"/>
    </row>
    <row r="5165" spans="15:15">
      <c r="O5165" s="4288"/>
    </row>
    <row r="5166" spans="15:15">
      <c r="O5166" s="4288"/>
    </row>
    <row r="5167" spans="15:15">
      <c r="O5167" s="4288"/>
    </row>
    <row r="5168" spans="15:15">
      <c r="O5168" s="4288"/>
    </row>
    <row r="5169" spans="15:15">
      <c r="O5169" s="4288"/>
    </row>
    <row r="5170" spans="15:15">
      <c r="O5170" s="4288"/>
    </row>
    <row r="5171" spans="15:15">
      <c r="O5171" s="4288"/>
    </row>
    <row r="5172" spans="15:15">
      <c r="O5172" s="4288"/>
    </row>
    <row r="5173" spans="15:15">
      <c r="O5173" s="4288"/>
    </row>
    <row r="5174" spans="15:15">
      <c r="O5174" s="4288"/>
    </row>
    <row r="5175" spans="15:15">
      <c r="O5175" s="4288"/>
    </row>
    <row r="5176" spans="15:15">
      <c r="O5176" s="4288"/>
    </row>
    <row r="5177" spans="15:15">
      <c r="O5177" s="4288"/>
    </row>
    <row r="5178" spans="15:15">
      <c r="O5178" s="4288"/>
    </row>
    <row r="5179" spans="15:15">
      <c r="O5179" s="4288"/>
    </row>
    <row r="5180" spans="15:15">
      <c r="O5180" s="4288"/>
    </row>
    <row r="5181" spans="15:15">
      <c r="O5181" s="4288"/>
    </row>
    <row r="5182" spans="15:15">
      <c r="O5182" s="4288"/>
    </row>
    <row r="5183" spans="15:15">
      <c r="O5183" s="4288"/>
    </row>
    <row r="5184" spans="15:15">
      <c r="O5184" s="4288"/>
    </row>
    <row r="5185" spans="15:15">
      <c r="O5185" s="4288"/>
    </row>
    <row r="5186" spans="15:15">
      <c r="O5186" s="4288"/>
    </row>
    <row r="5187" spans="15:15">
      <c r="O5187" s="4288"/>
    </row>
    <row r="5188" spans="15:15">
      <c r="O5188" s="4288"/>
    </row>
    <row r="5189" spans="15:15">
      <c r="O5189" s="4288"/>
    </row>
    <row r="5190" spans="15:15">
      <c r="O5190" s="4288"/>
    </row>
    <row r="5191" spans="15:15">
      <c r="O5191" s="4288"/>
    </row>
    <row r="5192" spans="15:15">
      <c r="O5192" s="4288"/>
    </row>
    <row r="5193" spans="15:15">
      <c r="O5193" s="4288"/>
    </row>
    <row r="5194" spans="15:15">
      <c r="O5194" s="4288"/>
    </row>
    <row r="5195" spans="15:15">
      <c r="O5195" s="4288"/>
    </row>
    <row r="5196" spans="15:15">
      <c r="O5196" s="4288"/>
    </row>
    <row r="5197" spans="15:15">
      <c r="O5197" s="4288"/>
    </row>
    <row r="5198" spans="15:15">
      <c r="O5198" s="4288"/>
    </row>
    <row r="5199" spans="15:15">
      <c r="O5199" s="4288"/>
    </row>
    <row r="5200" spans="15:15">
      <c r="O5200" s="4288"/>
    </row>
    <row r="5201" spans="15:15">
      <c r="O5201" s="4288"/>
    </row>
    <row r="5202" spans="15:15">
      <c r="O5202" s="4288"/>
    </row>
    <row r="5203" spans="15:15">
      <c r="O5203" s="4288"/>
    </row>
    <row r="5204" spans="15:15">
      <c r="O5204" s="4288"/>
    </row>
    <row r="5205" spans="15:15">
      <c r="O5205" s="4288"/>
    </row>
    <row r="5206" spans="15:15">
      <c r="O5206" s="4288"/>
    </row>
    <row r="5207" spans="15:15">
      <c r="O5207" s="4288"/>
    </row>
    <row r="5208" spans="15:15">
      <c r="O5208" s="4288"/>
    </row>
    <row r="5209" spans="15:15">
      <c r="O5209" s="4288"/>
    </row>
    <row r="5210" spans="15:15">
      <c r="O5210" s="4288"/>
    </row>
    <row r="5211" spans="15:15">
      <c r="O5211" s="4288"/>
    </row>
    <row r="5212" spans="15:15">
      <c r="O5212" s="4288"/>
    </row>
    <row r="5213" spans="15:15">
      <c r="O5213" s="4288"/>
    </row>
    <row r="5214" spans="15:15">
      <c r="O5214" s="4288"/>
    </row>
    <row r="5215" spans="15:15">
      <c r="O5215" s="4288"/>
    </row>
    <row r="5216" spans="15:15">
      <c r="O5216" s="4288"/>
    </row>
    <row r="5217" spans="15:15">
      <c r="O5217" s="4288"/>
    </row>
    <row r="5218" spans="15:15">
      <c r="O5218" s="4288"/>
    </row>
    <row r="5219" spans="15:15">
      <c r="O5219" s="4288"/>
    </row>
    <row r="5220" spans="15:15">
      <c r="O5220" s="4288"/>
    </row>
    <row r="5221" spans="15:15">
      <c r="O5221" s="4288"/>
    </row>
    <row r="5222" spans="15:15">
      <c r="O5222" s="4288"/>
    </row>
    <row r="5223" spans="15:15">
      <c r="O5223" s="4288"/>
    </row>
    <row r="5224" spans="15:15">
      <c r="O5224" s="4288"/>
    </row>
    <row r="5225" spans="15:15">
      <c r="O5225" s="4288"/>
    </row>
    <row r="5226" spans="15:15">
      <c r="O5226" s="4288"/>
    </row>
    <row r="5227" spans="15:15">
      <c r="O5227" s="4288"/>
    </row>
    <row r="5228" spans="15:15">
      <c r="O5228" s="4288"/>
    </row>
    <row r="5229" spans="15:15">
      <c r="O5229" s="4288"/>
    </row>
    <row r="5230" spans="15:15">
      <c r="O5230" s="4288"/>
    </row>
    <row r="5231" spans="15:15">
      <c r="O5231" s="4288"/>
    </row>
    <row r="5232" spans="15:15">
      <c r="O5232" s="4288"/>
    </row>
    <row r="5233" spans="15:15">
      <c r="O5233" s="4288"/>
    </row>
    <row r="5234" spans="15:15">
      <c r="O5234" s="4288"/>
    </row>
    <row r="5235" spans="15:15">
      <c r="O5235" s="4288"/>
    </row>
    <row r="5236" spans="15:15">
      <c r="O5236" s="4288"/>
    </row>
    <row r="5237" spans="15:15">
      <c r="O5237" s="4288"/>
    </row>
    <row r="5238" spans="15:15">
      <c r="O5238" s="4288"/>
    </row>
    <row r="5239" spans="15:15">
      <c r="O5239" s="4288"/>
    </row>
    <row r="5240" spans="15:15">
      <c r="O5240" s="4288"/>
    </row>
    <row r="5241" spans="15:15">
      <c r="O5241" s="4288"/>
    </row>
    <row r="5242" spans="15:15">
      <c r="O5242" s="4288"/>
    </row>
    <row r="5243" spans="15:15">
      <c r="O5243" s="4288"/>
    </row>
    <row r="5244" spans="15:15">
      <c r="O5244" s="4288"/>
    </row>
    <row r="5245" spans="15:15">
      <c r="O5245" s="4288"/>
    </row>
    <row r="5246" spans="15:15">
      <c r="O5246" s="4288"/>
    </row>
    <row r="5247" spans="15:15">
      <c r="O5247" s="4288"/>
    </row>
    <row r="5248" spans="15:15">
      <c r="O5248" s="4288"/>
    </row>
    <row r="5249" spans="15:15">
      <c r="O5249" s="4288"/>
    </row>
    <row r="5250" spans="15:15">
      <c r="O5250" s="4288"/>
    </row>
    <row r="5251" spans="15:15">
      <c r="O5251" s="4288"/>
    </row>
    <row r="5252" spans="15:15">
      <c r="O5252" s="4288"/>
    </row>
    <row r="5253" spans="15:15">
      <c r="O5253" s="4288"/>
    </row>
    <row r="5254" spans="15:15">
      <c r="O5254" s="4288"/>
    </row>
    <row r="5255" spans="15:15">
      <c r="O5255" s="4288"/>
    </row>
    <row r="5256" spans="15:15">
      <c r="O5256" s="4288"/>
    </row>
    <row r="5257" spans="15:15">
      <c r="O5257" s="4288"/>
    </row>
    <row r="5258" spans="15:15">
      <c r="O5258" s="4288"/>
    </row>
    <row r="5259" spans="15:15">
      <c r="O5259" s="4288"/>
    </row>
    <row r="5260" spans="15:15">
      <c r="O5260" s="4288"/>
    </row>
    <row r="5261" spans="15:15">
      <c r="O5261" s="4288"/>
    </row>
    <row r="5262" spans="15:15">
      <c r="O5262" s="4288"/>
    </row>
    <row r="5263" spans="15:15">
      <c r="O5263" s="4288"/>
    </row>
    <row r="5264" spans="15:15">
      <c r="O5264" s="4288"/>
    </row>
    <row r="5265" spans="15:15">
      <c r="O5265" s="4288"/>
    </row>
    <row r="5266" spans="15:15">
      <c r="O5266" s="4288"/>
    </row>
    <row r="5267" spans="15:15">
      <c r="O5267" s="4288"/>
    </row>
    <row r="5268" spans="15:15">
      <c r="O5268" s="4288"/>
    </row>
    <row r="5269" spans="15:15">
      <c r="O5269" s="4288"/>
    </row>
    <row r="5270" spans="15:15">
      <c r="O5270" s="4288"/>
    </row>
    <row r="5271" spans="15:15">
      <c r="O5271" s="4288"/>
    </row>
    <row r="5272" spans="15:15">
      <c r="O5272" s="4288"/>
    </row>
    <row r="5273" spans="15:15">
      <c r="O5273" s="4288"/>
    </row>
    <row r="5274" spans="15:15">
      <c r="O5274" s="4288"/>
    </row>
    <row r="5275" spans="15:15">
      <c r="O5275" s="4288"/>
    </row>
    <row r="5276" spans="15:15">
      <c r="O5276" s="4288"/>
    </row>
    <row r="5277" spans="15:15">
      <c r="O5277" s="4288"/>
    </row>
    <row r="5278" spans="15:15">
      <c r="O5278" s="4288"/>
    </row>
    <row r="5279" spans="15:15">
      <c r="O5279" s="4288"/>
    </row>
    <row r="5280" spans="15:15">
      <c r="O5280" s="4288"/>
    </row>
    <row r="5281" spans="15:15">
      <c r="O5281" s="4288"/>
    </row>
    <row r="5282" spans="15:15">
      <c r="O5282" s="4288"/>
    </row>
    <row r="5283" spans="15:15">
      <c r="O5283" s="4288"/>
    </row>
    <row r="5284" spans="15:15">
      <c r="O5284" s="4288"/>
    </row>
    <row r="5285" spans="15:15">
      <c r="O5285" s="4288"/>
    </row>
    <row r="5286" spans="15:15">
      <c r="O5286" s="4288"/>
    </row>
    <row r="5287" spans="15:15">
      <c r="O5287" s="4288"/>
    </row>
    <row r="5288" spans="15:15">
      <c r="O5288" s="4288"/>
    </row>
    <row r="5289" spans="15:15">
      <c r="O5289" s="4288"/>
    </row>
    <row r="5290" spans="15:15">
      <c r="O5290" s="4288"/>
    </row>
    <row r="5291" spans="15:15">
      <c r="O5291" s="4288"/>
    </row>
    <row r="5292" spans="15:15">
      <c r="O5292" s="4288"/>
    </row>
    <row r="5293" spans="15:15">
      <c r="O5293" s="4288"/>
    </row>
    <row r="5294" spans="15:15">
      <c r="O5294" s="4288"/>
    </row>
    <row r="5295" spans="15:15">
      <c r="O5295" s="4288"/>
    </row>
    <row r="5296" spans="15:15">
      <c r="O5296" s="4288"/>
    </row>
    <row r="5297" spans="15:15">
      <c r="O5297" s="4288"/>
    </row>
    <row r="5298" spans="15:15">
      <c r="O5298" s="4288"/>
    </row>
    <row r="5299" spans="15:15">
      <c r="O5299" s="4288"/>
    </row>
    <row r="5300" spans="15:15">
      <c r="O5300" s="4288"/>
    </row>
    <row r="5301" spans="15:15">
      <c r="O5301" s="4288"/>
    </row>
    <row r="5302" spans="15:15">
      <c r="O5302" s="4288"/>
    </row>
    <row r="5303" spans="15:15">
      <c r="O5303" s="4288"/>
    </row>
    <row r="5304" spans="15:15">
      <c r="O5304" s="4288"/>
    </row>
    <row r="5305" spans="15:15">
      <c r="O5305" s="4288"/>
    </row>
    <row r="5306" spans="15:15">
      <c r="O5306" s="4288"/>
    </row>
    <row r="5307" spans="15:15">
      <c r="O5307" s="4288"/>
    </row>
    <row r="5308" spans="15:15">
      <c r="O5308" s="4288"/>
    </row>
    <row r="5309" spans="15:15">
      <c r="O5309" s="4288"/>
    </row>
    <row r="5310" spans="15:15">
      <c r="O5310" s="4288"/>
    </row>
    <row r="5311" spans="15:15">
      <c r="O5311" s="4288"/>
    </row>
    <row r="5312" spans="15:15">
      <c r="O5312" s="4288"/>
    </row>
    <row r="5313" spans="15:15">
      <c r="O5313" s="4288"/>
    </row>
    <row r="5314" spans="15:15">
      <c r="O5314" s="4288"/>
    </row>
    <row r="5315" spans="15:15">
      <c r="O5315" s="4288"/>
    </row>
    <row r="5316" spans="15:15">
      <c r="O5316" s="4288"/>
    </row>
    <row r="5317" spans="15:15">
      <c r="O5317" s="4288"/>
    </row>
    <row r="5318" spans="15:15">
      <c r="O5318" s="4288"/>
    </row>
    <row r="5319" spans="15:15">
      <c r="O5319" s="4288"/>
    </row>
    <row r="5320" spans="15:15">
      <c r="O5320" s="4288"/>
    </row>
    <row r="5321" spans="15:15">
      <c r="O5321" s="4288"/>
    </row>
    <row r="5322" spans="15:15">
      <c r="O5322" s="4288"/>
    </row>
    <row r="5323" spans="15:15">
      <c r="O5323" s="4288"/>
    </row>
    <row r="5324" spans="15:15">
      <c r="O5324" s="4288"/>
    </row>
    <row r="5325" spans="15:15">
      <c r="O5325" s="4288"/>
    </row>
    <row r="5326" spans="15:15">
      <c r="O5326" s="4288"/>
    </row>
    <row r="5327" spans="15:15">
      <c r="O5327" s="4288"/>
    </row>
    <row r="5328" spans="15:15">
      <c r="O5328" s="4288"/>
    </row>
    <row r="5329" spans="15:15">
      <c r="O5329" s="4288"/>
    </row>
    <row r="5330" spans="15:15">
      <c r="O5330" s="4288"/>
    </row>
    <row r="5331" spans="15:15">
      <c r="O5331" s="4288"/>
    </row>
    <row r="5332" spans="15:15">
      <c r="O5332" s="4288"/>
    </row>
    <row r="5333" spans="15:15">
      <c r="O5333" s="4288"/>
    </row>
    <row r="5334" spans="15:15">
      <c r="O5334" s="4288"/>
    </row>
    <row r="5335" spans="15:15">
      <c r="O5335" s="4288"/>
    </row>
    <row r="5336" spans="15:15">
      <c r="O5336" s="4288"/>
    </row>
    <row r="5337" spans="15:15">
      <c r="O5337" s="4288"/>
    </row>
    <row r="5338" spans="15:15">
      <c r="O5338" s="4288"/>
    </row>
    <row r="5339" spans="15:15">
      <c r="O5339" s="4288"/>
    </row>
    <row r="5340" spans="15:15">
      <c r="O5340" s="4288"/>
    </row>
    <row r="5341" spans="15:15">
      <c r="O5341" s="4288"/>
    </row>
    <row r="5342" spans="15:15">
      <c r="O5342" s="4288"/>
    </row>
    <row r="5343" spans="15:15">
      <c r="O5343" s="4288"/>
    </row>
    <row r="5344" spans="15:15">
      <c r="O5344" s="4288"/>
    </row>
    <row r="5345" spans="15:15">
      <c r="O5345" s="4288"/>
    </row>
    <row r="5346" spans="15:15">
      <c r="O5346" s="4288"/>
    </row>
    <row r="5347" spans="15:15">
      <c r="O5347" s="4288"/>
    </row>
    <row r="5348" spans="15:15">
      <c r="O5348" s="4288"/>
    </row>
    <row r="5349" spans="15:15">
      <c r="O5349" s="4288"/>
    </row>
    <row r="5350" spans="15:15">
      <c r="O5350" s="4288"/>
    </row>
    <row r="5351" spans="15:15">
      <c r="O5351" s="4288"/>
    </row>
    <row r="5352" spans="15:15">
      <c r="O5352" s="4288"/>
    </row>
    <row r="5353" spans="15:15">
      <c r="O5353" s="4288"/>
    </row>
    <row r="5354" spans="15:15">
      <c r="O5354" s="4288"/>
    </row>
    <row r="5355" spans="15:15">
      <c r="O5355" s="4288"/>
    </row>
    <row r="5356" spans="15:15">
      <c r="O5356" s="4288"/>
    </row>
    <row r="5357" spans="15:15">
      <c r="O5357" s="4288"/>
    </row>
    <row r="5358" spans="15:15">
      <c r="O5358" s="4288"/>
    </row>
    <row r="5359" spans="15:15">
      <c r="O5359" s="4288"/>
    </row>
    <row r="5360" spans="15:15">
      <c r="O5360" s="4288"/>
    </row>
    <row r="5361" spans="15:15">
      <c r="O5361" s="4288"/>
    </row>
    <row r="5362" spans="15:15">
      <c r="O5362" s="4288"/>
    </row>
    <row r="5363" spans="15:15">
      <c r="O5363" s="4288"/>
    </row>
    <row r="5364" spans="15:15">
      <c r="O5364" s="4288"/>
    </row>
    <row r="5365" spans="15:15">
      <c r="O5365" s="4288"/>
    </row>
    <row r="5366" spans="15:15">
      <c r="O5366" s="4288"/>
    </row>
    <row r="5367" spans="15:15">
      <c r="O5367" s="4288"/>
    </row>
    <row r="5368" spans="15:15">
      <c r="O5368" s="4288"/>
    </row>
    <row r="5369" spans="15:15">
      <c r="O5369" s="4288"/>
    </row>
    <row r="5370" spans="15:15">
      <c r="O5370" s="4288"/>
    </row>
    <row r="5371" spans="15:15">
      <c r="O5371" s="4288"/>
    </row>
    <row r="5372" spans="15:15">
      <c r="O5372" s="4288"/>
    </row>
    <row r="5373" spans="15:15">
      <c r="O5373" s="4288"/>
    </row>
    <row r="5374" spans="15:15">
      <c r="O5374" s="4288"/>
    </row>
    <row r="5375" spans="15:15">
      <c r="O5375" s="4288"/>
    </row>
    <row r="5376" spans="15:15">
      <c r="O5376" s="4288"/>
    </row>
    <row r="5377" spans="15:15">
      <c r="O5377" s="4288"/>
    </row>
    <row r="5378" spans="15:15">
      <c r="O5378" s="4288"/>
    </row>
    <row r="5379" spans="15:15">
      <c r="O5379" s="4288"/>
    </row>
    <row r="5380" spans="15:15">
      <c r="O5380" s="4288"/>
    </row>
    <row r="5381" spans="15:15">
      <c r="O5381" s="4288"/>
    </row>
    <row r="5382" spans="15:15">
      <c r="O5382" s="4288"/>
    </row>
    <row r="5383" spans="15:15">
      <c r="O5383" s="4288"/>
    </row>
    <row r="5384" spans="15:15">
      <c r="O5384" s="4288"/>
    </row>
    <row r="5385" spans="15:15">
      <c r="O5385" s="4288"/>
    </row>
    <row r="5386" spans="15:15">
      <c r="O5386" s="4288"/>
    </row>
    <row r="5387" spans="15:15">
      <c r="O5387" s="4288"/>
    </row>
    <row r="5388" spans="15:15">
      <c r="O5388" s="4288"/>
    </row>
    <row r="5389" spans="15:15">
      <c r="O5389" s="4288"/>
    </row>
    <row r="5390" spans="15:15">
      <c r="O5390" s="4288"/>
    </row>
    <row r="5391" spans="15:15">
      <c r="O5391" s="4288"/>
    </row>
    <row r="5392" spans="15:15">
      <c r="O5392" s="4288"/>
    </row>
    <row r="5393" spans="15:15">
      <c r="O5393" s="4288"/>
    </row>
    <row r="5394" spans="15:15">
      <c r="O5394" s="4288"/>
    </row>
    <row r="5395" spans="15:15">
      <c r="O5395" s="4288"/>
    </row>
    <row r="5396" spans="15:15">
      <c r="O5396" s="4288"/>
    </row>
    <row r="5397" spans="15:15">
      <c r="O5397" s="4288"/>
    </row>
    <row r="5398" spans="15:15">
      <c r="O5398" s="4288"/>
    </row>
    <row r="5399" spans="15:15">
      <c r="O5399" s="4288"/>
    </row>
    <row r="5400" spans="15:15">
      <c r="O5400" s="4288"/>
    </row>
    <row r="5401" spans="15:15">
      <c r="O5401" s="4288"/>
    </row>
    <row r="5402" spans="15:15">
      <c r="O5402" s="4288"/>
    </row>
    <row r="5403" spans="15:15">
      <c r="O5403" s="4288"/>
    </row>
    <row r="5404" spans="15:15">
      <c r="O5404" s="4288"/>
    </row>
    <row r="5405" spans="15:15">
      <c r="O5405" s="4288"/>
    </row>
    <row r="5406" spans="15:15">
      <c r="O5406" s="4288"/>
    </row>
    <row r="5407" spans="15:15">
      <c r="O5407" s="4288"/>
    </row>
    <row r="5408" spans="15:15">
      <c r="O5408" s="4288"/>
    </row>
    <row r="5409" spans="15:15">
      <c r="O5409" s="4288"/>
    </row>
    <row r="5410" spans="15:15">
      <c r="O5410" s="4288"/>
    </row>
    <row r="5411" spans="15:15">
      <c r="O5411" s="4288"/>
    </row>
    <row r="5412" spans="15:15">
      <c r="O5412" s="4288"/>
    </row>
    <row r="5413" spans="15:15">
      <c r="O5413" s="4288"/>
    </row>
    <row r="5414" spans="15:15">
      <c r="O5414" s="4288"/>
    </row>
    <row r="5415" spans="15:15">
      <c r="O5415" s="4288"/>
    </row>
    <row r="5416" spans="15:15">
      <c r="O5416" s="4288"/>
    </row>
    <row r="5417" spans="15:15">
      <c r="O5417" s="4288"/>
    </row>
    <row r="5418" spans="15:15">
      <c r="O5418" s="4288"/>
    </row>
    <row r="5419" spans="15:15">
      <c r="O5419" s="4288"/>
    </row>
    <row r="5420" spans="15:15">
      <c r="O5420" s="4288"/>
    </row>
    <row r="5421" spans="15:15">
      <c r="O5421" s="4288"/>
    </row>
    <row r="5422" spans="15:15">
      <c r="O5422" s="4288"/>
    </row>
    <row r="5423" spans="15:15">
      <c r="O5423" s="4288"/>
    </row>
    <row r="5424" spans="15:15">
      <c r="O5424" s="4288"/>
    </row>
    <row r="5425" spans="15:15">
      <c r="O5425" s="4288"/>
    </row>
    <row r="5426" spans="15:15">
      <c r="O5426" s="4288"/>
    </row>
    <row r="5427" spans="15:15">
      <c r="O5427" s="4288"/>
    </row>
    <row r="5428" spans="15:15">
      <c r="O5428" s="4288"/>
    </row>
    <row r="5429" spans="15:15">
      <c r="O5429" s="4288"/>
    </row>
    <row r="5430" spans="15:15">
      <c r="O5430" s="4288"/>
    </row>
    <row r="5431" spans="15:15">
      <c r="O5431" s="4288"/>
    </row>
    <row r="5432" spans="15:15">
      <c r="O5432" s="4288"/>
    </row>
    <row r="5433" spans="15:15">
      <c r="O5433" s="4288"/>
    </row>
    <row r="5434" spans="15:15">
      <c r="O5434" s="4288"/>
    </row>
    <row r="5435" spans="15:15">
      <c r="O5435" s="4288"/>
    </row>
    <row r="5436" spans="15:15">
      <c r="O5436" s="4288"/>
    </row>
    <row r="5437" spans="15:15">
      <c r="O5437" s="4288"/>
    </row>
    <row r="5438" spans="15:15">
      <c r="O5438" s="4288"/>
    </row>
    <row r="5439" spans="15:15">
      <c r="O5439" s="4288"/>
    </row>
    <row r="5440" spans="15:15">
      <c r="O5440" s="4288"/>
    </row>
    <row r="5441" spans="15:15">
      <c r="O5441" s="4288"/>
    </row>
    <row r="5442" spans="15:15">
      <c r="O5442" s="4288"/>
    </row>
    <row r="5443" spans="15:15">
      <c r="O5443" s="4288"/>
    </row>
    <row r="5444" spans="15:15">
      <c r="O5444" s="4288"/>
    </row>
    <row r="5445" spans="15:15">
      <c r="O5445" s="4288"/>
    </row>
    <row r="5446" spans="15:15">
      <c r="O5446" s="4288"/>
    </row>
    <row r="5447" spans="15:15">
      <c r="O5447" s="4288"/>
    </row>
    <row r="5448" spans="15:15">
      <c r="O5448" s="4288"/>
    </row>
    <row r="5449" spans="15:15">
      <c r="O5449" s="4288"/>
    </row>
    <row r="5450" spans="15:15">
      <c r="O5450" s="4288"/>
    </row>
    <row r="5451" spans="15:15">
      <c r="O5451" s="4288"/>
    </row>
    <row r="5452" spans="15:15">
      <c r="O5452" s="4288"/>
    </row>
    <row r="5453" spans="15:15">
      <c r="O5453" s="4288"/>
    </row>
    <row r="5454" spans="15:15">
      <c r="O5454" s="4288"/>
    </row>
    <row r="5455" spans="15:15">
      <c r="O5455" s="4288"/>
    </row>
    <row r="5456" spans="15:15">
      <c r="O5456" s="4288"/>
    </row>
    <row r="5457" spans="15:15">
      <c r="O5457" s="4288"/>
    </row>
    <row r="5458" spans="15:15">
      <c r="O5458" s="4288"/>
    </row>
    <row r="5459" spans="15:15">
      <c r="O5459" s="4288"/>
    </row>
    <row r="5460" spans="15:15">
      <c r="O5460" s="4288"/>
    </row>
    <row r="5461" spans="15:15">
      <c r="O5461" s="4288"/>
    </row>
    <row r="5462" spans="15:15">
      <c r="O5462" s="4288"/>
    </row>
    <row r="5463" spans="15:15">
      <c r="O5463" s="4288"/>
    </row>
    <row r="5464" spans="15:15">
      <c r="O5464" s="4288"/>
    </row>
    <row r="5465" spans="15:15">
      <c r="O5465" s="4288"/>
    </row>
    <row r="5466" spans="15:15">
      <c r="O5466" s="4288"/>
    </row>
    <row r="5467" spans="15:15">
      <c r="O5467" s="4288"/>
    </row>
    <row r="5468" spans="15:15">
      <c r="O5468" s="4288"/>
    </row>
    <row r="5469" spans="15:15">
      <c r="O5469" s="4288"/>
    </row>
    <row r="5470" spans="15:15">
      <c r="O5470" s="4288"/>
    </row>
    <row r="5471" spans="15:15">
      <c r="O5471" s="4288"/>
    </row>
    <row r="5472" spans="15:15">
      <c r="O5472" s="4288"/>
    </row>
    <row r="5473" spans="15:15">
      <c r="O5473" s="4288"/>
    </row>
    <row r="5474" spans="15:15">
      <c r="O5474" s="4288"/>
    </row>
    <row r="5475" spans="15:15">
      <c r="O5475" s="4288"/>
    </row>
    <row r="5476" spans="15:15">
      <c r="O5476" s="4288"/>
    </row>
    <row r="5477" spans="15:15">
      <c r="O5477" s="4288"/>
    </row>
    <row r="5478" spans="15:15">
      <c r="O5478" s="4288"/>
    </row>
    <row r="5479" spans="15:15">
      <c r="O5479" s="4288"/>
    </row>
    <row r="5480" spans="15:15">
      <c r="O5480" s="4288"/>
    </row>
    <row r="5481" spans="15:15">
      <c r="O5481" s="4288"/>
    </row>
    <row r="5482" spans="15:15">
      <c r="O5482" s="4288"/>
    </row>
    <row r="5483" spans="15:15">
      <c r="O5483" s="4288"/>
    </row>
    <row r="5484" spans="15:15">
      <c r="O5484" s="4288"/>
    </row>
    <row r="5485" spans="15:15">
      <c r="O5485" s="4288"/>
    </row>
    <row r="5486" spans="15:15">
      <c r="O5486" s="4288"/>
    </row>
    <row r="5487" spans="15:15">
      <c r="O5487" s="4288"/>
    </row>
    <row r="5488" spans="15:15">
      <c r="O5488" s="4288"/>
    </row>
    <row r="5489" spans="15:15">
      <c r="O5489" s="4288"/>
    </row>
    <row r="5490" spans="15:15">
      <c r="O5490" s="4288"/>
    </row>
    <row r="5491" spans="15:15">
      <c r="O5491" s="4288"/>
    </row>
    <row r="5492" spans="15:15">
      <c r="O5492" s="4288"/>
    </row>
    <row r="5493" spans="15:15">
      <c r="O5493" s="4288"/>
    </row>
    <row r="5494" spans="15:15">
      <c r="O5494" s="4288"/>
    </row>
    <row r="5495" spans="15:15">
      <c r="O5495" s="4288"/>
    </row>
    <row r="5496" spans="15:15">
      <c r="O5496" s="4288"/>
    </row>
    <row r="5497" spans="15:15">
      <c r="O5497" s="4288"/>
    </row>
    <row r="5498" spans="15:15">
      <c r="O5498" s="4288"/>
    </row>
    <row r="5499" spans="15:15">
      <c r="O5499" s="4288"/>
    </row>
    <row r="5500" spans="15:15">
      <c r="O5500" s="4288"/>
    </row>
    <row r="5501" spans="15:15">
      <c r="O5501" s="4288"/>
    </row>
    <row r="5502" spans="15:15">
      <c r="O5502" s="4288"/>
    </row>
    <row r="5503" spans="15:15">
      <c r="O5503" s="4288"/>
    </row>
    <row r="5504" spans="15:15">
      <c r="O5504" s="4288"/>
    </row>
    <row r="5505" spans="15:15">
      <c r="O5505" s="4288"/>
    </row>
    <row r="5506" spans="15:15">
      <c r="O5506" s="4288"/>
    </row>
    <row r="5507" spans="15:15">
      <c r="O5507" s="4288"/>
    </row>
    <row r="5508" spans="15:15">
      <c r="O5508" s="4288"/>
    </row>
    <row r="5509" spans="15:15">
      <c r="O5509" s="4288"/>
    </row>
    <row r="5510" spans="15:15">
      <c r="O5510" s="4288"/>
    </row>
    <row r="5511" spans="15:15">
      <c r="O5511" s="4288"/>
    </row>
    <row r="5512" spans="15:15">
      <c r="O5512" s="4288"/>
    </row>
    <row r="5513" spans="15:15">
      <c r="O5513" s="4288"/>
    </row>
    <row r="5514" spans="15:15">
      <c r="O5514" s="4288"/>
    </row>
    <row r="5515" spans="15:15">
      <c r="O5515" s="4288"/>
    </row>
    <row r="5516" spans="15:15">
      <c r="O5516" s="4288"/>
    </row>
    <row r="5517" spans="15:15">
      <c r="O5517" s="4288"/>
    </row>
    <row r="5518" spans="15:15">
      <c r="O5518" s="4288"/>
    </row>
    <row r="5519" spans="15:15">
      <c r="O5519" s="4288"/>
    </row>
    <row r="5520" spans="15:15">
      <c r="O5520" s="4288"/>
    </row>
    <row r="5521" spans="15:15">
      <c r="O5521" s="4288"/>
    </row>
    <row r="5522" spans="15:15">
      <c r="O5522" s="4288"/>
    </row>
    <row r="5523" spans="15:15">
      <c r="O5523" s="4288"/>
    </row>
    <row r="5524" spans="15:15">
      <c r="O5524" s="4288"/>
    </row>
    <row r="5525" spans="15:15">
      <c r="O5525" s="4288"/>
    </row>
    <row r="5526" spans="15:15">
      <c r="O5526" s="4288"/>
    </row>
    <row r="5527" spans="15:15">
      <c r="O5527" s="4288"/>
    </row>
    <row r="5528" spans="15:15">
      <c r="O5528" s="4288"/>
    </row>
    <row r="5529" spans="15:15">
      <c r="O5529" s="4288"/>
    </row>
    <row r="5530" spans="15:15">
      <c r="O5530" s="4288"/>
    </row>
    <row r="5531" spans="15:15">
      <c r="O5531" s="4288"/>
    </row>
    <row r="5532" spans="15:15">
      <c r="O5532" s="4288"/>
    </row>
    <row r="5533" spans="15:15">
      <c r="O5533" s="4288"/>
    </row>
    <row r="5534" spans="15:15">
      <c r="O5534" s="4288"/>
    </row>
    <row r="5535" spans="15:15">
      <c r="O5535" s="4288"/>
    </row>
    <row r="5536" spans="15:15">
      <c r="O5536" s="4288"/>
    </row>
    <row r="5537" spans="15:15">
      <c r="O5537" s="4288"/>
    </row>
    <row r="5538" spans="15:15">
      <c r="O5538" s="4288"/>
    </row>
    <row r="5539" spans="15:15">
      <c r="O5539" s="4288"/>
    </row>
    <row r="5540" spans="15:15">
      <c r="O5540" s="4288"/>
    </row>
    <row r="5541" spans="15:15">
      <c r="O5541" s="4288"/>
    </row>
    <row r="5542" spans="15:15">
      <c r="O5542" s="4288"/>
    </row>
    <row r="5543" spans="15:15">
      <c r="O5543" s="4288"/>
    </row>
    <row r="5544" spans="15:15">
      <c r="O5544" s="4288"/>
    </row>
    <row r="5545" spans="15:15">
      <c r="O5545" s="4288"/>
    </row>
    <row r="5546" spans="15:15">
      <c r="O5546" s="4288"/>
    </row>
    <row r="5547" spans="15:15">
      <c r="O5547" s="4288"/>
    </row>
    <row r="5548" spans="15:15">
      <c r="O5548" s="4288"/>
    </row>
    <row r="5549" spans="15:15">
      <c r="O5549" s="4288"/>
    </row>
    <row r="5550" spans="15:15">
      <c r="O5550" s="4288"/>
    </row>
    <row r="5551" spans="15:15">
      <c r="O5551" s="4288"/>
    </row>
    <row r="5552" spans="15:15">
      <c r="O5552" s="4288"/>
    </row>
    <row r="5553" spans="15:15">
      <c r="O5553" s="4288"/>
    </row>
    <row r="5554" spans="15:15">
      <c r="O5554" s="4288"/>
    </row>
    <row r="5555" spans="15:15">
      <c r="O5555" s="4288"/>
    </row>
    <row r="5556" spans="15:15">
      <c r="O5556" s="4288"/>
    </row>
    <row r="5557" spans="15:15">
      <c r="O5557" s="4288"/>
    </row>
    <row r="5558" spans="15:15">
      <c r="O5558" s="4288"/>
    </row>
    <row r="5559" spans="15:15">
      <c r="O5559" s="4288"/>
    </row>
    <row r="5560" spans="15:15">
      <c r="O5560" s="4288"/>
    </row>
    <row r="5561" spans="15:15">
      <c r="O5561" s="4288"/>
    </row>
    <row r="5562" spans="15:15">
      <c r="O5562" s="4288"/>
    </row>
    <row r="5563" spans="15:15">
      <c r="O5563" s="4288"/>
    </row>
    <row r="5564" spans="15:15">
      <c r="O5564" s="4288"/>
    </row>
    <row r="5565" spans="15:15">
      <c r="O5565" s="4288"/>
    </row>
    <row r="5566" spans="15:15">
      <c r="O5566" s="4288"/>
    </row>
    <row r="5567" spans="15:15">
      <c r="O5567" s="4288"/>
    </row>
    <row r="5568" spans="15:15">
      <c r="O5568" s="4288"/>
    </row>
    <row r="5569" spans="15:15">
      <c r="O5569" s="4288"/>
    </row>
    <row r="5570" spans="15:15">
      <c r="O5570" s="4288"/>
    </row>
    <row r="5571" spans="15:15">
      <c r="O5571" s="4288"/>
    </row>
    <row r="5572" spans="15:15">
      <c r="O5572" s="4288"/>
    </row>
    <row r="5573" spans="15:15">
      <c r="O5573" s="4288"/>
    </row>
    <row r="5574" spans="15:15">
      <c r="O5574" s="4288"/>
    </row>
    <row r="5575" spans="15:15">
      <c r="O5575" s="4288"/>
    </row>
    <row r="5576" spans="15:15">
      <c r="O5576" s="4288"/>
    </row>
    <row r="5577" spans="15:15">
      <c r="O5577" s="4288"/>
    </row>
    <row r="5578" spans="15:15">
      <c r="O5578" s="4288"/>
    </row>
    <row r="5579" spans="15:15">
      <c r="O5579" s="4288"/>
    </row>
    <row r="5580" spans="15:15">
      <c r="O5580" s="4288"/>
    </row>
    <row r="5581" spans="15:15">
      <c r="O5581" s="4288"/>
    </row>
    <row r="5582" spans="15:15">
      <c r="O5582" s="4288"/>
    </row>
    <row r="5583" spans="15:15">
      <c r="O5583" s="4288"/>
    </row>
    <row r="5584" spans="15:15">
      <c r="O5584" s="4288"/>
    </row>
    <row r="5585" spans="15:15">
      <c r="O5585" s="4288"/>
    </row>
    <row r="5586" spans="15:15">
      <c r="O5586" s="4288"/>
    </row>
    <row r="5587" spans="15:15">
      <c r="O5587" s="4288"/>
    </row>
    <row r="5588" spans="15:15">
      <c r="O5588" s="4288"/>
    </row>
    <row r="5589" spans="15:15">
      <c r="O5589" s="4288"/>
    </row>
    <row r="5590" spans="15:15">
      <c r="O5590" s="4288"/>
    </row>
    <row r="5591" spans="15:15">
      <c r="O5591" s="4288"/>
    </row>
    <row r="5592" spans="15:15">
      <c r="O5592" s="4288"/>
    </row>
    <row r="5593" spans="15:15">
      <c r="O5593" s="4288"/>
    </row>
    <row r="5594" spans="15:15">
      <c r="O5594" s="4288"/>
    </row>
    <row r="5595" spans="15:15">
      <c r="O5595" s="4288"/>
    </row>
    <row r="5596" spans="15:15">
      <c r="O5596" s="4288"/>
    </row>
    <row r="5597" spans="15:15">
      <c r="O5597" s="4288"/>
    </row>
    <row r="5598" spans="15:15">
      <c r="O5598" s="4288"/>
    </row>
    <row r="5599" spans="15:15">
      <c r="O5599" s="4288"/>
    </row>
    <row r="5600" spans="15:15">
      <c r="O5600" s="4288"/>
    </row>
    <row r="5601" spans="15:15">
      <c r="O5601" s="4288"/>
    </row>
    <row r="5602" spans="15:15">
      <c r="O5602" s="4288"/>
    </row>
    <row r="5603" spans="15:15">
      <c r="O5603" s="4288"/>
    </row>
    <row r="5604" spans="15:15">
      <c r="O5604" s="4288"/>
    </row>
    <row r="5605" spans="15:15">
      <c r="O5605" s="4288"/>
    </row>
    <row r="5606" spans="15:15">
      <c r="O5606" s="4288"/>
    </row>
    <row r="5607" spans="15:15">
      <c r="O5607" s="4288"/>
    </row>
    <row r="5608" spans="15:15">
      <c r="O5608" s="4288"/>
    </row>
    <row r="5609" spans="15:15">
      <c r="O5609" s="4288"/>
    </row>
    <row r="5610" spans="15:15">
      <c r="O5610" s="4288"/>
    </row>
    <row r="5611" spans="15:15">
      <c r="O5611" s="4288"/>
    </row>
    <row r="5612" spans="15:15">
      <c r="O5612" s="4288"/>
    </row>
    <row r="5613" spans="15:15">
      <c r="O5613" s="4288"/>
    </row>
    <row r="5614" spans="15:15">
      <c r="O5614" s="4288"/>
    </row>
    <row r="5615" spans="15:15">
      <c r="O5615" s="4288"/>
    </row>
    <row r="5616" spans="15:15">
      <c r="O5616" s="4288"/>
    </row>
    <row r="5617" spans="15:15">
      <c r="O5617" s="4288"/>
    </row>
    <row r="5618" spans="15:15">
      <c r="O5618" s="4288"/>
    </row>
    <row r="5619" spans="15:15">
      <c r="O5619" s="4288"/>
    </row>
    <row r="5620" spans="15:15">
      <c r="O5620" s="4288"/>
    </row>
    <row r="5621" spans="15:15">
      <c r="O5621" s="4288"/>
    </row>
    <row r="5622" spans="15:15">
      <c r="O5622" s="4288"/>
    </row>
    <row r="5623" spans="15:15">
      <c r="O5623" s="4288"/>
    </row>
    <row r="5624" spans="15:15">
      <c r="O5624" s="4288"/>
    </row>
    <row r="5625" spans="15:15">
      <c r="O5625" s="4288"/>
    </row>
    <row r="5626" spans="15:15">
      <c r="O5626" s="4288"/>
    </row>
    <row r="5627" spans="15:15">
      <c r="O5627" s="4288"/>
    </row>
    <row r="5628" spans="15:15">
      <c r="O5628" s="4288"/>
    </row>
    <row r="5629" spans="15:15">
      <c r="O5629" s="4288"/>
    </row>
    <row r="5630" spans="15:15">
      <c r="O5630" s="4288"/>
    </row>
    <row r="5631" spans="15:15">
      <c r="O5631" s="4288"/>
    </row>
    <row r="5632" spans="15:15">
      <c r="O5632" s="4288"/>
    </row>
    <row r="5633" spans="15:15">
      <c r="O5633" s="4288"/>
    </row>
    <row r="5634" spans="15:15">
      <c r="O5634" s="4288"/>
    </row>
    <row r="5635" spans="15:15">
      <c r="O5635" s="4288"/>
    </row>
    <row r="5636" spans="15:15">
      <c r="O5636" s="4288"/>
    </row>
    <row r="5637" spans="15:15">
      <c r="O5637" s="4288"/>
    </row>
    <row r="5638" spans="15:15">
      <c r="O5638" s="4288"/>
    </row>
    <row r="5639" spans="15:15">
      <c r="O5639" s="4288"/>
    </row>
    <row r="5640" spans="15:15">
      <c r="O5640" s="4288"/>
    </row>
    <row r="5641" spans="15:15">
      <c r="O5641" s="4288"/>
    </row>
    <row r="5642" spans="15:15">
      <c r="O5642" s="4288"/>
    </row>
    <row r="5643" spans="15:15">
      <c r="O5643" s="4288"/>
    </row>
    <row r="5644" spans="15:15">
      <c r="O5644" s="4288"/>
    </row>
    <row r="5645" spans="15:15">
      <c r="O5645" s="4288"/>
    </row>
    <row r="5646" spans="15:15">
      <c r="O5646" s="4288"/>
    </row>
    <row r="5647" spans="15:15">
      <c r="O5647" s="4288"/>
    </row>
    <row r="5648" spans="15:15">
      <c r="O5648" s="4288"/>
    </row>
    <row r="5649" spans="15:15">
      <c r="O5649" s="4288"/>
    </row>
    <row r="5650" spans="15:15">
      <c r="O5650" s="4288"/>
    </row>
    <row r="5651" spans="15:15">
      <c r="O5651" s="4288"/>
    </row>
    <row r="5652" spans="15:15">
      <c r="O5652" s="4288"/>
    </row>
    <row r="5653" spans="15:15">
      <c r="O5653" s="4288"/>
    </row>
    <row r="5654" spans="15:15">
      <c r="O5654" s="4288"/>
    </row>
    <row r="5655" spans="15:15">
      <c r="O5655" s="4288"/>
    </row>
    <row r="5656" spans="15:15">
      <c r="O5656" s="4288"/>
    </row>
    <row r="5657" spans="15:15">
      <c r="O5657" s="4288"/>
    </row>
    <row r="5658" spans="15:15">
      <c r="O5658" s="4288"/>
    </row>
    <row r="5659" spans="15:15">
      <c r="O5659" s="4288"/>
    </row>
    <row r="5660" spans="15:15">
      <c r="O5660" s="4288"/>
    </row>
    <row r="5661" spans="15:15">
      <c r="O5661" s="4288"/>
    </row>
    <row r="5662" spans="15:15">
      <c r="O5662" s="4288"/>
    </row>
    <row r="5663" spans="15:15">
      <c r="O5663" s="4288"/>
    </row>
    <row r="5664" spans="15:15">
      <c r="O5664" s="4288"/>
    </row>
    <row r="5665" spans="15:15">
      <c r="O5665" s="4288"/>
    </row>
    <row r="5666" spans="15:15">
      <c r="O5666" s="4288"/>
    </row>
    <row r="5667" spans="15:15">
      <c r="O5667" s="4288"/>
    </row>
    <row r="5668" spans="15:15">
      <c r="O5668" s="4288"/>
    </row>
    <row r="5669" spans="15:15">
      <c r="O5669" s="4288"/>
    </row>
    <row r="5670" spans="15:15">
      <c r="O5670" s="4288"/>
    </row>
    <row r="5671" spans="15:15">
      <c r="O5671" s="4288"/>
    </row>
    <row r="5672" spans="15:15">
      <c r="O5672" s="4288"/>
    </row>
    <row r="5673" spans="15:15">
      <c r="O5673" s="4288"/>
    </row>
    <row r="5674" spans="15:15">
      <c r="O5674" s="4288"/>
    </row>
    <row r="5675" spans="15:15">
      <c r="O5675" s="4288"/>
    </row>
    <row r="5676" spans="15:15">
      <c r="O5676" s="4288"/>
    </row>
    <row r="5677" spans="15:15">
      <c r="O5677" s="4288"/>
    </row>
    <row r="5678" spans="15:15">
      <c r="O5678" s="4288"/>
    </row>
    <row r="5679" spans="15:15">
      <c r="O5679" s="4288"/>
    </row>
    <row r="5680" spans="15:15">
      <c r="O5680" s="4288"/>
    </row>
    <row r="5681" spans="15:15">
      <c r="O5681" s="4288"/>
    </row>
    <row r="5682" spans="15:15">
      <c r="O5682" s="4288"/>
    </row>
    <row r="5683" spans="15:15">
      <c r="O5683" s="4288"/>
    </row>
    <row r="5684" spans="15:15">
      <c r="O5684" s="4288"/>
    </row>
    <row r="5685" spans="15:15">
      <c r="O5685" s="4288"/>
    </row>
    <row r="5686" spans="15:15">
      <c r="O5686" s="4288"/>
    </row>
    <row r="5687" spans="15:15">
      <c r="O5687" s="4288"/>
    </row>
    <row r="5688" spans="15:15">
      <c r="O5688" s="4288"/>
    </row>
    <row r="5689" spans="15:15">
      <c r="O5689" s="4288"/>
    </row>
    <row r="5690" spans="15:15">
      <c r="O5690" s="4288"/>
    </row>
    <row r="5691" spans="15:15">
      <c r="O5691" s="4288"/>
    </row>
    <row r="5692" spans="15:15">
      <c r="O5692" s="4288"/>
    </row>
    <row r="5693" spans="15:15">
      <c r="O5693" s="4288"/>
    </row>
    <row r="5694" spans="15:15">
      <c r="O5694" s="4288"/>
    </row>
    <row r="5695" spans="15:15">
      <c r="O5695" s="4288"/>
    </row>
    <row r="5696" spans="15:15">
      <c r="O5696" s="4288"/>
    </row>
    <row r="5697" spans="15:15">
      <c r="O5697" s="4288"/>
    </row>
    <row r="5698" spans="15:15">
      <c r="O5698" s="4288"/>
    </row>
    <row r="5699" spans="15:15">
      <c r="O5699" s="4288"/>
    </row>
    <row r="5700" spans="15:15">
      <c r="O5700" s="4288"/>
    </row>
    <row r="5701" spans="15:15">
      <c r="O5701" s="4288"/>
    </row>
    <row r="5702" spans="15:15">
      <c r="O5702" s="4288"/>
    </row>
    <row r="5703" spans="15:15">
      <c r="O5703" s="4288"/>
    </row>
    <row r="5704" spans="15:15">
      <c r="O5704" s="4288"/>
    </row>
    <row r="5705" spans="15:15">
      <c r="O5705" s="4288"/>
    </row>
    <row r="5706" spans="15:15">
      <c r="O5706" s="4288"/>
    </row>
    <row r="5707" spans="15:15">
      <c r="O5707" s="4288"/>
    </row>
    <row r="5708" spans="15:15">
      <c r="O5708" s="4288"/>
    </row>
    <row r="5709" spans="15:15">
      <c r="O5709" s="4288"/>
    </row>
    <row r="5710" spans="15:15">
      <c r="O5710" s="4288"/>
    </row>
    <row r="5711" spans="15:15">
      <c r="O5711" s="4288"/>
    </row>
    <row r="5712" spans="15:15">
      <c r="O5712" s="4288"/>
    </row>
    <row r="5713" spans="15:15">
      <c r="O5713" s="4288"/>
    </row>
    <row r="5714" spans="15:15">
      <c r="O5714" s="4288"/>
    </row>
    <row r="5715" spans="15:15">
      <c r="O5715" s="4288"/>
    </row>
    <row r="5716" spans="15:15">
      <c r="O5716" s="4288"/>
    </row>
    <row r="5717" spans="15:15">
      <c r="O5717" s="4288"/>
    </row>
    <row r="5718" spans="15:15">
      <c r="O5718" s="4288"/>
    </row>
    <row r="5719" spans="15:15">
      <c r="O5719" s="4288"/>
    </row>
    <row r="5720" spans="15:15">
      <c r="O5720" s="4288"/>
    </row>
    <row r="5721" spans="15:15">
      <c r="O5721" s="4288"/>
    </row>
    <row r="5722" spans="15:15">
      <c r="O5722" s="4288"/>
    </row>
    <row r="5723" spans="15:15">
      <c r="O5723" s="4288"/>
    </row>
    <row r="5724" spans="15:15">
      <c r="O5724" s="4288"/>
    </row>
    <row r="5725" spans="15:15">
      <c r="O5725" s="4288"/>
    </row>
    <row r="5726" spans="15:15">
      <c r="O5726" s="4288"/>
    </row>
    <row r="5727" spans="15:15">
      <c r="O5727" s="4288"/>
    </row>
    <row r="5728" spans="15:15">
      <c r="O5728" s="4288"/>
    </row>
    <row r="5729" spans="15:15">
      <c r="O5729" s="4288"/>
    </row>
    <row r="5730" spans="15:15">
      <c r="O5730" s="4288"/>
    </row>
    <row r="5731" spans="15:15">
      <c r="O5731" s="4288"/>
    </row>
    <row r="5732" spans="15:15">
      <c r="O5732" s="4288"/>
    </row>
    <row r="5733" spans="15:15">
      <c r="O5733" s="4288"/>
    </row>
    <row r="5734" spans="15:15">
      <c r="O5734" s="4288"/>
    </row>
    <row r="5735" spans="15:15">
      <c r="O5735" s="4288"/>
    </row>
    <row r="5736" spans="15:15">
      <c r="O5736" s="4288"/>
    </row>
    <row r="5737" spans="15:15">
      <c r="O5737" s="4288"/>
    </row>
    <row r="5738" spans="15:15">
      <c r="O5738" s="4288"/>
    </row>
    <row r="5739" spans="15:15">
      <c r="O5739" s="4288"/>
    </row>
    <row r="5740" spans="15:15">
      <c r="O5740" s="4288"/>
    </row>
    <row r="5741" spans="15:15">
      <c r="O5741" s="4288"/>
    </row>
    <row r="5742" spans="15:15">
      <c r="O5742" s="4288"/>
    </row>
    <row r="5743" spans="15:15">
      <c r="O5743" s="4288"/>
    </row>
    <row r="5744" spans="15:15">
      <c r="O5744" s="4288"/>
    </row>
    <row r="5745" spans="15:15">
      <c r="O5745" s="4288"/>
    </row>
    <row r="5746" spans="15:15">
      <c r="O5746" s="4288"/>
    </row>
    <row r="5747" spans="15:15">
      <c r="O5747" s="4288"/>
    </row>
    <row r="5748" spans="15:15">
      <c r="O5748" s="4288"/>
    </row>
    <row r="5749" spans="15:15">
      <c r="O5749" s="4288"/>
    </row>
    <row r="5750" spans="15:15">
      <c r="O5750" s="4288"/>
    </row>
    <row r="5751" spans="15:15">
      <c r="O5751" s="4288"/>
    </row>
    <row r="5752" spans="15:15">
      <c r="O5752" s="4288"/>
    </row>
    <row r="5753" spans="15:15">
      <c r="O5753" s="4288"/>
    </row>
    <row r="5754" spans="15:15">
      <c r="O5754" s="4288"/>
    </row>
    <row r="5755" spans="15:15">
      <c r="O5755" s="4288"/>
    </row>
    <row r="5756" spans="15:15">
      <c r="O5756" s="4288"/>
    </row>
    <row r="5757" spans="15:15">
      <c r="O5757" s="4288"/>
    </row>
    <row r="5758" spans="15:15">
      <c r="O5758" s="4288"/>
    </row>
    <row r="5759" spans="15:15">
      <c r="O5759" s="4288"/>
    </row>
    <row r="5760" spans="15:15">
      <c r="O5760" s="4288"/>
    </row>
    <row r="5761" spans="15:15">
      <c r="O5761" s="4288"/>
    </row>
    <row r="5762" spans="15:15">
      <c r="O5762" s="4288"/>
    </row>
    <row r="5763" spans="15:15">
      <c r="O5763" s="4288"/>
    </row>
    <row r="5764" spans="15:15">
      <c r="O5764" s="4288"/>
    </row>
    <row r="5765" spans="15:15">
      <c r="O5765" s="4288"/>
    </row>
    <row r="5766" spans="15:15">
      <c r="O5766" s="4288"/>
    </row>
    <row r="5767" spans="15:15">
      <c r="O5767" s="4288"/>
    </row>
    <row r="5768" spans="15:15">
      <c r="O5768" s="4288"/>
    </row>
    <row r="5769" spans="15:15">
      <c r="O5769" s="4288"/>
    </row>
    <row r="5770" spans="15:15">
      <c r="O5770" s="4288"/>
    </row>
    <row r="5771" spans="15:15">
      <c r="O5771" s="4288"/>
    </row>
    <row r="5772" spans="15:15">
      <c r="O5772" s="4288"/>
    </row>
    <row r="5773" spans="15:15">
      <c r="O5773" s="4288"/>
    </row>
    <row r="5774" spans="15:15">
      <c r="O5774" s="4288"/>
    </row>
    <row r="5775" spans="15:15">
      <c r="O5775" s="4288"/>
    </row>
    <row r="5776" spans="15:15">
      <c r="O5776" s="4288"/>
    </row>
    <row r="5777" spans="15:15">
      <c r="O5777" s="4288"/>
    </row>
    <row r="5778" spans="15:15">
      <c r="O5778" s="4288"/>
    </row>
    <row r="5779" spans="15:15">
      <c r="O5779" s="4288"/>
    </row>
    <row r="5780" spans="15:15">
      <c r="O5780" s="4288"/>
    </row>
    <row r="5781" spans="15:15">
      <c r="O5781" s="4288"/>
    </row>
    <row r="5782" spans="15:15">
      <c r="O5782" s="4288"/>
    </row>
    <row r="5783" spans="15:15">
      <c r="O5783" s="4288"/>
    </row>
    <row r="5784" spans="15:15">
      <c r="O5784" s="4288"/>
    </row>
    <row r="5785" spans="15:15">
      <c r="O5785" s="4288"/>
    </row>
    <row r="5786" spans="15:15">
      <c r="O5786" s="4288"/>
    </row>
    <row r="5787" spans="15:15">
      <c r="O5787" s="4288"/>
    </row>
    <row r="5788" spans="15:15">
      <c r="O5788" s="4288"/>
    </row>
    <row r="5789" spans="15:15">
      <c r="O5789" s="4288"/>
    </row>
    <row r="5790" spans="15:15">
      <c r="O5790" s="4288"/>
    </row>
    <row r="5791" spans="15:15">
      <c r="O5791" s="4288"/>
    </row>
    <row r="5792" spans="15:15">
      <c r="O5792" s="4288"/>
    </row>
    <row r="5793" spans="15:15">
      <c r="O5793" s="4288"/>
    </row>
    <row r="5794" spans="15:15">
      <c r="O5794" s="4288"/>
    </row>
    <row r="5795" spans="15:15">
      <c r="O5795" s="4288"/>
    </row>
    <row r="5796" spans="15:15">
      <c r="O5796" s="4288"/>
    </row>
    <row r="5797" spans="15:15">
      <c r="O5797" s="4288"/>
    </row>
    <row r="5798" spans="15:15">
      <c r="O5798" s="4288"/>
    </row>
    <row r="5799" spans="15:15">
      <c r="O5799" s="4288"/>
    </row>
    <row r="5800" spans="15:15">
      <c r="O5800" s="4288"/>
    </row>
    <row r="5801" spans="15:15">
      <c r="O5801" s="4288"/>
    </row>
    <row r="5802" spans="15:15">
      <c r="O5802" s="4288"/>
    </row>
    <row r="5803" spans="15:15">
      <c r="O5803" s="4288"/>
    </row>
    <row r="5804" spans="15:15">
      <c r="O5804" s="4288"/>
    </row>
    <row r="5805" spans="15:15">
      <c r="O5805" s="4288"/>
    </row>
    <row r="5806" spans="15:15">
      <c r="O5806" s="4288"/>
    </row>
    <row r="5807" spans="15:15">
      <c r="O5807" s="4288"/>
    </row>
    <row r="5808" spans="15:15">
      <c r="O5808" s="4288"/>
    </row>
    <row r="5809" spans="15:15">
      <c r="O5809" s="4288"/>
    </row>
    <row r="5810" spans="15:15">
      <c r="O5810" s="4288"/>
    </row>
    <row r="5811" spans="15:15">
      <c r="O5811" s="4288"/>
    </row>
    <row r="5812" spans="15:15">
      <c r="O5812" s="4288"/>
    </row>
    <row r="5813" spans="15:15">
      <c r="O5813" s="4288"/>
    </row>
    <row r="5814" spans="15:15">
      <c r="O5814" s="4288"/>
    </row>
    <row r="5815" spans="15:15">
      <c r="O5815" s="4288"/>
    </row>
    <row r="5816" spans="15:15">
      <c r="O5816" s="4288"/>
    </row>
    <row r="5817" spans="15:15">
      <c r="O5817" s="4288"/>
    </row>
    <row r="5818" spans="15:15">
      <c r="O5818" s="4288"/>
    </row>
    <row r="5819" spans="15:15">
      <c r="O5819" s="4288"/>
    </row>
    <row r="5820" spans="15:15">
      <c r="O5820" s="4288"/>
    </row>
    <row r="5821" spans="15:15">
      <c r="O5821" s="4288"/>
    </row>
    <row r="5822" spans="15:15">
      <c r="O5822" s="4288"/>
    </row>
    <row r="5823" spans="15:15">
      <c r="O5823" s="4288"/>
    </row>
    <row r="5824" spans="15:15">
      <c r="O5824" s="4288"/>
    </row>
    <row r="5825" spans="15:15">
      <c r="O5825" s="4288"/>
    </row>
    <row r="5826" spans="15:15">
      <c r="O5826" s="4288"/>
    </row>
    <row r="5827" spans="15:15">
      <c r="O5827" s="4288"/>
    </row>
    <row r="5828" spans="15:15">
      <c r="O5828" s="4288"/>
    </row>
    <row r="5829" spans="15:15">
      <c r="O5829" s="4288"/>
    </row>
    <row r="5830" spans="15:15">
      <c r="O5830" s="4288"/>
    </row>
    <row r="5831" spans="15:15">
      <c r="O5831" s="4288"/>
    </row>
    <row r="5832" spans="15:15">
      <c r="O5832" s="4288"/>
    </row>
    <row r="5833" spans="15:15">
      <c r="O5833" s="4288"/>
    </row>
    <row r="5834" spans="15:15">
      <c r="O5834" s="4288"/>
    </row>
    <row r="5835" spans="15:15">
      <c r="O5835" s="4288"/>
    </row>
    <row r="5836" spans="15:15">
      <c r="O5836" s="4288"/>
    </row>
    <row r="5837" spans="15:15">
      <c r="O5837" s="4288"/>
    </row>
    <row r="5838" spans="15:15">
      <c r="O5838" s="4288"/>
    </row>
    <row r="5839" spans="15:15">
      <c r="O5839" s="4288"/>
    </row>
    <row r="5840" spans="15:15">
      <c r="O5840" s="4288"/>
    </row>
    <row r="5841" spans="15:15">
      <c r="O5841" s="4288"/>
    </row>
    <row r="5842" spans="15:15">
      <c r="O5842" s="4288"/>
    </row>
    <row r="5843" spans="15:15">
      <c r="O5843" s="4288"/>
    </row>
    <row r="5844" spans="15:15">
      <c r="O5844" s="4288"/>
    </row>
    <row r="5845" spans="15:15">
      <c r="O5845" s="4288"/>
    </row>
    <row r="5846" spans="15:15">
      <c r="O5846" s="4288"/>
    </row>
    <row r="5847" spans="15:15">
      <c r="O5847" s="4288"/>
    </row>
    <row r="5848" spans="15:15">
      <c r="O5848" s="4288"/>
    </row>
    <row r="5849" spans="15:15">
      <c r="O5849" s="4288"/>
    </row>
    <row r="5850" spans="15:15">
      <c r="O5850" s="4288"/>
    </row>
    <row r="5851" spans="15:15">
      <c r="O5851" s="4288"/>
    </row>
    <row r="5852" spans="15:15">
      <c r="O5852" s="4288"/>
    </row>
    <row r="5853" spans="15:15">
      <c r="O5853" s="4288"/>
    </row>
    <row r="5854" spans="15:15">
      <c r="O5854" s="4288"/>
    </row>
    <row r="5855" spans="15:15">
      <c r="O5855" s="4288"/>
    </row>
    <row r="5856" spans="15:15">
      <c r="O5856" s="4288"/>
    </row>
    <row r="5857" spans="15:15">
      <c r="O5857" s="4288"/>
    </row>
    <row r="5858" spans="15:15">
      <c r="O5858" s="4288"/>
    </row>
    <row r="5859" spans="15:15">
      <c r="O5859" s="4288"/>
    </row>
    <row r="5860" spans="15:15">
      <c r="O5860" s="4288"/>
    </row>
    <row r="5861" spans="15:15">
      <c r="O5861" s="4288"/>
    </row>
    <row r="5862" spans="15:15">
      <c r="O5862" s="4288"/>
    </row>
    <row r="5863" spans="15:15">
      <c r="O5863" s="4288"/>
    </row>
    <row r="5864" spans="15:15">
      <c r="O5864" s="4288"/>
    </row>
    <row r="5865" spans="15:15">
      <c r="O5865" s="4288"/>
    </row>
    <row r="5866" spans="15:15">
      <c r="O5866" s="4288"/>
    </row>
    <row r="5867" spans="15:15">
      <c r="O5867" s="4288"/>
    </row>
    <row r="5868" spans="15:15">
      <c r="O5868" s="4288"/>
    </row>
    <row r="5869" spans="15:15">
      <c r="O5869" s="4288"/>
    </row>
    <row r="5870" spans="15:15">
      <c r="O5870" s="4288"/>
    </row>
    <row r="5871" spans="15:15">
      <c r="O5871" s="4288"/>
    </row>
    <row r="5872" spans="15:15">
      <c r="O5872" s="4288"/>
    </row>
    <row r="5873" spans="15:15">
      <c r="O5873" s="4288"/>
    </row>
    <row r="5874" spans="15:15">
      <c r="O5874" s="4288"/>
    </row>
    <row r="5875" spans="15:15">
      <c r="O5875" s="4288"/>
    </row>
    <row r="5876" spans="15:15">
      <c r="O5876" s="4288"/>
    </row>
    <row r="5877" spans="15:15">
      <c r="O5877" s="4288"/>
    </row>
    <row r="5878" spans="15:15">
      <c r="O5878" s="4288"/>
    </row>
    <row r="5879" spans="15:15">
      <c r="O5879" s="4288"/>
    </row>
    <row r="5880" spans="15:15">
      <c r="O5880" s="4288"/>
    </row>
    <row r="5881" spans="15:15">
      <c r="O5881" s="4288"/>
    </row>
    <row r="5882" spans="15:15">
      <c r="O5882" s="4288"/>
    </row>
    <row r="5883" spans="15:15">
      <c r="O5883" s="4288"/>
    </row>
    <row r="5884" spans="15:15">
      <c r="O5884" s="4288"/>
    </row>
    <row r="5885" spans="15:15">
      <c r="O5885" s="4288"/>
    </row>
    <row r="5886" spans="15:15">
      <c r="O5886" s="4288"/>
    </row>
    <row r="5887" spans="15:15">
      <c r="O5887" s="4288"/>
    </row>
    <row r="5888" spans="15:15">
      <c r="O5888" s="4288"/>
    </row>
    <row r="5889" spans="15:15">
      <c r="O5889" s="4288"/>
    </row>
    <row r="5890" spans="15:15">
      <c r="O5890" s="4288"/>
    </row>
    <row r="5891" spans="15:15">
      <c r="O5891" s="4288"/>
    </row>
    <row r="5892" spans="15:15">
      <c r="O5892" s="4288"/>
    </row>
    <row r="5893" spans="15:15">
      <c r="O5893" s="4288"/>
    </row>
    <row r="5894" spans="15:15">
      <c r="O5894" s="4288"/>
    </row>
    <row r="5895" spans="15:15">
      <c r="O5895" s="4288"/>
    </row>
    <row r="5896" spans="15:15">
      <c r="O5896" s="4288"/>
    </row>
    <row r="5897" spans="15:15">
      <c r="O5897" s="4288"/>
    </row>
    <row r="5898" spans="15:15">
      <c r="O5898" s="4288"/>
    </row>
    <row r="5899" spans="15:15">
      <c r="O5899" s="4288"/>
    </row>
    <row r="5900" spans="15:15">
      <c r="O5900" s="4288"/>
    </row>
    <row r="5901" spans="15:15">
      <c r="O5901" s="4288"/>
    </row>
    <row r="5902" spans="15:15">
      <c r="O5902" s="4288"/>
    </row>
    <row r="5903" spans="15:15">
      <c r="O5903" s="4288"/>
    </row>
    <row r="5904" spans="15:15">
      <c r="O5904" s="4288"/>
    </row>
    <row r="5905" spans="15:15">
      <c r="O5905" s="4288"/>
    </row>
    <row r="5906" spans="15:15">
      <c r="O5906" s="4288"/>
    </row>
    <row r="5907" spans="15:15">
      <c r="O5907" s="4288"/>
    </row>
    <row r="5908" spans="15:15">
      <c r="O5908" s="4288"/>
    </row>
    <row r="5909" spans="15:15">
      <c r="O5909" s="4288"/>
    </row>
    <row r="5910" spans="15:15">
      <c r="O5910" s="4288"/>
    </row>
    <row r="5911" spans="15:15">
      <c r="O5911" s="4288"/>
    </row>
    <row r="5912" spans="15:15">
      <c r="O5912" s="4288"/>
    </row>
    <row r="5913" spans="15:15">
      <c r="O5913" s="4288"/>
    </row>
    <row r="5914" spans="15:15">
      <c r="O5914" s="4288"/>
    </row>
    <row r="5915" spans="15:15">
      <c r="O5915" s="4288"/>
    </row>
    <row r="5916" spans="15:15">
      <c r="O5916" s="4288"/>
    </row>
    <row r="5917" spans="15:15">
      <c r="O5917" s="4288"/>
    </row>
    <row r="5918" spans="15:15">
      <c r="O5918" s="4288"/>
    </row>
    <row r="5919" spans="15:15">
      <c r="O5919" s="4288"/>
    </row>
    <row r="5920" spans="15:15">
      <c r="O5920" s="4288"/>
    </row>
    <row r="5921" spans="15:15">
      <c r="O5921" s="4288"/>
    </row>
    <row r="5922" spans="15:15">
      <c r="O5922" s="4288"/>
    </row>
    <row r="5923" spans="15:15">
      <c r="O5923" s="4288"/>
    </row>
    <row r="5924" spans="15:15">
      <c r="O5924" s="4288"/>
    </row>
    <row r="5925" spans="15:15">
      <c r="O5925" s="4288"/>
    </row>
    <row r="5926" spans="15:15">
      <c r="O5926" s="4288"/>
    </row>
    <row r="5927" spans="15:15">
      <c r="O5927" s="4288"/>
    </row>
    <row r="5928" spans="15:15">
      <c r="O5928" s="4288"/>
    </row>
    <row r="5929" spans="15:15">
      <c r="O5929" s="4288"/>
    </row>
    <row r="5930" spans="15:15">
      <c r="O5930" s="4288"/>
    </row>
    <row r="5931" spans="15:15">
      <c r="O5931" s="4288"/>
    </row>
    <row r="5932" spans="15:15">
      <c r="O5932" s="4288"/>
    </row>
    <row r="5933" spans="15:15">
      <c r="O5933" s="4288"/>
    </row>
    <row r="5934" spans="15:15">
      <c r="O5934" s="4288"/>
    </row>
    <row r="5935" spans="15:15">
      <c r="O5935" s="4288"/>
    </row>
    <row r="5936" spans="15:15">
      <c r="O5936" s="4288"/>
    </row>
    <row r="5937" spans="15:15">
      <c r="O5937" s="4288"/>
    </row>
    <row r="5938" spans="15:15">
      <c r="O5938" s="4288"/>
    </row>
    <row r="5939" spans="15:15">
      <c r="O5939" s="4288"/>
    </row>
    <row r="5940" spans="15:15">
      <c r="O5940" s="4288"/>
    </row>
    <row r="5941" spans="15:15">
      <c r="O5941" s="4288"/>
    </row>
    <row r="5942" spans="15:15">
      <c r="O5942" s="4288"/>
    </row>
    <row r="5943" spans="15:15">
      <c r="O5943" s="4288"/>
    </row>
    <row r="5944" spans="15:15">
      <c r="O5944" s="4288"/>
    </row>
    <row r="5945" spans="15:15">
      <c r="O5945" s="4288"/>
    </row>
    <row r="5946" spans="15:15">
      <c r="O5946" s="4288"/>
    </row>
    <row r="5947" spans="15:15">
      <c r="O5947" s="4288"/>
    </row>
    <row r="5948" spans="15:15">
      <c r="O5948" s="4288"/>
    </row>
    <row r="5949" spans="15:15">
      <c r="O5949" s="4288"/>
    </row>
    <row r="5950" spans="15:15">
      <c r="O5950" s="4288"/>
    </row>
    <row r="5951" spans="15:15">
      <c r="O5951" s="4288"/>
    </row>
    <row r="5952" spans="15:15">
      <c r="O5952" s="4288"/>
    </row>
    <row r="5953" spans="15:15">
      <c r="O5953" s="4288"/>
    </row>
    <row r="5954" spans="15:15">
      <c r="O5954" s="4288"/>
    </row>
    <row r="5955" spans="15:15">
      <c r="O5955" s="4288"/>
    </row>
    <row r="5956" spans="15:15">
      <c r="O5956" s="4288"/>
    </row>
    <row r="5957" spans="15:15">
      <c r="O5957" s="4288"/>
    </row>
    <row r="5958" spans="15:15">
      <c r="O5958" s="4288"/>
    </row>
    <row r="5959" spans="15:15">
      <c r="O5959" s="4288"/>
    </row>
    <row r="5960" spans="15:15">
      <c r="O5960" s="4288"/>
    </row>
    <row r="5961" spans="15:15">
      <c r="O5961" s="4288"/>
    </row>
    <row r="5962" spans="15:15">
      <c r="O5962" s="4288"/>
    </row>
    <row r="5963" spans="15:15">
      <c r="O5963" s="4288"/>
    </row>
    <row r="5964" spans="15:15">
      <c r="O5964" s="4288"/>
    </row>
    <row r="5965" spans="15:15">
      <c r="O5965" s="4288"/>
    </row>
    <row r="5966" spans="15:15">
      <c r="O5966" s="4288"/>
    </row>
    <row r="5967" spans="15:15">
      <c r="O5967" s="4288"/>
    </row>
    <row r="5968" spans="15:15">
      <c r="O5968" s="4288"/>
    </row>
    <row r="5969" spans="15:15">
      <c r="O5969" s="4288"/>
    </row>
    <row r="5970" spans="15:15">
      <c r="O5970" s="4288"/>
    </row>
    <row r="5971" spans="15:15">
      <c r="O5971" s="4288"/>
    </row>
    <row r="5972" spans="15:15">
      <c r="O5972" s="4288"/>
    </row>
    <row r="5973" spans="15:15">
      <c r="O5973" s="4288"/>
    </row>
    <row r="5974" spans="15:15">
      <c r="O5974" s="4288"/>
    </row>
    <row r="5975" spans="15:15">
      <c r="O5975" s="4288"/>
    </row>
    <row r="5976" spans="15:15">
      <c r="O5976" s="4288"/>
    </row>
    <row r="5977" spans="15:15">
      <c r="O5977" s="4288"/>
    </row>
    <row r="5978" spans="15:15">
      <c r="O5978" s="4288"/>
    </row>
    <row r="5979" spans="15:15">
      <c r="O5979" s="4288"/>
    </row>
    <row r="5980" spans="15:15">
      <c r="O5980" s="4288"/>
    </row>
    <row r="5981" spans="15:15">
      <c r="O5981" s="4288"/>
    </row>
    <row r="5982" spans="15:15">
      <c r="O5982" s="4288"/>
    </row>
    <row r="5983" spans="15:15">
      <c r="O5983" s="4288"/>
    </row>
    <row r="5984" spans="15:15">
      <c r="O5984" s="4288"/>
    </row>
    <row r="5985" spans="15:15">
      <c r="O5985" s="4288"/>
    </row>
    <row r="5986" spans="15:15">
      <c r="O5986" s="4288"/>
    </row>
    <row r="5987" spans="15:15">
      <c r="O5987" s="4288"/>
    </row>
    <row r="5988" spans="15:15">
      <c r="O5988" s="4288"/>
    </row>
    <row r="5989" spans="15:15">
      <c r="O5989" s="4288"/>
    </row>
    <row r="5990" spans="15:15">
      <c r="O5990" s="4288"/>
    </row>
    <row r="5991" spans="15:15">
      <c r="O5991" s="4288"/>
    </row>
    <row r="5992" spans="15:15">
      <c r="O5992" s="4288"/>
    </row>
    <row r="5993" spans="15:15">
      <c r="O5993" s="4288"/>
    </row>
    <row r="5994" spans="15:15">
      <c r="O5994" s="4288"/>
    </row>
    <row r="5995" spans="15:15">
      <c r="O5995" s="4288"/>
    </row>
    <row r="5996" spans="15:15">
      <c r="O5996" s="4288"/>
    </row>
    <row r="5997" spans="15:15">
      <c r="O5997" s="4288"/>
    </row>
    <row r="5998" spans="15:15">
      <c r="O5998" s="4288"/>
    </row>
    <row r="5999" spans="15:15">
      <c r="O5999" s="4288"/>
    </row>
    <row r="6000" spans="15:15">
      <c r="O6000" s="4288"/>
    </row>
    <row r="6001" spans="15:15">
      <c r="O6001" s="4288"/>
    </row>
    <row r="6002" spans="15:15">
      <c r="O6002" s="4288"/>
    </row>
    <row r="6003" spans="15:15">
      <c r="O6003" s="4288"/>
    </row>
    <row r="6004" spans="15:15">
      <c r="O6004" s="4288"/>
    </row>
    <row r="6005" spans="15:15">
      <c r="O6005" s="4288"/>
    </row>
    <row r="6006" spans="15:15">
      <c r="O6006" s="4288"/>
    </row>
    <row r="6007" spans="15:15">
      <c r="O6007" s="4288"/>
    </row>
    <row r="6008" spans="15:15">
      <c r="O6008" s="4288"/>
    </row>
    <row r="6009" spans="15:15">
      <c r="O6009" s="4288"/>
    </row>
    <row r="6010" spans="15:15">
      <c r="O6010" s="4288"/>
    </row>
    <row r="6011" spans="15:15">
      <c r="O6011" s="4288"/>
    </row>
    <row r="6012" spans="15:15">
      <c r="O6012" s="4288"/>
    </row>
    <row r="6013" spans="15:15">
      <c r="O6013" s="4288"/>
    </row>
    <row r="6014" spans="15:15">
      <c r="O6014" s="4288"/>
    </row>
    <row r="6015" spans="15:15">
      <c r="O6015" s="4288"/>
    </row>
    <row r="6016" spans="15:15">
      <c r="O6016" s="4288"/>
    </row>
    <row r="6017" spans="15:15">
      <c r="O6017" s="4288"/>
    </row>
    <row r="6018" spans="15:15">
      <c r="O6018" s="4288"/>
    </row>
    <row r="6019" spans="15:15">
      <c r="O6019" s="4288"/>
    </row>
    <row r="6020" spans="15:15">
      <c r="O6020" s="4288"/>
    </row>
    <row r="6021" spans="15:15">
      <c r="O6021" s="4288"/>
    </row>
    <row r="6022" spans="15:15">
      <c r="O6022" s="4288"/>
    </row>
    <row r="6023" spans="15:15">
      <c r="O6023" s="4288"/>
    </row>
    <row r="6024" spans="15:15">
      <c r="O6024" s="4288"/>
    </row>
    <row r="6025" spans="15:15">
      <c r="O6025" s="4288"/>
    </row>
    <row r="6026" spans="15:15">
      <c r="O6026" s="4288"/>
    </row>
    <row r="6027" spans="15:15">
      <c r="O6027" s="4288"/>
    </row>
    <row r="6028" spans="15:15">
      <c r="O6028" s="4288"/>
    </row>
    <row r="6029" spans="15:15">
      <c r="O6029" s="4288"/>
    </row>
    <row r="6030" spans="15:15">
      <c r="O6030" s="4288"/>
    </row>
    <row r="6031" spans="15:15">
      <c r="O6031" s="4288"/>
    </row>
    <row r="6032" spans="15:15">
      <c r="O6032" s="4288"/>
    </row>
    <row r="6033" spans="15:15">
      <c r="O6033" s="4288"/>
    </row>
    <row r="6034" spans="15:15">
      <c r="O6034" s="4288"/>
    </row>
    <row r="6035" spans="15:15">
      <c r="O6035" s="4288"/>
    </row>
    <row r="6036" spans="15:15">
      <c r="O6036" s="4288"/>
    </row>
    <row r="6037" spans="15:15">
      <c r="O6037" s="4288"/>
    </row>
    <row r="6038" spans="15:15">
      <c r="O6038" s="4288"/>
    </row>
    <row r="6039" spans="15:15">
      <c r="O6039" s="4288"/>
    </row>
    <row r="6040" spans="15:15">
      <c r="O6040" s="4288"/>
    </row>
    <row r="6041" spans="15:15">
      <c r="O6041" s="4288"/>
    </row>
    <row r="6042" spans="15:15">
      <c r="O6042" s="4288"/>
    </row>
    <row r="6043" spans="15:15">
      <c r="O6043" s="4288"/>
    </row>
    <row r="6044" spans="15:15">
      <c r="O6044" s="4288"/>
    </row>
    <row r="6045" spans="15:15">
      <c r="O6045" s="4288"/>
    </row>
    <row r="6046" spans="15:15">
      <c r="O6046" s="4288"/>
    </row>
    <row r="6047" spans="15:15">
      <c r="O6047" s="4288"/>
    </row>
    <row r="6048" spans="15:15">
      <c r="O6048" s="4288"/>
    </row>
    <row r="6049" spans="15:15">
      <c r="O6049" s="4288"/>
    </row>
    <row r="6050" spans="15:15">
      <c r="O6050" s="4288"/>
    </row>
    <row r="6051" spans="15:15">
      <c r="O6051" s="4288"/>
    </row>
    <row r="6052" spans="15:15">
      <c r="O6052" s="4288"/>
    </row>
    <row r="6053" spans="15:15">
      <c r="O6053" s="4288"/>
    </row>
    <row r="6054" spans="15:15">
      <c r="O6054" s="4288"/>
    </row>
    <row r="6055" spans="15:15">
      <c r="O6055" s="4288"/>
    </row>
    <row r="6056" spans="15:15">
      <c r="O6056" s="4288"/>
    </row>
    <row r="6057" spans="15:15">
      <c r="O6057" s="4288"/>
    </row>
    <row r="6058" spans="15:15">
      <c r="O6058" s="4288"/>
    </row>
    <row r="6059" spans="15:15">
      <c r="O6059" s="4288"/>
    </row>
    <row r="6060" spans="15:15">
      <c r="O6060" s="4288"/>
    </row>
    <row r="6061" spans="15:15">
      <c r="O6061" s="4288"/>
    </row>
    <row r="6062" spans="15:15">
      <c r="O6062" s="4288"/>
    </row>
    <row r="6063" spans="15:15">
      <c r="O6063" s="4288"/>
    </row>
    <row r="6064" spans="15:15">
      <c r="O6064" s="4288"/>
    </row>
    <row r="6065" spans="15:15">
      <c r="O6065" s="4288"/>
    </row>
    <row r="6066" spans="15:15">
      <c r="O6066" s="4288"/>
    </row>
    <row r="6067" spans="15:15">
      <c r="O6067" s="4288"/>
    </row>
    <row r="6068" spans="15:15">
      <c r="O6068" s="4288"/>
    </row>
    <row r="6069" spans="15:15">
      <c r="O6069" s="4288"/>
    </row>
    <row r="6070" spans="15:15">
      <c r="O6070" s="4288"/>
    </row>
    <row r="6071" spans="15:15">
      <c r="O6071" s="4288"/>
    </row>
    <row r="6072" spans="15:15">
      <c r="O6072" s="4288"/>
    </row>
    <row r="6073" spans="15:15">
      <c r="O6073" s="4288"/>
    </row>
    <row r="6074" spans="15:15">
      <c r="O6074" s="4288"/>
    </row>
    <row r="6075" spans="15:15">
      <c r="O6075" s="4288"/>
    </row>
    <row r="6076" spans="15:15">
      <c r="O6076" s="4288"/>
    </row>
    <row r="6077" spans="15:15">
      <c r="O6077" s="4288"/>
    </row>
    <row r="6078" spans="15:15">
      <c r="O6078" s="4288"/>
    </row>
    <row r="6079" spans="15:15">
      <c r="O6079" s="4288"/>
    </row>
    <row r="6080" spans="15:15">
      <c r="O6080" s="4288"/>
    </row>
    <row r="6081" spans="15:15">
      <c r="O6081" s="4288"/>
    </row>
    <row r="6082" spans="15:15">
      <c r="O6082" s="4288"/>
    </row>
    <row r="6083" spans="15:15">
      <c r="O6083" s="4288"/>
    </row>
    <row r="6084" spans="15:15">
      <c r="O6084" s="4288"/>
    </row>
    <row r="6085" spans="15:15">
      <c r="O6085" s="4288"/>
    </row>
    <row r="6086" spans="15:15">
      <c r="O6086" s="4288"/>
    </row>
    <row r="6087" spans="15:15">
      <c r="O6087" s="4288"/>
    </row>
    <row r="6088" spans="15:15">
      <c r="O6088" s="4288"/>
    </row>
    <row r="6089" spans="15:15">
      <c r="O6089" s="4288"/>
    </row>
    <row r="6090" spans="15:15">
      <c r="O6090" s="4288"/>
    </row>
    <row r="6091" spans="15:15">
      <c r="O6091" s="4288"/>
    </row>
    <row r="6092" spans="15:15">
      <c r="O6092" s="4288"/>
    </row>
    <row r="6093" spans="15:15">
      <c r="O6093" s="4288"/>
    </row>
    <row r="6094" spans="15:15">
      <c r="O6094" s="4288"/>
    </row>
    <row r="6095" spans="15:15">
      <c r="O6095" s="4288"/>
    </row>
    <row r="6096" spans="15:15">
      <c r="O6096" s="4288"/>
    </row>
    <row r="6097" spans="15:15">
      <c r="O6097" s="4288"/>
    </row>
    <row r="6098" spans="15:15">
      <c r="O6098" s="4288"/>
    </row>
    <row r="6099" spans="15:15">
      <c r="O6099" s="4288"/>
    </row>
    <row r="6100" spans="15:15">
      <c r="O6100" s="4288"/>
    </row>
    <row r="6101" spans="15:15">
      <c r="O6101" s="4288"/>
    </row>
    <row r="6102" spans="15:15">
      <c r="O6102" s="4288"/>
    </row>
    <row r="6103" spans="15:15">
      <c r="O6103" s="4288"/>
    </row>
    <row r="6104" spans="15:15">
      <c r="O6104" s="4288"/>
    </row>
    <row r="6105" spans="15:15">
      <c r="O6105" s="4288"/>
    </row>
    <row r="6106" spans="15:15">
      <c r="O6106" s="4288"/>
    </row>
    <row r="6107" spans="15:15">
      <c r="O6107" s="4288"/>
    </row>
    <row r="6108" spans="15:15">
      <c r="O6108" s="4288"/>
    </row>
    <row r="6109" spans="15:15">
      <c r="O6109" s="4288"/>
    </row>
    <row r="6110" spans="15:15">
      <c r="O6110" s="4288"/>
    </row>
    <row r="6111" spans="15:15">
      <c r="O6111" s="4288"/>
    </row>
    <row r="6112" spans="15:15">
      <c r="O6112" s="4288"/>
    </row>
    <row r="6113" spans="15:15">
      <c r="O6113" s="4288"/>
    </row>
    <row r="6114" spans="15:15">
      <c r="O6114" s="4288"/>
    </row>
    <row r="6115" spans="15:15">
      <c r="O6115" s="4288"/>
    </row>
    <row r="6116" spans="15:15">
      <c r="O6116" s="4288"/>
    </row>
    <row r="6117" spans="15:15">
      <c r="O6117" s="4288"/>
    </row>
    <row r="6118" spans="15:15">
      <c r="O6118" s="4288"/>
    </row>
    <row r="6119" spans="15:15">
      <c r="O6119" s="4288"/>
    </row>
    <row r="6120" spans="15:15">
      <c r="O6120" s="4288"/>
    </row>
    <row r="6121" spans="15:15">
      <c r="O6121" s="4288"/>
    </row>
    <row r="6122" spans="15:15">
      <c r="O6122" s="4288"/>
    </row>
    <row r="6123" spans="15:15">
      <c r="O6123" s="4288"/>
    </row>
    <row r="6124" spans="15:15">
      <c r="O6124" s="4288"/>
    </row>
    <row r="6125" spans="15:15">
      <c r="O6125" s="4288"/>
    </row>
    <row r="6126" spans="15:15">
      <c r="O6126" s="4288"/>
    </row>
    <row r="6127" spans="15:15">
      <c r="O6127" s="4288"/>
    </row>
    <row r="6128" spans="15:15">
      <c r="O6128" s="4288"/>
    </row>
    <row r="6129" spans="15:15">
      <c r="O6129" s="4288"/>
    </row>
    <row r="6130" spans="15:15">
      <c r="O6130" s="4288"/>
    </row>
    <row r="6131" spans="15:15">
      <c r="O6131" s="4288"/>
    </row>
    <row r="6132" spans="15:15">
      <c r="O6132" s="4288"/>
    </row>
    <row r="6133" spans="15:15">
      <c r="O6133" s="4288"/>
    </row>
    <row r="6134" spans="15:15">
      <c r="O6134" s="4288"/>
    </row>
    <row r="6135" spans="15:15">
      <c r="O6135" s="4288"/>
    </row>
    <row r="6136" spans="15:15">
      <c r="O6136" s="4288"/>
    </row>
    <row r="6137" spans="15:15">
      <c r="O6137" s="4288"/>
    </row>
    <row r="6138" spans="15:15">
      <c r="O6138" s="4288"/>
    </row>
    <row r="6139" spans="15:15">
      <c r="O6139" s="4288"/>
    </row>
    <row r="6140" spans="15:15">
      <c r="O6140" s="4288"/>
    </row>
    <row r="6141" spans="15:15">
      <c r="O6141" s="4288"/>
    </row>
    <row r="6142" spans="15:15">
      <c r="O6142" s="4288"/>
    </row>
    <row r="6143" spans="15:15">
      <c r="O6143" s="4288"/>
    </row>
    <row r="6144" spans="15:15">
      <c r="O6144" s="4288"/>
    </row>
    <row r="6145" spans="15:15">
      <c r="O6145" s="4288"/>
    </row>
    <row r="6146" spans="15:15">
      <c r="O6146" s="4288"/>
    </row>
    <row r="6147" spans="15:15">
      <c r="O6147" s="4288"/>
    </row>
    <row r="6148" spans="15:15">
      <c r="O6148" s="4288"/>
    </row>
    <row r="6149" spans="15:15">
      <c r="O6149" s="4288"/>
    </row>
    <row r="6150" spans="15:15">
      <c r="O6150" s="4288"/>
    </row>
    <row r="6151" spans="15:15">
      <c r="O6151" s="4288"/>
    </row>
    <row r="6152" spans="15:15">
      <c r="O6152" s="4288"/>
    </row>
    <row r="6153" spans="15:15">
      <c r="O6153" s="4288"/>
    </row>
    <row r="6154" spans="15:15">
      <c r="O6154" s="4288"/>
    </row>
    <row r="6155" spans="15:15">
      <c r="O6155" s="4288"/>
    </row>
    <row r="6156" spans="15:15">
      <c r="O6156" s="4288"/>
    </row>
    <row r="6157" spans="15:15">
      <c r="O6157" s="4288"/>
    </row>
    <row r="6158" spans="15:15">
      <c r="O6158" s="4288"/>
    </row>
    <row r="6159" spans="15:15">
      <c r="O6159" s="4288"/>
    </row>
    <row r="6160" spans="15:15">
      <c r="O6160" s="4288"/>
    </row>
    <row r="6161" spans="15:15">
      <c r="O6161" s="4288"/>
    </row>
    <row r="6162" spans="15:15">
      <c r="O6162" s="4288"/>
    </row>
    <row r="6163" spans="15:15">
      <c r="O6163" s="4288"/>
    </row>
    <row r="6164" spans="15:15">
      <c r="O6164" s="4288"/>
    </row>
    <row r="6165" spans="15:15">
      <c r="O6165" s="4288"/>
    </row>
    <row r="6166" spans="15:15">
      <c r="O6166" s="4288"/>
    </row>
    <row r="6167" spans="15:15">
      <c r="O6167" s="4288"/>
    </row>
    <row r="6168" spans="15:15">
      <c r="O6168" s="4288"/>
    </row>
    <row r="6169" spans="15:15">
      <c r="O6169" s="4288"/>
    </row>
    <row r="6170" spans="15:15">
      <c r="O6170" s="4288"/>
    </row>
    <row r="6171" spans="15:15">
      <c r="O6171" s="4288"/>
    </row>
    <row r="6172" spans="15:15">
      <c r="O6172" s="4288"/>
    </row>
    <row r="6173" spans="15:15">
      <c r="O6173" s="4288"/>
    </row>
    <row r="6174" spans="15:15">
      <c r="O6174" s="4288"/>
    </row>
    <row r="6175" spans="15:15">
      <c r="O6175" s="4288"/>
    </row>
    <row r="6176" spans="15:15">
      <c r="O6176" s="4288"/>
    </row>
    <row r="6177" spans="15:15">
      <c r="O6177" s="4288"/>
    </row>
    <row r="6178" spans="15:15">
      <c r="O6178" s="4288"/>
    </row>
    <row r="6179" spans="15:15">
      <c r="O6179" s="4288"/>
    </row>
    <row r="6180" spans="15:15">
      <c r="O6180" s="4288"/>
    </row>
    <row r="6181" spans="15:15">
      <c r="O6181" s="4288"/>
    </row>
    <row r="6182" spans="15:15">
      <c r="O6182" s="4288"/>
    </row>
    <row r="6183" spans="15:15">
      <c r="O6183" s="4288"/>
    </row>
    <row r="6184" spans="15:15">
      <c r="O6184" s="4288"/>
    </row>
    <row r="6185" spans="15:15">
      <c r="O6185" s="4288"/>
    </row>
    <row r="6186" spans="15:15">
      <c r="O6186" s="4288"/>
    </row>
    <row r="6187" spans="15:15">
      <c r="O6187" s="4288"/>
    </row>
    <row r="6188" spans="15:15">
      <c r="O6188" s="4288"/>
    </row>
    <row r="6189" spans="15:15">
      <c r="O6189" s="4288"/>
    </row>
    <row r="6190" spans="15:15">
      <c r="O6190" s="4288"/>
    </row>
    <row r="6191" spans="15:15">
      <c r="O6191" s="4288"/>
    </row>
    <row r="6192" spans="15:15">
      <c r="O6192" s="4288"/>
    </row>
    <row r="6193" spans="15:15">
      <c r="O6193" s="4288"/>
    </row>
    <row r="6194" spans="15:15">
      <c r="O6194" s="4288"/>
    </row>
    <row r="6195" spans="15:15">
      <c r="O6195" s="4288"/>
    </row>
    <row r="6196" spans="15:15">
      <c r="O6196" s="4288"/>
    </row>
    <row r="6197" spans="15:15">
      <c r="O6197" s="4288"/>
    </row>
    <row r="6198" spans="15:15">
      <c r="O6198" s="4288"/>
    </row>
    <row r="6199" spans="15:15">
      <c r="O6199" s="4288"/>
    </row>
    <row r="6200" spans="15:15">
      <c r="O6200" s="4288"/>
    </row>
    <row r="6201" spans="15:15">
      <c r="O6201" s="4288"/>
    </row>
    <row r="6202" spans="15:15">
      <c r="O6202" s="4288"/>
    </row>
    <row r="6203" spans="15:15">
      <c r="O6203" s="4288"/>
    </row>
    <row r="6204" spans="15:15">
      <c r="O6204" s="4288"/>
    </row>
    <row r="6205" spans="15:15">
      <c r="O6205" s="4288"/>
    </row>
    <row r="6206" spans="15:15">
      <c r="O6206" s="4288"/>
    </row>
    <row r="6207" spans="15:15">
      <c r="O6207" s="4288"/>
    </row>
    <row r="6208" spans="15:15">
      <c r="O6208" s="4288"/>
    </row>
    <row r="6209" spans="15:15">
      <c r="O6209" s="4288"/>
    </row>
    <row r="6210" spans="15:15">
      <c r="O6210" s="4288"/>
    </row>
    <row r="6211" spans="15:15">
      <c r="O6211" s="4288"/>
    </row>
    <row r="6212" spans="15:15">
      <c r="O6212" s="4288"/>
    </row>
    <row r="6213" spans="15:15">
      <c r="O6213" s="4288"/>
    </row>
    <row r="6214" spans="15:15">
      <c r="O6214" s="4288"/>
    </row>
    <row r="6215" spans="15:15">
      <c r="O6215" s="4288"/>
    </row>
    <row r="6216" spans="15:15">
      <c r="O6216" s="4288"/>
    </row>
    <row r="6217" spans="15:15">
      <c r="O6217" s="4288"/>
    </row>
    <row r="6218" spans="15:15">
      <c r="O6218" s="4288"/>
    </row>
    <row r="6219" spans="15:15">
      <c r="O6219" s="4288"/>
    </row>
    <row r="6220" spans="15:15">
      <c r="O6220" s="4288"/>
    </row>
    <row r="6221" spans="15:15">
      <c r="O6221" s="4288"/>
    </row>
    <row r="6222" spans="15:15">
      <c r="O6222" s="4288"/>
    </row>
    <row r="6223" spans="15:15">
      <c r="O6223" s="4288"/>
    </row>
    <row r="6224" spans="15:15">
      <c r="O6224" s="4288"/>
    </row>
    <row r="6225" spans="15:15">
      <c r="O6225" s="4288"/>
    </row>
    <row r="6226" spans="15:15">
      <c r="O6226" s="4288"/>
    </row>
    <row r="6227" spans="15:15">
      <c r="O6227" s="4288"/>
    </row>
    <row r="6228" spans="15:15">
      <c r="O6228" s="4288"/>
    </row>
    <row r="6229" spans="15:15">
      <c r="O6229" s="4288"/>
    </row>
    <row r="6230" spans="15:15">
      <c r="O6230" s="4288"/>
    </row>
    <row r="6231" spans="15:15">
      <c r="O6231" s="4288"/>
    </row>
    <row r="6232" spans="15:15">
      <c r="O6232" s="4288"/>
    </row>
    <row r="6233" spans="15:15">
      <c r="O6233" s="4288"/>
    </row>
    <row r="6234" spans="15:15">
      <c r="O6234" s="4288"/>
    </row>
    <row r="6235" spans="15:15">
      <c r="O6235" s="4288"/>
    </row>
    <row r="6236" spans="15:15">
      <c r="O6236" s="4288"/>
    </row>
    <row r="6237" spans="15:15">
      <c r="O6237" s="4288"/>
    </row>
    <row r="6238" spans="15:15">
      <c r="O6238" s="4288"/>
    </row>
    <row r="6239" spans="15:15">
      <c r="O6239" s="4288"/>
    </row>
    <row r="6240" spans="15:15">
      <c r="O6240" s="4288"/>
    </row>
    <row r="6241" spans="15:15">
      <c r="O6241" s="4288"/>
    </row>
    <row r="6242" spans="15:15">
      <c r="O6242" s="4288"/>
    </row>
    <row r="6243" spans="15:15">
      <c r="O6243" s="4288"/>
    </row>
    <row r="6244" spans="15:15">
      <c r="O6244" s="4288"/>
    </row>
    <row r="6245" spans="15:15">
      <c r="O6245" s="4288"/>
    </row>
    <row r="6246" spans="15:15">
      <c r="O6246" s="4288"/>
    </row>
    <row r="6247" spans="15:15">
      <c r="O6247" s="4288"/>
    </row>
    <row r="6248" spans="15:15">
      <c r="O6248" s="4288"/>
    </row>
    <row r="6249" spans="15:15">
      <c r="O6249" s="4288"/>
    </row>
    <row r="6250" spans="15:15">
      <c r="O6250" s="4288"/>
    </row>
    <row r="6251" spans="15:15">
      <c r="O6251" s="4288"/>
    </row>
    <row r="6252" spans="15:15">
      <c r="O6252" s="4288"/>
    </row>
    <row r="6253" spans="15:15">
      <c r="O6253" s="4288"/>
    </row>
    <row r="6254" spans="15:15">
      <c r="O6254" s="4288"/>
    </row>
    <row r="6255" spans="15:15">
      <c r="O6255" s="4288"/>
    </row>
    <row r="6256" spans="15:15">
      <c r="O6256" s="4288"/>
    </row>
    <row r="6257" spans="15:15">
      <c r="O6257" s="4288"/>
    </row>
    <row r="6258" spans="15:15">
      <c r="O6258" s="4288"/>
    </row>
    <row r="6259" spans="15:15">
      <c r="O6259" s="4288"/>
    </row>
    <row r="6260" spans="15:15">
      <c r="O6260" s="4288"/>
    </row>
    <row r="6261" spans="15:15">
      <c r="O6261" s="4288"/>
    </row>
    <row r="6262" spans="15:15">
      <c r="O6262" s="4288"/>
    </row>
    <row r="6263" spans="15:15">
      <c r="O6263" s="4288"/>
    </row>
    <row r="6264" spans="15:15">
      <c r="O6264" s="4288"/>
    </row>
    <row r="6265" spans="15:15">
      <c r="O6265" s="4288"/>
    </row>
    <row r="6266" spans="15:15">
      <c r="O6266" s="4288"/>
    </row>
    <row r="6267" spans="15:15">
      <c r="O6267" s="4288"/>
    </row>
    <row r="6268" spans="15:15">
      <c r="O6268" s="4288"/>
    </row>
    <row r="6269" spans="15:15">
      <c r="O6269" s="4288"/>
    </row>
    <row r="6270" spans="15:15">
      <c r="O6270" s="4288"/>
    </row>
    <row r="6271" spans="15:15">
      <c r="O6271" s="4288"/>
    </row>
    <row r="6272" spans="15:15">
      <c r="O6272" s="4288"/>
    </row>
    <row r="6273" spans="15:15">
      <c r="O6273" s="4288"/>
    </row>
    <row r="6274" spans="15:15">
      <c r="O6274" s="4288"/>
    </row>
    <row r="6275" spans="15:15">
      <c r="O6275" s="4288"/>
    </row>
    <row r="6276" spans="15:15">
      <c r="O6276" s="4288"/>
    </row>
    <row r="6277" spans="15:15">
      <c r="O6277" s="4288"/>
    </row>
    <row r="6278" spans="15:15">
      <c r="O6278" s="4288"/>
    </row>
    <row r="6279" spans="15:15">
      <c r="O6279" s="4288"/>
    </row>
    <row r="6280" spans="15:15">
      <c r="O6280" s="4288"/>
    </row>
    <row r="6281" spans="15:15">
      <c r="O6281" s="4288"/>
    </row>
    <row r="6282" spans="15:15">
      <c r="O6282" s="4288"/>
    </row>
    <row r="6283" spans="15:15">
      <c r="O6283" s="4288"/>
    </row>
    <row r="6284" spans="15:15">
      <c r="O6284" s="4288"/>
    </row>
    <row r="6285" spans="15:15">
      <c r="O6285" s="4288"/>
    </row>
    <row r="6286" spans="15:15">
      <c r="O6286" s="4288"/>
    </row>
    <row r="6287" spans="15:15">
      <c r="O6287" s="4288"/>
    </row>
    <row r="6288" spans="15:15">
      <c r="O6288" s="4288"/>
    </row>
    <row r="6289" spans="15:15">
      <c r="O6289" s="4288"/>
    </row>
    <row r="6290" spans="15:15">
      <c r="O6290" s="4288"/>
    </row>
    <row r="6291" spans="15:15">
      <c r="O6291" s="4288"/>
    </row>
    <row r="6292" spans="15:15">
      <c r="O6292" s="4288"/>
    </row>
    <row r="6293" spans="15:15">
      <c r="O6293" s="4288"/>
    </row>
    <row r="6294" spans="15:15">
      <c r="O6294" s="4288"/>
    </row>
    <row r="6295" spans="15:15">
      <c r="O6295" s="4288"/>
    </row>
    <row r="6296" spans="15:15">
      <c r="O6296" s="4288"/>
    </row>
    <row r="6297" spans="15:15">
      <c r="O6297" s="4288"/>
    </row>
    <row r="6298" spans="15:15">
      <c r="O6298" s="4288"/>
    </row>
    <row r="6299" spans="15:15">
      <c r="O6299" s="4288"/>
    </row>
    <row r="6300" spans="15:15">
      <c r="O6300" s="4288"/>
    </row>
    <row r="6301" spans="15:15">
      <c r="O6301" s="4288"/>
    </row>
    <row r="6302" spans="15:15">
      <c r="O6302" s="4288"/>
    </row>
    <row r="6303" spans="15:15">
      <c r="O6303" s="4288"/>
    </row>
    <row r="6304" spans="15:15">
      <c r="O6304" s="4288"/>
    </row>
    <row r="6305" spans="15:15">
      <c r="O6305" s="4288"/>
    </row>
    <row r="6306" spans="15:15">
      <c r="O6306" s="4288"/>
    </row>
    <row r="6307" spans="15:15">
      <c r="O6307" s="4288"/>
    </row>
    <row r="6308" spans="15:15">
      <c r="O6308" s="4288"/>
    </row>
    <row r="6309" spans="15:15">
      <c r="O6309" s="4288"/>
    </row>
    <row r="6310" spans="15:15">
      <c r="O6310" s="4288"/>
    </row>
    <row r="6311" spans="15:15">
      <c r="O6311" s="4288"/>
    </row>
    <row r="6312" spans="15:15">
      <c r="O6312" s="4288"/>
    </row>
    <row r="6313" spans="15:15">
      <c r="O6313" s="4288"/>
    </row>
    <row r="6314" spans="15:15">
      <c r="O6314" s="4288"/>
    </row>
    <row r="6315" spans="15:15">
      <c r="O6315" s="4288"/>
    </row>
    <row r="6316" spans="15:15">
      <c r="O6316" s="4288"/>
    </row>
    <row r="6317" spans="15:15">
      <c r="O6317" s="4288"/>
    </row>
    <row r="6318" spans="15:15">
      <c r="O6318" s="4288"/>
    </row>
    <row r="6319" spans="15:15">
      <c r="O6319" s="4288"/>
    </row>
    <row r="6320" spans="15:15">
      <c r="O6320" s="4288"/>
    </row>
    <row r="6321" spans="15:15">
      <c r="O6321" s="4288"/>
    </row>
    <row r="6322" spans="15:15">
      <c r="O6322" s="4288"/>
    </row>
    <row r="6323" spans="15:15">
      <c r="O6323" s="4288"/>
    </row>
    <row r="6324" spans="15:15">
      <c r="O6324" s="4288"/>
    </row>
    <row r="6325" spans="15:15">
      <c r="O6325" s="4288"/>
    </row>
    <row r="6326" spans="15:15">
      <c r="O6326" s="4288"/>
    </row>
    <row r="6327" spans="15:15">
      <c r="O6327" s="4288"/>
    </row>
    <row r="6328" spans="15:15">
      <c r="O6328" s="4288"/>
    </row>
    <row r="6329" spans="15:15">
      <c r="O6329" s="4288"/>
    </row>
    <row r="6330" spans="15:15">
      <c r="O6330" s="4288"/>
    </row>
    <row r="6331" spans="15:15">
      <c r="O6331" s="4288"/>
    </row>
    <row r="6332" spans="15:15">
      <c r="O6332" s="4288"/>
    </row>
    <row r="6333" spans="15:15">
      <c r="O6333" s="4288"/>
    </row>
    <row r="6334" spans="15:15">
      <c r="O6334" s="4288"/>
    </row>
    <row r="6335" spans="15:15">
      <c r="O6335" s="4288"/>
    </row>
    <row r="6336" spans="15:15">
      <c r="O6336" s="4288"/>
    </row>
    <row r="6337" spans="15:15">
      <c r="O6337" s="4288"/>
    </row>
    <row r="6338" spans="15:15">
      <c r="O6338" s="4288"/>
    </row>
    <row r="6339" spans="15:15">
      <c r="O6339" s="4288"/>
    </row>
    <row r="6340" spans="15:15">
      <c r="O6340" s="4288"/>
    </row>
    <row r="6341" spans="15:15">
      <c r="O6341" s="4288"/>
    </row>
    <row r="6342" spans="15:15">
      <c r="O6342" s="4288"/>
    </row>
    <row r="6343" spans="15:15">
      <c r="O6343" s="4288"/>
    </row>
    <row r="6344" spans="15:15">
      <c r="O6344" s="4288"/>
    </row>
    <row r="6345" spans="15:15">
      <c r="O6345" s="4288"/>
    </row>
    <row r="6346" spans="15:15">
      <c r="O6346" s="4288"/>
    </row>
    <row r="6347" spans="15:15">
      <c r="O6347" s="4288"/>
    </row>
    <row r="6348" spans="15:15">
      <c r="O6348" s="4288"/>
    </row>
    <row r="6349" spans="15:15">
      <c r="O6349" s="4288"/>
    </row>
    <row r="6350" spans="15:15">
      <c r="O6350" s="4288"/>
    </row>
    <row r="6351" spans="15:15">
      <c r="O6351" s="4288"/>
    </row>
    <row r="6352" spans="15:15">
      <c r="O6352" s="4288"/>
    </row>
    <row r="6353" spans="15:15">
      <c r="O6353" s="4288"/>
    </row>
    <row r="6354" spans="15:15">
      <c r="O6354" s="4288"/>
    </row>
    <row r="6355" spans="15:15">
      <c r="O6355" s="4288"/>
    </row>
    <row r="6356" spans="15:15">
      <c r="O6356" s="4288"/>
    </row>
    <row r="6357" spans="15:15">
      <c r="O6357" s="4288"/>
    </row>
    <row r="6358" spans="15:15">
      <c r="O6358" s="4288"/>
    </row>
    <row r="6359" spans="15:15">
      <c r="O6359" s="4288"/>
    </row>
    <row r="6360" spans="15:15">
      <c r="O6360" s="4288"/>
    </row>
    <row r="6361" spans="15:15">
      <c r="O6361" s="4288"/>
    </row>
    <row r="6362" spans="15:15">
      <c r="O6362" s="4288"/>
    </row>
    <row r="6363" spans="15:15">
      <c r="O6363" s="4288"/>
    </row>
    <row r="6364" spans="15:15">
      <c r="O6364" s="4288"/>
    </row>
    <row r="6365" spans="15:15">
      <c r="O6365" s="4288"/>
    </row>
    <row r="6366" spans="15:15">
      <c r="O6366" s="4288"/>
    </row>
    <row r="6367" spans="15:15">
      <c r="O6367" s="4288"/>
    </row>
    <row r="6368" spans="15:15">
      <c r="O6368" s="4288"/>
    </row>
    <row r="6369" spans="15:15">
      <c r="O6369" s="4288"/>
    </row>
    <row r="6370" spans="15:15">
      <c r="O6370" s="4288"/>
    </row>
    <row r="6371" spans="15:15">
      <c r="O6371" s="4288"/>
    </row>
    <row r="6372" spans="15:15">
      <c r="O6372" s="4288"/>
    </row>
    <row r="6373" spans="15:15">
      <c r="O6373" s="4288"/>
    </row>
    <row r="6374" spans="15:15">
      <c r="O6374" s="4288"/>
    </row>
    <row r="6375" spans="15:15">
      <c r="O6375" s="4288"/>
    </row>
    <row r="6376" spans="15:15">
      <c r="O6376" s="4288"/>
    </row>
    <row r="6377" spans="15:15">
      <c r="O6377" s="4288"/>
    </row>
    <row r="6378" spans="15:15">
      <c r="O6378" s="4288"/>
    </row>
    <row r="6379" spans="15:15">
      <c r="O6379" s="4288"/>
    </row>
    <row r="6380" spans="15:15">
      <c r="O6380" s="4288"/>
    </row>
    <row r="6381" spans="15:15">
      <c r="O6381" s="4288"/>
    </row>
    <row r="6382" spans="15:15">
      <c r="O6382" s="4288"/>
    </row>
    <row r="6383" spans="15:15">
      <c r="O6383" s="4288"/>
    </row>
    <row r="6384" spans="15:15">
      <c r="O6384" s="4288"/>
    </row>
    <row r="6385" spans="15:15">
      <c r="O6385" s="4288"/>
    </row>
    <row r="6386" spans="15:15">
      <c r="O6386" s="4288"/>
    </row>
    <row r="6387" spans="15:15">
      <c r="O6387" s="4288"/>
    </row>
    <row r="6388" spans="15:15">
      <c r="O6388" s="4288"/>
    </row>
    <row r="6389" spans="15:15">
      <c r="O6389" s="4288"/>
    </row>
    <row r="6390" spans="15:15">
      <c r="O6390" s="4288"/>
    </row>
    <row r="6391" spans="15:15">
      <c r="O6391" s="4288"/>
    </row>
    <row r="6392" spans="15:15">
      <c r="O6392" s="4288"/>
    </row>
    <row r="6393" spans="15:15">
      <c r="O6393" s="4288"/>
    </row>
    <row r="6394" spans="15:15">
      <c r="O6394" s="4288"/>
    </row>
    <row r="6395" spans="15:15">
      <c r="O6395" s="4288"/>
    </row>
    <row r="6396" spans="15:15">
      <c r="O6396" s="4288"/>
    </row>
    <row r="6397" spans="15:15">
      <c r="O6397" s="4288"/>
    </row>
    <row r="6398" spans="15:15">
      <c r="O6398" s="4288"/>
    </row>
    <row r="6399" spans="15:15">
      <c r="O6399" s="4288"/>
    </row>
    <row r="6400" spans="15:15">
      <c r="O6400" s="4288"/>
    </row>
    <row r="6401" spans="15:15">
      <c r="O6401" s="4288"/>
    </row>
    <row r="6402" spans="15:15">
      <c r="O6402" s="4288"/>
    </row>
    <row r="6403" spans="15:15">
      <c r="O6403" s="4288"/>
    </row>
    <row r="6404" spans="15:15">
      <c r="O6404" s="4288"/>
    </row>
    <row r="6405" spans="15:15">
      <c r="O6405" s="4288"/>
    </row>
    <row r="6406" spans="15:15">
      <c r="O6406" s="4288"/>
    </row>
    <row r="6407" spans="15:15">
      <c r="O6407" s="4288"/>
    </row>
    <row r="6408" spans="15:15">
      <c r="O6408" s="4288"/>
    </row>
    <row r="6409" spans="15:15">
      <c r="O6409" s="4288"/>
    </row>
    <row r="6410" spans="15:15">
      <c r="O6410" s="4288"/>
    </row>
    <row r="6411" spans="15:15">
      <c r="O6411" s="4288"/>
    </row>
    <row r="6412" spans="15:15">
      <c r="O6412" s="4288"/>
    </row>
    <row r="6413" spans="15:15">
      <c r="O6413" s="4288"/>
    </row>
    <row r="6414" spans="15:15">
      <c r="O6414" s="4288"/>
    </row>
    <row r="6415" spans="15:15">
      <c r="O6415" s="4288"/>
    </row>
    <row r="6416" spans="15:15">
      <c r="O6416" s="4288"/>
    </row>
    <row r="6417" spans="15:15">
      <c r="O6417" s="4288"/>
    </row>
    <row r="6418" spans="15:15">
      <c r="O6418" s="4288"/>
    </row>
    <row r="6419" spans="15:15">
      <c r="O6419" s="4288"/>
    </row>
    <row r="6420" spans="15:15">
      <c r="O6420" s="4288"/>
    </row>
    <row r="6421" spans="15:15">
      <c r="O6421" s="4288"/>
    </row>
    <row r="6422" spans="15:15">
      <c r="O6422" s="4288"/>
    </row>
    <row r="6423" spans="15:15">
      <c r="O6423" s="4288"/>
    </row>
    <row r="6424" spans="15:15">
      <c r="O6424" s="4288"/>
    </row>
    <row r="6425" spans="15:15">
      <c r="O6425" s="4288"/>
    </row>
    <row r="6426" spans="15:15">
      <c r="O6426" s="4288"/>
    </row>
    <row r="6427" spans="15:15">
      <c r="O6427" s="4288"/>
    </row>
    <row r="6428" spans="15:15">
      <c r="O6428" s="4288"/>
    </row>
    <row r="6429" spans="15:15">
      <c r="O6429" s="4288"/>
    </row>
    <row r="6430" spans="15:15">
      <c r="O6430" s="4288"/>
    </row>
    <row r="6431" spans="15:15">
      <c r="O6431" s="4288"/>
    </row>
    <row r="6432" spans="15:15">
      <c r="O6432" s="4288"/>
    </row>
    <row r="6433" spans="15:15">
      <c r="O6433" s="4288"/>
    </row>
    <row r="6434" spans="15:15">
      <c r="O6434" s="4288"/>
    </row>
    <row r="6435" spans="15:15">
      <c r="O6435" s="4288"/>
    </row>
    <row r="6436" spans="15:15">
      <c r="O6436" s="4288"/>
    </row>
    <row r="6437" spans="15:15">
      <c r="O6437" s="4288"/>
    </row>
    <row r="6438" spans="15:15">
      <c r="O6438" s="4288"/>
    </row>
    <row r="6439" spans="15:15">
      <c r="O6439" s="4288"/>
    </row>
    <row r="6440" spans="15:15">
      <c r="O6440" s="4288"/>
    </row>
    <row r="6441" spans="15:15">
      <c r="O6441" s="4288"/>
    </row>
    <row r="6442" spans="15:15">
      <c r="O6442" s="4288"/>
    </row>
    <row r="6443" spans="15:15">
      <c r="O6443" s="4288"/>
    </row>
    <row r="6444" spans="15:15">
      <c r="O6444" s="4288"/>
    </row>
    <row r="6445" spans="15:15">
      <c r="O6445" s="4288"/>
    </row>
    <row r="6446" spans="15:15">
      <c r="O6446" s="4288"/>
    </row>
    <row r="6447" spans="15:15">
      <c r="O6447" s="4288"/>
    </row>
    <row r="6448" spans="15:15">
      <c r="O6448" s="4288"/>
    </row>
    <row r="6449" spans="15:15">
      <c r="O6449" s="4288"/>
    </row>
    <row r="6450" spans="15:15">
      <c r="O6450" s="4288"/>
    </row>
    <row r="6451" spans="15:15">
      <c r="O6451" s="4288"/>
    </row>
    <row r="6452" spans="15:15">
      <c r="O6452" s="4288"/>
    </row>
    <row r="6453" spans="15:15">
      <c r="O6453" s="4288"/>
    </row>
    <row r="6454" spans="15:15">
      <c r="O6454" s="4288"/>
    </row>
    <row r="6455" spans="15:15">
      <c r="O6455" s="4288"/>
    </row>
    <row r="6456" spans="15:15">
      <c r="O6456" s="4288"/>
    </row>
    <row r="6457" spans="15:15">
      <c r="O6457" s="4288"/>
    </row>
    <row r="6458" spans="15:15">
      <c r="O6458" s="4288"/>
    </row>
    <row r="6459" spans="15:15">
      <c r="O6459" s="4288"/>
    </row>
    <row r="6460" spans="15:15">
      <c r="O6460" s="4288"/>
    </row>
    <row r="6461" spans="15:15">
      <c r="O6461" s="4288"/>
    </row>
    <row r="6462" spans="15:15">
      <c r="O6462" s="4288"/>
    </row>
    <row r="6463" spans="15:15">
      <c r="O6463" s="4288"/>
    </row>
    <row r="6464" spans="15:15">
      <c r="O6464" s="4288"/>
    </row>
    <row r="6465" spans="15:15">
      <c r="O6465" s="4288"/>
    </row>
    <row r="6466" spans="15:15">
      <c r="O6466" s="4288"/>
    </row>
    <row r="6467" spans="15:15">
      <c r="O6467" s="4288"/>
    </row>
    <row r="6468" spans="15:15">
      <c r="O6468" s="4288"/>
    </row>
    <row r="6469" spans="15:15">
      <c r="O6469" s="4288"/>
    </row>
    <row r="6470" spans="15:15">
      <c r="O6470" s="4288"/>
    </row>
    <row r="6471" spans="15:15">
      <c r="O6471" s="4288"/>
    </row>
    <row r="6472" spans="15:15">
      <c r="O6472" s="4288"/>
    </row>
    <row r="6473" spans="15:15">
      <c r="O6473" s="4288"/>
    </row>
    <row r="6474" spans="15:15">
      <c r="O6474" s="4288"/>
    </row>
    <row r="6475" spans="15:15">
      <c r="O6475" s="4288"/>
    </row>
    <row r="6476" spans="15:15">
      <c r="O6476" s="4288"/>
    </row>
    <row r="6477" spans="15:15">
      <c r="O6477" s="4288"/>
    </row>
    <row r="6478" spans="15:15">
      <c r="O6478" s="4288"/>
    </row>
    <row r="6479" spans="15:15">
      <c r="O6479" s="4288"/>
    </row>
    <row r="6480" spans="15:15">
      <c r="O6480" s="4288"/>
    </row>
    <row r="6481" spans="15:15">
      <c r="O6481" s="4288"/>
    </row>
    <row r="6482" spans="15:15">
      <c r="O6482" s="4288"/>
    </row>
    <row r="6483" spans="15:15">
      <c r="O6483" s="4288"/>
    </row>
    <row r="6484" spans="15:15">
      <c r="O6484" s="4288"/>
    </row>
    <row r="6485" spans="15:15">
      <c r="O6485" s="4288"/>
    </row>
    <row r="6486" spans="15:15">
      <c r="O6486" s="4288"/>
    </row>
    <row r="6487" spans="15:15">
      <c r="O6487" s="4288"/>
    </row>
    <row r="6488" spans="15:15">
      <c r="O6488" s="4288"/>
    </row>
    <row r="6489" spans="15:15">
      <c r="O6489" s="4288"/>
    </row>
    <row r="6490" spans="15:15">
      <c r="O6490" s="4288"/>
    </row>
    <row r="6491" spans="15:15">
      <c r="O6491" s="4288"/>
    </row>
    <row r="6492" spans="15:15">
      <c r="O6492" s="4288"/>
    </row>
    <row r="6493" spans="15:15">
      <c r="O6493" s="4288"/>
    </row>
    <row r="6494" spans="15:15">
      <c r="O6494" s="4288"/>
    </row>
    <row r="6495" spans="15:15">
      <c r="O6495" s="4288"/>
    </row>
    <row r="6496" spans="15:15">
      <c r="O6496" s="4288"/>
    </row>
    <row r="6497" spans="15:15">
      <c r="O6497" s="4288"/>
    </row>
    <row r="6498" spans="15:15">
      <c r="O6498" s="4288"/>
    </row>
    <row r="6499" spans="15:15">
      <c r="O6499" s="4288"/>
    </row>
    <row r="6500" spans="15:15">
      <c r="O6500" s="4288"/>
    </row>
    <row r="6501" spans="15:15">
      <c r="O6501" s="4288"/>
    </row>
    <row r="6502" spans="15:15">
      <c r="O6502" s="4288"/>
    </row>
    <row r="6503" spans="15:15">
      <c r="O6503" s="4288"/>
    </row>
    <row r="6504" spans="15:15">
      <c r="O6504" s="4288"/>
    </row>
    <row r="6505" spans="15:15">
      <c r="O6505" s="4288"/>
    </row>
    <row r="6506" spans="15:15">
      <c r="O6506" s="4288"/>
    </row>
    <row r="6507" spans="15:15">
      <c r="O6507" s="4288"/>
    </row>
    <row r="6508" spans="15:15">
      <c r="O6508" s="4288"/>
    </row>
    <row r="6509" spans="15:15">
      <c r="O6509" s="4288"/>
    </row>
    <row r="6510" spans="15:15">
      <c r="O6510" s="4288"/>
    </row>
    <row r="6511" spans="15:15">
      <c r="O6511" s="4288"/>
    </row>
    <row r="6512" spans="15:15">
      <c r="O6512" s="4288"/>
    </row>
    <row r="6513" spans="15:15">
      <c r="O6513" s="4288"/>
    </row>
    <row r="6514" spans="15:15">
      <c r="O6514" s="4288"/>
    </row>
    <row r="6515" spans="15:15">
      <c r="O6515" s="4288"/>
    </row>
    <row r="6516" spans="15:15">
      <c r="O6516" s="4288"/>
    </row>
    <row r="6517" spans="15:15">
      <c r="O6517" s="4288"/>
    </row>
    <row r="6518" spans="15:15">
      <c r="O6518" s="4288"/>
    </row>
    <row r="6519" spans="15:15">
      <c r="O6519" s="4288"/>
    </row>
    <row r="6520" spans="15:15">
      <c r="O6520" s="4288"/>
    </row>
    <row r="6521" spans="15:15">
      <c r="O6521" s="4288"/>
    </row>
    <row r="6522" spans="15:15">
      <c r="O6522" s="4288"/>
    </row>
    <row r="6523" spans="15:15">
      <c r="O6523" s="4288"/>
    </row>
    <row r="6524" spans="15:15">
      <c r="O6524" s="4288"/>
    </row>
    <row r="6525" spans="15:15">
      <c r="O6525" s="4288"/>
    </row>
    <row r="6526" spans="15:15">
      <c r="O6526" s="4288"/>
    </row>
    <row r="6527" spans="15:15">
      <c r="O6527" s="4288"/>
    </row>
    <row r="6528" spans="15:15">
      <c r="O6528" s="4288"/>
    </row>
    <row r="6529" spans="15:15">
      <c r="O6529" s="4288"/>
    </row>
    <row r="6530" spans="15:15">
      <c r="O6530" s="4288"/>
    </row>
    <row r="6531" spans="15:15">
      <c r="O6531" s="4288"/>
    </row>
    <row r="6532" spans="15:15">
      <c r="O6532" s="4288"/>
    </row>
    <row r="6533" spans="15:15">
      <c r="O6533" s="4288"/>
    </row>
    <row r="6534" spans="15:15">
      <c r="O6534" s="4288"/>
    </row>
    <row r="6535" spans="15:15">
      <c r="O6535" s="4288"/>
    </row>
    <row r="6536" spans="15:15">
      <c r="O6536" s="4288"/>
    </row>
    <row r="6537" spans="15:15">
      <c r="O6537" s="4288"/>
    </row>
    <row r="6538" spans="15:15">
      <c r="O6538" s="4288"/>
    </row>
    <row r="6539" spans="15:15">
      <c r="O6539" s="4288"/>
    </row>
    <row r="6540" spans="15:15">
      <c r="O6540" s="4288"/>
    </row>
    <row r="6541" spans="15:15">
      <c r="O6541" s="4288"/>
    </row>
    <row r="6542" spans="15:15">
      <c r="O6542" s="4288"/>
    </row>
    <row r="6543" spans="15:15">
      <c r="O6543" s="4288"/>
    </row>
    <row r="6544" spans="15:15">
      <c r="O6544" s="4288"/>
    </row>
    <row r="6545" spans="15:15">
      <c r="O6545" s="4288"/>
    </row>
    <row r="6546" spans="15:15">
      <c r="O6546" s="4288"/>
    </row>
    <row r="6547" spans="15:15">
      <c r="O6547" s="4288"/>
    </row>
    <row r="6548" spans="15:15">
      <c r="O6548" s="4288"/>
    </row>
    <row r="6549" spans="15:15">
      <c r="O6549" s="4288"/>
    </row>
    <row r="6550" spans="15:15">
      <c r="O6550" s="4288"/>
    </row>
    <row r="6551" spans="15:15">
      <c r="O6551" s="4288"/>
    </row>
    <row r="6552" spans="15:15">
      <c r="O6552" s="4288"/>
    </row>
    <row r="6553" spans="15:15">
      <c r="O6553" s="4288"/>
    </row>
    <row r="6554" spans="15:15">
      <c r="O6554" s="4288"/>
    </row>
    <row r="6555" spans="15:15">
      <c r="O6555" s="4288"/>
    </row>
    <row r="6556" spans="15:15">
      <c r="O6556" s="4288"/>
    </row>
    <row r="6557" spans="15:15">
      <c r="O6557" s="4288"/>
    </row>
    <row r="6558" spans="15:15">
      <c r="O6558" s="4288"/>
    </row>
    <row r="6559" spans="15:15">
      <c r="O6559" s="4288"/>
    </row>
    <row r="6560" spans="15:15">
      <c r="O6560" s="4288"/>
    </row>
    <row r="6561" spans="15:15">
      <c r="O6561" s="4288"/>
    </row>
    <row r="6562" spans="15:15">
      <c r="O6562" s="4288"/>
    </row>
    <row r="6563" spans="15:15">
      <c r="O6563" s="4288"/>
    </row>
    <row r="6564" spans="15:15">
      <c r="O6564" s="4288"/>
    </row>
    <row r="6565" spans="15:15">
      <c r="O6565" s="4288"/>
    </row>
    <row r="6566" spans="15:15">
      <c r="O6566" s="4288"/>
    </row>
    <row r="6567" spans="15:15">
      <c r="O6567" s="4288"/>
    </row>
    <row r="6568" spans="15:15">
      <c r="O6568" s="4288"/>
    </row>
    <row r="6569" spans="15:15">
      <c r="O6569" s="4288"/>
    </row>
    <row r="6570" spans="15:15">
      <c r="O6570" s="4288"/>
    </row>
    <row r="6571" spans="15:15">
      <c r="O6571" s="4288"/>
    </row>
    <row r="6572" spans="15:15">
      <c r="O6572" s="4288"/>
    </row>
    <row r="6573" spans="15:15">
      <c r="O6573" s="4288"/>
    </row>
    <row r="6574" spans="15:15">
      <c r="O6574" s="4288"/>
    </row>
    <row r="6575" spans="15:15">
      <c r="O6575" s="4288"/>
    </row>
    <row r="6576" spans="15:15">
      <c r="O6576" s="4288"/>
    </row>
    <row r="6577" spans="15:15">
      <c r="O6577" s="4288"/>
    </row>
    <row r="6578" spans="15:15">
      <c r="O6578" s="4288"/>
    </row>
    <row r="6579" spans="15:15">
      <c r="O6579" s="4288"/>
    </row>
    <row r="6580" spans="15:15">
      <c r="O6580" s="4288"/>
    </row>
    <row r="6581" spans="15:15">
      <c r="O6581" s="4288"/>
    </row>
    <row r="6582" spans="15:15">
      <c r="O6582" s="4288"/>
    </row>
    <row r="6583" spans="15:15">
      <c r="O6583" s="4288"/>
    </row>
    <row r="6584" spans="15:15">
      <c r="O6584" s="4288"/>
    </row>
    <row r="6585" spans="15:15">
      <c r="O6585" s="4288"/>
    </row>
    <row r="6586" spans="15:15">
      <c r="O6586" s="4288"/>
    </row>
    <row r="6587" spans="15:15">
      <c r="O6587" s="4288"/>
    </row>
    <row r="6588" spans="15:15">
      <c r="O6588" s="4288"/>
    </row>
    <row r="6589" spans="15:15">
      <c r="O6589" s="4288"/>
    </row>
    <row r="6590" spans="15:15">
      <c r="O6590" s="4288"/>
    </row>
    <row r="6591" spans="15:15">
      <c r="O6591" s="4288"/>
    </row>
    <row r="6592" spans="15:15">
      <c r="O6592" s="4288"/>
    </row>
    <row r="6593" spans="15:15">
      <c r="O6593" s="4288"/>
    </row>
    <row r="6594" spans="15:15">
      <c r="O6594" s="4288"/>
    </row>
    <row r="6595" spans="15:15">
      <c r="O6595" s="4288"/>
    </row>
    <row r="6596" spans="15:15">
      <c r="O6596" s="4288"/>
    </row>
    <row r="6597" spans="15:15">
      <c r="O6597" s="4288"/>
    </row>
    <row r="6598" spans="15:15">
      <c r="O6598" s="4288"/>
    </row>
    <row r="6599" spans="15:15">
      <c r="O6599" s="4288"/>
    </row>
    <row r="6600" spans="15:15">
      <c r="O6600" s="4288"/>
    </row>
    <row r="6601" spans="15:15">
      <c r="O6601" s="4288"/>
    </row>
    <row r="6602" spans="15:15">
      <c r="O6602" s="4288"/>
    </row>
    <row r="6603" spans="15:15">
      <c r="O6603" s="4288"/>
    </row>
    <row r="6604" spans="15:15">
      <c r="O6604" s="4288"/>
    </row>
    <row r="6605" spans="15:15">
      <c r="O6605" s="4288"/>
    </row>
    <row r="6606" spans="15:15">
      <c r="O6606" s="4288"/>
    </row>
    <row r="6607" spans="15:15">
      <c r="O6607" s="4288"/>
    </row>
    <row r="6608" spans="15:15">
      <c r="O6608" s="4288"/>
    </row>
    <row r="6609" spans="15:15">
      <c r="O6609" s="4288"/>
    </row>
    <row r="6610" spans="15:15">
      <c r="O6610" s="4288"/>
    </row>
    <row r="6611" spans="15:15">
      <c r="O6611" s="4288"/>
    </row>
    <row r="6612" spans="15:15">
      <c r="O6612" s="4288"/>
    </row>
    <row r="6613" spans="15:15">
      <c r="O6613" s="4288"/>
    </row>
    <row r="6614" spans="15:15">
      <c r="O6614" s="4288"/>
    </row>
    <row r="6615" spans="15:15">
      <c r="O6615" s="4288"/>
    </row>
    <row r="6616" spans="15:15">
      <c r="O6616" s="4288"/>
    </row>
    <row r="6617" spans="15:15">
      <c r="O6617" s="4288"/>
    </row>
    <row r="6618" spans="15:15">
      <c r="O6618" s="4288"/>
    </row>
    <row r="6619" spans="15:15">
      <c r="O6619" s="4288"/>
    </row>
    <row r="6620" spans="15:15">
      <c r="O6620" s="4288"/>
    </row>
    <row r="6621" spans="15:15">
      <c r="O6621" s="4288"/>
    </row>
    <row r="6622" spans="15:15">
      <c r="O6622" s="4288"/>
    </row>
    <row r="6623" spans="15:15">
      <c r="O6623" s="4288"/>
    </row>
    <row r="6624" spans="15:15">
      <c r="O6624" s="4288"/>
    </row>
    <row r="6625" spans="15:15">
      <c r="O6625" s="4288"/>
    </row>
    <row r="6626" spans="15:15">
      <c r="O6626" s="4288"/>
    </row>
    <row r="6627" spans="15:15">
      <c r="O6627" s="4288"/>
    </row>
    <row r="6628" spans="15:15">
      <c r="O6628" s="4288"/>
    </row>
    <row r="6629" spans="15:15">
      <c r="O6629" s="4288"/>
    </row>
    <row r="6630" spans="15:15">
      <c r="O6630" s="4288"/>
    </row>
    <row r="6631" spans="15:15">
      <c r="O6631" s="4288"/>
    </row>
    <row r="6632" spans="15:15">
      <c r="O6632" s="4288"/>
    </row>
    <row r="6633" spans="15:15">
      <c r="O6633" s="4288"/>
    </row>
    <row r="6634" spans="15:15">
      <c r="O6634" s="4288"/>
    </row>
    <row r="6635" spans="15:15">
      <c r="O6635" s="4288"/>
    </row>
    <row r="6636" spans="15:15">
      <c r="O6636" s="4288"/>
    </row>
    <row r="6637" spans="15:15">
      <c r="O6637" s="4288"/>
    </row>
    <row r="6638" spans="15:15">
      <c r="O6638" s="4288"/>
    </row>
    <row r="6639" spans="15:15">
      <c r="O6639" s="4288"/>
    </row>
    <row r="6640" spans="15:15">
      <c r="O6640" s="4288"/>
    </row>
    <row r="6641" spans="15:15">
      <c r="O6641" s="4288"/>
    </row>
    <row r="6642" spans="15:15">
      <c r="O6642" s="4288"/>
    </row>
    <row r="6643" spans="15:15">
      <c r="O6643" s="4288"/>
    </row>
    <row r="6644" spans="15:15">
      <c r="O6644" s="4288"/>
    </row>
    <row r="6645" spans="15:15">
      <c r="O6645" s="4288"/>
    </row>
    <row r="6646" spans="15:15">
      <c r="O6646" s="4288"/>
    </row>
    <row r="6647" spans="15:15">
      <c r="O6647" s="4288"/>
    </row>
    <row r="6648" spans="15:15">
      <c r="O6648" s="4288"/>
    </row>
    <row r="6649" spans="15:15">
      <c r="O6649" s="4288"/>
    </row>
    <row r="6650" spans="15:15">
      <c r="O6650" s="4288"/>
    </row>
    <row r="6651" spans="15:15">
      <c r="O6651" s="4288"/>
    </row>
    <row r="6652" spans="15:15">
      <c r="O6652" s="4288"/>
    </row>
    <row r="6653" spans="15:15">
      <c r="O6653" s="4288"/>
    </row>
    <row r="6654" spans="15:15">
      <c r="O6654" s="4288"/>
    </row>
    <row r="6655" spans="15:15">
      <c r="O6655" s="4288"/>
    </row>
    <row r="6656" spans="15:15">
      <c r="O6656" s="4288"/>
    </row>
    <row r="6657" spans="15:15">
      <c r="O6657" s="4288"/>
    </row>
    <row r="6658" spans="15:15">
      <c r="O6658" s="4288"/>
    </row>
    <row r="6659" spans="15:15">
      <c r="O6659" s="4288"/>
    </row>
    <row r="6660" spans="15:15">
      <c r="O6660" s="4288"/>
    </row>
    <row r="6661" spans="15:15">
      <c r="O6661" s="4288"/>
    </row>
    <row r="6662" spans="15:15">
      <c r="O6662" s="4288"/>
    </row>
    <row r="6663" spans="15:15">
      <c r="O6663" s="4288"/>
    </row>
    <row r="6664" spans="15:15">
      <c r="O6664" s="4288"/>
    </row>
    <row r="6665" spans="15:15">
      <c r="O6665" s="4288"/>
    </row>
    <row r="6666" spans="15:15">
      <c r="O6666" s="4288"/>
    </row>
    <row r="6667" spans="15:15">
      <c r="O6667" s="4288"/>
    </row>
    <row r="6668" spans="15:15">
      <c r="O6668" s="4288"/>
    </row>
    <row r="6669" spans="15:15">
      <c r="O6669" s="4288"/>
    </row>
    <row r="6670" spans="15:15">
      <c r="O6670" s="4288"/>
    </row>
    <row r="6671" spans="15:15">
      <c r="O6671" s="4288"/>
    </row>
    <row r="6672" spans="15:15">
      <c r="O6672" s="4288"/>
    </row>
    <row r="6673" spans="15:15">
      <c r="O6673" s="4288"/>
    </row>
    <row r="6674" spans="15:15">
      <c r="O6674" s="4288"/>
    </row>
    <row r="6675" spans="15:15">
      <c r="O6675" s="4288"/>
    </row>
    <row r="6676" spans="15:15">
      <c r="O6676" s="4288"/>
    </row>
    <row r="6677" spans="15:15">
      <c r="O6677" s="4288"/>
    </row>
    <row r="6678" spans="15:15">
      <c r="O6678" s="4288"/>
    </row>
    <row r="6679" spans="15:15">
      <c r="O6679" s="4288"/>
    </row>
    <row r="6680" spans="15:15">
      <c r="O6680" s="4288"/>
    </row>
    <row r="6681" spans="15:15">
      <c r="O6681" s="4288"/>
    </row>
    <row r="6682" spans="15:15">
      <c r="O6682" s="4288"/>
    </row>
    <row r="6683" spans="15:15">
      <c r="O6683" s="4288"/>
    </row>
    <row r="6684" spans="15:15">
      <c r="O6684" s="4288"/>
    </row>
    <row r="6685" spans="15:15">
      <c r="O6685" s="4288"/>
    </row>
    <row r="6686" spans="15:15">
      <c r="O6686" s="4288"/>
    </row>
    <row r="6687" spans="15:15">
      <c r="O6687" s="4288"/>
    </row>
    <row r="6688" spans="15:15">
      <c r="O6688" s="4288"/>
    </row>
    <row r="6689" spans="15:15">
      <c r="O6689" s="4288"/>
    </row>
    <row r="6690" spans="15:15">
      <c r="O6690" s="4288"/>
    </row>
    <row r="6691" spans="15:15">
      <c r="O6691" s="4288"/>
    </row>
    <row r="6692" spans="15:15">
      <c r="O6692" s="4288"/>
    </row>
    <row r="6693" spans="15:15">
      <c r="O6693" s="4288"/>
    </row>
    <row r="6694" spans="15:15">
      <c r="O6694" s="4288"/>
    </row>
    <row r="6695" spans="15:15">
      <c r="O6695" s="4288"/>
    </row>
    <row r="6696" spans="15:15">
      <c r="O6696" s="4288"/>
    </row>
    <row r="6697" spans="15:15">
      <c r="O6697" s="4288"/>
    </row>
    <row r="6698" spans="15:15">
      <c r="O6698" s="4288"/>
    </row>
    <row r="6699" spans="15:15">
      <c r="O6699" s="4288"/>
    </row>
    <row r="6700" spans="15:15">
      <c r="O6700" s="4288"/>
    </row>
    <row r="6701" spans="15:15">
      <c r="O6701" s="4288"/>
    </row>
    <row r="6702" spans="15:15">
      <c r="O6702" s="4288"/>
    </row>
    <row r="6703" spans="15:15">
      <c r="O6703" s="4288"/>
    </row>
    <row r="6704" spans="15:15">
      <c r="O6704" s="4288"/>
    </row>
    <row r="6705" spans="15:15">
      <c r="O6705" s="4288"/>
    </row>
    <row r="6706" spans="15:15">
      <c r="O6706" s="4288"/>
    </row>
    <row r="6707" spans="15:15">
      <c r="O6707" s="4288"/>
    </row>
    <row r="6708" spans="15:15">
      <c r="O6708" s="4288"/>
    </row>
    <row r="6709" spans="15:15">
      <c r="O6709" s="4288"/>
    </row>
    <row r="6710" spans="15:15">
      <c r="O6710" s="4288"/>
    </row>
    <row r="6711" spans="15:15">
      <c r="O6711" s="4288"/>
    </row>
    <row r="6712" spans="15:15">
      <c r="O6712" s="4288"/>
    </row>
    <row r="6713" spans="15:15">
      <c r="O6713" s="4288"/>
    </row>
    <row r="6714" spans="15:15">
      <c r="O6714" s="4288"/>
    </row>
    <row r="6715" spans="15:15">
      <c r="O6715" s="4288"/>
    </row>
    <row r="6716" spans="15:15">
      <c r="O6716" s="4288"/>
    </row>
    <row r="6717" spans="15:15">
      <c r="O6717" s="4288"/>
    </row>
    <row r="6718" spans="15:15">
      <c r="O6718" s="4288"/>
    </row>
    <row r="6719" spans="15:15">
      <c r="O6719" s="4288"/>
    </row>
    <row r="6720" spans="15:15">
      <c r="O6720" s="4288"/>
    </row>
    <row r="6721" spans="15:15">
      <c r="O6721" s="4288"/>
    </row>
    <row r="6722" spans="15:15">
      <c r="O6722" s="4288"/>
    </row>
    <row r="6723" spans="15:15">
      <c r="O6723" s="4288"/>
    </row>
    <row r="6724" spans="15:15">
      <c r="O6724" s="4288"/>
    </row>
    <row r="6725" spans="15:15">
      <c r="O6725" s="4288"/>
    </row>
    <row r="6726" spans="15:15">
      <c r="O6726" s="4288"/>
    </row>
    <row r="6727" spans="15:15">
      <c r="O6727" s="4288"/>
    </row>
    <row r="6728" spans="15:15">
      <c r="O6728" s="4288"/>
    </row>
    <row r="6729" spans="15:15">
      <c r="O6729" s="4288"/>
    </row>
    <row r="6730" spans="15:15">
      <c r="O6730" s="4288"/>
    </row>
    <row r="6731" spans="15:15">
      <c r="O6731" s="4288"/>
    </row>
    <row r="6732" spans="15:15">
      <c r="O6732" s="4288"/>
    </row>
    <row r="6733" spans="15:15">
      <c r="O6733" s="4288"/>
    </row>
    <row r="6734" spans="15:15">
      <c r="O6734" s="4288"/>
    </row>
    <row r="6735" spans="15:15">
      <c r="O6735" s="4288"/>
    </row>
    <row r="6736" spans="15:15">
      <c r="O6736" s="4288"/>
    </row>
    <row r="6737" spans="15:15">
      <c r="O6737" s="4288"/>
    </row>
    <row r="6738" spans="15:15">
      <c r="O6738" s="4288"/>
    </row>
    <row r="6739" spans="15:15">
      <c r="O6739" s="4288"/>
    </row>
    <row r="6740" spans="15:15">
      <c r="O6740" s="4288"/>
    </row>
    <row r="6741" spans="15:15">
      <c r="O6741" s="4288"/>
    </row>
    <row r="6742" spans="15:15">
      <c r="O6742" s="4288"/>
    </row>
    <row r="6743" spans="15:15">
      <c r="O6743" s="4288"/>
    </row>
    <row r="6744" spans="15:15">
      <c r="O6744" s="4288"/>
    </row>
    <row r="6745" spans="15:15">
      <c r="O6745" s="4288"/>
    </row>
    <row r="6746" spans="15:15">
      <c r="O6746" s="4288"/>
    </row>
    <row r="6747" spans="15:15">
      <c r="O6747" s="4288"/>
    </row>
    <row r="6748" spans="15:15">
      <c r="O6748" s="4288"/>
    </row>
    <row r="6749" spans="15:15">
      <c r="O6749" s="4288"/>
    </row>
    <row r="6750" spans="15:15">
      <c r="O6750" s="4288"/>
    </row>
    <row r="6751" spans="15:15">
      <c r="O6751" s="4288"/>
    </row>
    <row r="6752" spans="15:15">
      <c r="O6752" s="4288"/>
    </row>
    <row r="6753" spans="15:15">
      <c r="O6753" s="4288"/>
    </row>
    <row r="6754" spans="15:15">
      <c r="O6754" s="4288"/>
    </row>
    <row r="6755" spans="15:15">
      <c r="O6755" s="4288"/>
    </row>
    <row r="6756" spans="15:15">
      <c r="O6756" s="4288"/>
    </row>
    <row r="6757" spans="15:15">
      <c r="O6757" s="4288"/>
    </row>
    <row r="6758" spans="15:15">
      <c r="O6758" s="4288"/>
    </row>
    <row r="6759" spans="15:15">
      <c r="O6759" s="4288"/>
    </row>
    <row r="6760" spans="15:15">
      <c r="O6760" s="4288"/>
    </row>
    <row r="6761" spans="15:15">
      <c r="O6761" s="4288"/>
    </row>
    <row r="6762" spans="15:15">
      <c r="O6762" s="4288"/>
    </row>
    <row r="6763" spans="15:15">
      <c r="O6763" s="4288"/>
    </row>
    <row r="6764" spans="15:15">
      <c r="O6764" s="4288"/>
    </row>
    <row r="6765" spans="15:15">
      <c r="O6765" s="4288"/>
    </row>
    <row r="6766" spans="15:15">
      <c r="O6766" s="4288"/>
    </row>
    <row r="6767" spans="15:15">
      <c r="O6767" s="4288"/>
    </row>
    <row r="6768" spans="15:15">
      <c r="O6768" s="4288"/>
    </row>
    <row r="6769" spans="15:15">
      <c r="O6769" s="4288"/>
    </row>
    <row r="6770" spans="15:15">
      <c r="O6770" s="4288"/>
    </row>
    <row r="6771" spans="15:15">
      <c r="O6771" s="4288"/>
    </row>
    <row r="6772" spans="15:15">
      <c r="O6772" s="4288"/>
    </row>
    <row r="6773" spans="15:15">
      <c r="O6773" s="4288"/>
    </row>
    <row r="6774" spans="15:15">
      <c r="O6774" s="4288"/>
    </row>
    <row r="6775" spans="15:15">
      <c r="O6775" s="4288"/>
    </row>
    <row r="6776" spans="15:15">
      <c r="O6776" s="4288"/>
    </row>
    <row r="6777" spans="15:15">
      <c r="O6777" s="4288"/>
    </row>
    <row r="6778" spans="15:15">
      <c r="O6778" s="4288"/>
    </row>
    <row r="6779" spans="15:15">
      <c r="O6779" s="4288"/>
    </row>
    <row r="6780" spans="15:15">
      <c r="O6780" s="4288"/>
    </row>
    <row r="6781" spans="15:15">
      <c r="O6781" s="4288"/>
    </row>
    <row r="6782" spans="15:15">
      <c r="O6782" s="4288"/>
    </row>
    <row r="6783" spans="15:15">
      <c r="O6783" s="4288"/>
    </row>
    <row r="6784" spans="15:15">
      <c r="O6784" s="4288"/>
    </row>
    <row r="6785" spans="15:15">
      <c r="O6785" s="4288"/>
    </row>
    <row r="6786" spans="15:15">
      <c r="O6786" s="4288"/>
    </row>
    <row r="6787" spans="15:15">
      <c r="O6787" s="4288"/>
    </row>
    <row r="6788" spans="15:15">
      <c r="O6788" s="4288"/>
    </row>
    <row r="6789" spans="15:15">
      <c r="O6789" s="4288"/>
    </row>
    <row r="6790" spans="15:15">
      <c r="O6790" s="4288"/>
    </row>
    <row r="6791" spans="15:15">
      <c r="O6791" s="4288"/>
    </row>
    <row r="6792" spans="15:15">
      <c r="O6792" s="4288"/>
    </row>
    <row r="6793" spans="15:15">
      <c r="O6793" s="4288"/>
    </row>
    <row r="6794" spans="15:15">
      <c r="O6794" s="4288"/>
    </row>
    <row r="6795" spans="15:15">
      <c r="O6795" s="4288"/>
    </row>
    <row r="6796" spans="15:15">
      <c r="O6796" s="4288"/>
    </row>
    <row r="6797" spans="15:15">
      <c r="O6797" s="4288"/>
    </row>
    <row r="6798" spans="15:15">
      <c r="O6798" s="4288"/>
    </row>
    <row r="6799" spans="15:15">
      <c r="O6799" s="4288"/>
    </row>
    <row r="6800" spans="15:15">
      <c r="O6800" s="4288"/>
    </row>
    <row r="6801" spans="15:15">
      <c r="O6801" s="4288"/>
    </row>
    <row r="6802" spans="15:15">
      <c r="O6802" s="4288"/>
    </row>
    <row r="6803" spans="15:15">
      <c r="O6803" s="4288"/>
    </row>
    <row r="6804" spans="15:15">
      <c r="O6804" s="4288"/>
    </row>
    <row r="6805" spans="15:15">
      <c r="O6805" s="4288"/>
    </row>
    <row r="6806" spans="15:15">
      <c r="O6806" s="4288"/>
    </row>
    <row r="6807" spans="15:15">
      <c r="O6807" s="4288"/>
    </row>
    <row r="6808" spans="15:15">
      <c r="O6808" s="4288"/>
    </row>
    <row r="6809" spans="15:15">
      <c r="O6809" s="4288"/>
    </row>
    <row r="6810" spans="15:15">
      <c r="O6810" s="4288"/>
    </row>
    <row r="6811" spans="15:15">
      <c r="O6811" s="4288"/>
    </row>
    <row r="6812" spans="15:15">
      <c r="O6812" s="4288"/>
    </row>
    <row r="6813" spans="15:15">
      <c r="O6813" s="4288"/>
    </row>
    <row r="6814" spans="15:15">
      <c r="O6814" s="4288"/>
    </row>
    <row r="6815" spans="15:15">
      <c r="O6815" s="4288"/>
    </row>
    <row r="6816" spans="15:15">
      <c r="O6816" s="4288"/>
    </row>
    <row r="6817" spans="15:15">
      <c r="O6817" s="4288"/>
    </row>
    <row r="6818" spans="15:15">
      <c r="O6818" s="4288"/>
    </row>
    <row r="6819" spans="15:15">
      <c r="O6819" s="4288"/>
    </row>
    <row r="6820" spans="15:15">
      <c r="O6820" s="4288"/>
    </row>
    <row r="6821" spans="15:15">
      <c r="O6821" s="4288"/>
    </row>
    <row r="6822" spans="15:15">
      <c r="O6822" s="4288"/>
    </row>
    <row r="6823" spans="15:15">
      <c r="O6823" s="4288"/>
    </row>
    <row r="6824" spans="15:15">
      <c r="O6824" s="4288"/>
    </row>
    <row r="6825" spans="15:15">
      <c r="O6825" s="4288"/>
    </row>
    <row r="6826" spans="15:15">
      <c r="O6826" s="4288"/>
    </row>
    <row r="6827" spans="15:15">
      <c r="O6827" s="4288"/>
    </row>
    <row r="6828" spans="15:15">
      <c r="O6828" s="4288"/>
    </row>
    <row r="6829" spans="15:15">
      <c r="O6829" s="4288"/>
    </row>
    <row r="6830" spans="15:15">
      <c r="O6830" s="4288"/>
    </row>
    <row r="6831" spans="15:15">
      <c r="O6831" s="4288"/>
    </row>
    <row r="6832" spans="15:15">
      <c r="O6832" s="4288"/>
    </row>
    <row r="6833" spans="15:15">
      <c r="O6833" s="4288"/>
    </row>
    <row r="6834" spans="15:15">
      <c r="O6834" s="4288"/>
    </row>
    <row r="6835" spans="15:15">
      <c r="O6835" s="4288"/>
    </row>
    <row r="6836" spans="15:15">
      <c r="O6836" s="4288"/>
    </row>
    <row r="6837" spans="15:15">
      <c r="O6837" s="4288"/>
    </row>
    <row r="6838" spans="15:15">
      <c r="O6838" s="4288"/>
    </row>
    <row r="6839" spans="15:15">
      <c r="O6839" s="4288"/>
    </row>
    <row r="6840" spans="15:15">
      <c r="O6840" s="4288"/>
    </row>
    <row r="6841" spans="15:15">
      <c r="O6841" s="4288"/>
    </row>
    <row r="6842" spans="15:15">
      <c r="O6842" s="4288"/>
    </row>
    <row r="6843" spans="15:15">
      <c r="O6843" s="4288"/>
    </row>
    <row r="6844" spans="15:15">
      <c r="O6844" s="4288"/>
    </row>
    <row r="6845" spans="15:15">
      <c r="O6845" s="4288"/>
    </row>
    <row r="6846" spans="15:15">
      <c r="O6846" s="4288"/>
    </row>
    <row r="6847" spans="15:15">
      <c r="O6847" s="4288"/>
    </row>
    <row r="6848" spans="15:15">
      <c r="O6848" s="4288"/>
    </row>
    <row r="6849" spans="15:15">
      <c r="O6849" s="4288"/>
    </row>
    <row r="6850" spans="15:15">
      <c r="O6850" s="4288"/>
    </row>
    <row r="6851" spans="15:15">
      <c r="O6851" s="4288"/>
    </row>
    <row r="6852" spans="15:15">
      <c r="O6852" s="4288"/>
    </row>
    <row r="6853" spans="15:15">
      <c r="O6853" s="4288"/>
    </row>
    <row r="6854" spans="15:15">
      <c r="O6854" s="4288"/>
    </row>
    <row r="6855" spans="15:15">
      <c r="O6855" s="4288"/>
    </row>
    <row r="6856" spans="15:15">
      <c r="O6856" s="4288"/>
    </row>
    <row r="6857" spans="15:15">
      <c r="O6857" s="4288"/>
    </row>
    <row r="6858" spans="15:15">
      <c r="O6858" s="4288"/>
    </row>
    <row r="6859" spans="15:15">
      <c r="O6859" s="4288"/>
    </row>
    <row r="6860" spans="15:15">
      <c r="O6860" s="4288"/>
    </row>
    <row r="6861" spans="15:15">
      <c r="O6861" s="4288"/>
    </row>
    <row r="6862" spans="15:15">
      <c r="O6862" s="4288"/>
    </row>
    <row r="6863" spans="15:15">
      <c r="O6863" s="4288"/>
    </row>
    <row r="6864" spans="15:15">
      <c r="O6864" s="4288"/>
    </row>
    <row r="6865" spans="15:15">
      <c r="O6865" s="4288"/>
    </row>
    <row r="6866" spans="15:15">
      <c r="O6866" s="4288"/>
    </row>
    <row r="6867" spans="15:15">
      <c r="O6867" s="4288"/>
    </row>
    <row r="6868" spans="15:15">
      <c r="O6868" s="4288"/>
    </row>
    <row r="6869" spans="15:15">
      <c r="O6869" s="4288"/>
    </row>
    <row r="6870" spans="15:15">
      <c r="O6870" s="4288"/>
    </row>
    <row r="6871" spans="15:15">
      <c r="O6871" s="4288"/>
    </row>
    <row r="6872" spans="15:15">
      <c r="O6872" s="4288"/>
    </row>
    <row r="6873" spans="15:15">
      <c r="O6873" s="4288"/>
    </row>
    <row r="6874" spans="15:15">
      <c r="O6874" s="4288"/>
    </row>
    <row r="6875" spans="15:15">
      <c r="O6875" s="4288"/>
    </row>
    <row r="6876" spans="15:15">
      <c r="O6876" s="4288"/>
    </row>
    <row r="6877" spans="15:15">
      <c r="O6877" s="4288"/>
    </row>
    <row r="6878" spans="15:15">
      <c r="O6878" s="4288"/>
    </row>
    <row r="6879" spans="15:15">
      <c r="O6879" s="4288"/>
    </row>
    <row r="6880" spans="15:15">
      <c r="O6880" s="4288"/>
    </row>
    <row r="6881" spans="15:15">
      <c r="O6881" s="4288"/>
    </row>
    <row r="6882" spans="15:15">
      <c r="O6882" s="4288"/>
    </row>
    <row r="6883" spans="15:15">
      <c r="O6883" s="4288"/>
    </row>
    <row r="6884" spans="15:15">
      <c r="O6884" s="4288"/>
    </row>
    <row r="6885" spans="15:15">
      <c r="O6885" s="4288"/>
    </row>
    <row r="6886" spans="15:15">
      <c r="O6886" s="4288"/>
    </row>
    <row r="6887" spans="15:15">
      <c r="O6887" s="4288"/>
    </row>
    <row r="6888" spans="15:15">
      <c r="O6888" s="4288"/>
    </row>
    <row r="6889" spans="15:15">
      <c r="O6889" s="4288"/>
    </row>
    <row r="6890" spans="15:15">
      <c r="O6890" s="4288"/>
    </row>
    <row r="6891" spans="15:15">
      <c r="O6891" s="4288"/>
    </row>
    <row r="6892" spans="15:15">
      <c r="O6892" s="4288"/>
    </row>
    <row r="6893" spans="15:15">
      <c r="O6893" s="4288"/>
    </row>
    <row r="6894" spans="15:15">
      <c r="O6894" s="4288"/>
    </row>
    <row r="6895" spans="15:15">
      <c r="O6895" s="4288"/>
    </row>
    <row r="6896" spans="15:15">
      <c r="O6896" s="4288"/>
    </row>
    <row r="6897" spans="15:15">
      <c r="O6897" s="4288"/>
    </row>
    <row r="6898" spans="15:15">
      <c r="O6898" s="4288"/>
    </row>
    <row r="6899" spans="15:15">
      <c r="O6899" s="4288"/>
    </row>
    <row r="6900" spans="15:15">
      <c r="O6900" s="4288"/>
    </row>
    <row r="6901" spans="15:15">
      <c r="O6901" s="4288"/>
    </row>
    <row r="6902" spans="15:15">
      <c r="O6902" s="4288"/>
    </row>
    <row r="6903" spans="15:15">
      <c r="O6903" s="4288"/>
    </row>
    <row r="6904" spans="15:15">
      <c r="O6904" s="4288"/>
    </row>
    <row r="6905" spans="15:15">
      <c r="O6905" s="4288"/>
    </row>
    <row r="6906" spans="15:15">
      <c r="O6906" s="4288"/>
    </row>
    <row r="6907" spans="15:15">
      <c r="O6907" s="4288"/>
    </row>
    <row r="6908" spans="15:15">
      <c r="O6908" s="4288"/>
    </row>
    <row r="6909" spans="15:15">
      <c r="O6909" s="4288"/>
    </row>
    <row r="6910" spans="15:15">
      <c r="O6910" s="4288"/>
    </row>
    <row r="6911" spans="15:15">
      <c r="O6911" s="4288"/>
    </row>
    <row r="6912" spans="15:15">
      <c r="O6912" s="4288"/>
    </row>
    <row r="6913" spans="15:15">
      <c r="O6913" s="4288"/>
    </row>
    <row r="6914" spans="15:15">
      <c r="O6914" s="4288"/>
    </row>
    <row r="6915" spans="15:15">
      <c r="O6915" s="4288"/>
    </row>
    <row r="6916" spans="15:15">
      <c r="O6916" s="4288"/>
    </row>
    <row r="6917" spans="15:15">
      <c r="O6917" s="4288"/>
    </row>
    <row r="6918" spans="15:15">
      <c r="O6918" s="4288"/>
    </row>
    <row r="6919" spans="15:15">
      <c r="O6919" s="4288"/>
    </row>
    <row r="6920" spans="15:15">
      <c r="O6920" s="4288"/>
    </row>
    <row r="6921" spans="15:15">
      <c r="O6921" s="4288"/>
    </row>
    <row r="6922" spans="15:15">
      <c r="O6922" s="4288"/>
    </row>
    <row r="6923" spans="15:15">
      <c r="O6923" s="4288"/>
    </row>
    <row r="6924" spans="15:15">
      <c r="O6924" s="4288"/>
    </row>
    <row r="6925" spans="15:15">
      <c r="O6925" s="4288"/>
    </row>
    <row r="6926" spans="15:15">
      <c r="O6926" s="4288"/>
    </row>
    <row r="6927" spans="15:15">
      <c r="O6927" s="4288"/>
    </row>
    <row r="6928" spans="15:15">
      <c r="O6928" s="4288"/>
    </row>
    <row r="6929" spans="15:15">
      <c r="O6929" s="4288"/>
    </row>
    <row r="6930" spans="15:15">
      <c r="O6930" s="4288"/>
    </row>
    <row r="6931" spans="15:15">
      <c r="O6931" s="4288"/>
    </row>
    <row r="6932" spans="15:15">
      <c r="O6932" s="4288"/>
    </row>
    <row r="6933" spans="15:15">
      <c r="O6933" s="4288"/>
    </row>
    <row r="6934" spans="15:15">
      <c r="O6934" s="4288"/>
    </row>
    <row r="6935" spans="15:15">
      <c r="O6935" s="4288"/>
    </row>
    <row r="6936" spans="15:15">
      <c r="O6936" s="4288"/>
    </row>
    <row r="6937" spans="15:15">
      <c r="O6937" s="4288"/>
    </row>
    <row r="6938" spans="15:15">
      <c r="O6938" s="4288"/>
    </row>
    <row r="6939" spans="15:15">
      <c r="O6939" s="4288"/>
    </row>
    <row r="6940" spans="15:15">
      <c r="O6940" s="4288"/>
    </row>
    <row r="6941" spans="15:15">
      <c r="O6941" s="4288"/>
    </row>
    <row r="6942" spans="15:15">
      <c r="O6942" s="4288"/>
    </row>
    <row r="6943" spans="15:15">
      <c r="O6943" s="4288"/>
    </row>
    <row r="6944" spans="15:15">
      <c r="O6944" s="4288"/>
    </row>
    <row r="6945" spans="15:15">
      <c r="O6945" s="4288"/>
    </row>
    <row r="6946" spans="15:15">
      <c r="O6946" s="4288"/>
    </row>
    <row r="6947" spans="15:15">
      <c r="O6947" s="4288"/>
    </row>
    <row r="6948" spans="15:15">
      <c r="O6948" s="4288"/>
    </row>
    <row r="6949" spans="15:15">
      <c r="O6949" s="4288"/>
    </row>
    <row r="6950" spans="15:15">
      <c r="O6950" s="4288"/>
    </row>
    <row r="6951" spans="15:15">
      <c r="O6951" s="4288"/>
    </row>
    <row r="6952" spans="15:15">
      <c r="O6952" s="4288"/>
    </row>
    <row r="6953" spans="15:15">
      <c r="O6953" s="4288"/>
    </row>
    <row r="6954" spans="15:15">
      <c r="O6954" s="4288"/>
    </row>
    <row r="6955" spans="15:15">
      <c r="O6955" s="4288"/>
    </row>
    <row r="6956" spans="15:15">
      <c r="O6956" s="4288"/>
    </row>
    <row r="6957" spans="15:15">
      <c r="O6957" s="4288"/>
    </row>
    <row r="6958" spans="15:15">
      <c r="O6958" s="4288"/>
    </row>
    <row r="6959" spans="15:15">
      <c r="O6959" s="4288"/>
    </row>
    <row r="6960" spans="15:15">
      <c r="O6960" s="4288"/>
    </row>
    <row r="6961" spans="15:15">
      <c r="O6961" s="4288"/>
    </row>
    <row r="6962" spans="15:15">
      <c r="O6962" s="4288"/>
    </row>
    <row r="6963" spans="15:15">
      <c r="O6963" s="4288"/>
    </row>
    <row r="6964" spans="15:15">
      <c r="O6964" s="4288"/>
    </row>
    <row r="6965" spans="15:15">
      <c r="O6965" s="4288"/>
    </row>
    <row r="6966" spans="15:15">
      <c r="O6966" s="4288"/>
    </row>
    <row r="6967" spans="15:15">
      <c r="O6967" s="4288"/>
    </row>
    <row r="6968" spans="15:15">
      <c r="O6968" s="4288"/>
    </row>
    <row r="6969" spans="15:15">
      <c r="O6969" s="4288"/>
    </row>
    <row r="6970" spans="15:15">
      <c r="O6970" s="4288"/>
    </row>
    <row r="6971" spans="15:15">
      <c r="O6971" s="4288"/>
    </row>
    <row r="6972" spans="15:15">
      <c r="O6972" s="4288"/>
    </row>
    <row r="6973" spans="15:15">
      <c r="O6973" s="4288"/>
    </row>
    <row r="6974" spans="15:15">
      <c r="O6974" s="4288"/>
    </row>
    <row r="6975" spans="15:15">
      <c r="O6975" s="4288"/>
    </row>
    <row r="6976" spans="15:15">
      <c r="O6976" s="4288"/>
    </row>
    <row r="6977" spans="15:15">
      <c r="O6977" s="4288"/>
    </row>
    <row r="6978" spans="15:15">
      <c r="O6978" s="4288"/>
    </row>
    <row r="6979" spans="15:15">
      <c r="O6979" s="4288"/>
    </row>
    <row r="6980" spans="15:15">
      <c r="O6980" s="4288"/>
    </row>
    <row r="6981" spans="15:15">
      <c r="O6981" s="4288"/>
    </row>
    <row r="6982" spans="15:15">
      <c r="O6982" s="4288"/>
    </row>
    <row r="6983" spans="15:15">
      <c r="O6983" s="4288"/>
    </row>
    <row r="6984" spans="15:15">
      <c r="O6984" s="4288"/>
    </row>
    <row r="6985" spans="15:15">
      <c r="O6985" s="4288"/>
    </row>
    <row r="6986" spans="15:15">
      <c r="O6986" s="4288"/>
    </row>
    <row r="6987" spans="15:15">
      <c r="O6987" s="4288"/>
    </row>
    <row r="6988" spans="15:15">
      <c r="O6988" s="4288"/>
    </row>
    <row r="6989" spans="15:15">
      <c r="O6989" s="4288"/>
    </row>
    <row r="6990" spans="15:15">
      <c r="O6990" s="4288"/>
    </row>
    <row r="6991" spans="15:15">
      <c r="O6991" s="4288"/>
    </row>
    <row r="6992" spans="15:15">
      <c r="O6992" s="4288"/>
    </row>
    <row r="6993" spans="15:15">
      <c r="O6993" s="4288"/>
    </row>
    <row r="6994" spans="15:15">
      <c r="O6994" s="4288"/>
    </row>
    <row r="6995" spans="15:15">
      <c r="O6995" s="4288"/>
    </row>
    <row r="6996" spans="15:15">
      <c r="O6996" s="4288"/>
    </row>
    <row r="6997" spans="15:15">
      <c r="O6997" s="4288"/>
    </row>
    <row r="6998" spans="15:15">
      <c r="O6998" s="4288"/>
    </row>
    <row r="6999" spans="15:15">
      <c r="O6999" s="4288"/>
    </row>
    <row r="7000" spans="15:15">
      <c r="O7000" s="4288"/>
    </row>
    <row r="7001" spans="15:15">
      <c r="O7001" s="4288"/>
    </row>
    <row r="7002" spans="15:15">
      <c r="O7002" s="4288"/>
    </row>
    <row r="7003" spans="15:15">
      <c r="O7003" s="4288"/>
    </row>
    <row r="7004" spans="15:15">
      <c r="O7004" s="4288"/>
    </row>
    <row r="7005" spans="15:15">
      <c r="O7005" s="4288"/>
    </row>
    <row r="7006" spans="15:15">
      <c r="O7006" s="4288"/>
    </row>
    <row r="7007" spans="15:15">
      <c r="O7007" s="4288"/>
    </row>
    <row r="7008" spans="15:15">
      <c r="O7008" s="4288"/>
    </row>
    <row r="7009" spans="15:15">
      <c r="O7009" s="4288"/>
    </row>
    <row r="7010" spans="15:15">
      <c r="O7010" s="4288"/>
    </row>
    <row r="7011" spans="15:15">
      <c r="O7011" s="4288"/>
    </row>
    <row r="7012" spans="15:15">
      <c r="O7012" s="4288"/>
    </row>
    <row r="7013" spans="15:15">
      <c r="O7013" s="4288"/>
    </row>
    <row r="7014" spans="15:15">
      <c r="O7014" s="4288"/>
    </row>
    <row r="7015" spans="15:15">
      <c r="O7015" s="4288"/>
    </row>
    <row r="7016" spans="15:15">
      <c r="O7016" s="4288"/>
    </row>
    <row r="7017" spans="15:15">
      <c r="O7017" s="4288"/>
    </row>
    <row r="7018" spans="15:15">
      <c r="O7018" s="4288"/>
    </row>
    <row r="7019" spans="15:15">
      <c r="O7019" s="4288"/>
    </row>
    <row r="7020" spans="15:15">
      <c r="O7020" s="4288"/>
    </row>
    <row r="7021" spans="15:15">
      <c r="O7021" s="4288"/>
    </row>
    <row r="7022" spans="15:15">
      <c r="O7022" s="4288"/>
    </row>
    <row r="7023" spans="15:15">
      <c r="O7023" s="4288"/>
    </row>
    <row r="7024" spans="15:15">
      <c r="O7024" s="4288"/>
    </row>
    <row r="7025" spans="15:15">
      <c r="O7025" s="4288"/>
    </row>
    <row r="7026" spans="15:15">
      <c r="O7026" s="4288"/>
    </row>
    <row r="7027" spans="15:15">
      <c r="O7027" s="4288"/>
    </row>
    <row r="7028" spans="15:15">
      <c r="O7028" s="4288"/>
    </row>
    <row r="7029" spans="15:15">
      <c r="O7029" s="4288"/>
    </row>
    <row r="7030" spans="15:15">
      <c r="O7030" s="4288"/>
    </row>
    <row r="7031" spans="15:15">
      <c r="O7031" s="4288"/>
    </row>
    <row r="7032" spans="15:15">
      <c r="O7032" s="4288"/>
    </row>
    <row r="7033" spans="15:15">
      <c r="O7033" s="4288"/>
    </row>
    <row r="7034" spans="15:15">
      <c r="O7034" s="4288"/>
    </row>
    <row r="7035" spans="15:15">
      <c r="O7035" s="4288"/>
    </row>
    <row r="7036" spans="15:15">
      <c r="O7036" s="4288"/>
    </row>
    <row r="7037" spans="15:15">
      <c r="O7037" s="4288"/>
    </row>
    <row r="7038" spans="15:15">
      <c r="O7038" s="4288"/>
    </row>
    <row r="7039" spans="15:15">
      <c r="O7039" s="4288"/>
    </row>
    <row r="7040" spans="15:15">
      <c r="O7040" s="4288"/>
    </row>
    <row r="7041" spans="15:15">
      <c r="O7041" s="4288"/>
    </row>
    <row r="7042" spans="15:15">
      <c r="O7042" s="4288"/>
    </row>
    <row r="7043" spans="15:15">
      <c r="O7043" s="4288"/>
    </row>
    <row r="7044" spans="15:15">
      <c r="O7044" s="4288"/>
    </row>
    <row r="7045" spans="15:15">
      <c r="O7045" s="4288"/>
    </row>
    <row r="7046" spans="15:15">
      <c r="O7046" s="4288"/>
    </row>
    <row r="7047" spans="15:15">
      <c r="O7047" s="4288"/>
    </row>
    <row r="7048" spans="15:15">
      <c r="O7048" s="4288"/>
    </row>
    <row r="7049" spans="15:15">
      <c r="O7049" s="4288"/>
    </row>
    <row r="7050" spans="15:15">
      <c r="O7050" s="4288"/>
    </row>
    <row r="7051" spans="15:15">
      <c r="O7051" s="4288"/>
    </row>
    <row r="7052" spans="15:15">
      <c r="O7052" s="4288"/>
    </row>
    <row r="7053" spans="15:15">
      <c r="O7053" s="4288"/>
    </row>
    <row r="7054" spans="15:15">
      <c r="O7054" s="4288"/>
    </row>
    <row r="7055" spans="15:15">
      <c r="O7055" s="4288"/>
    </row>
    <row r="7056" spans="15:15">
      <c r="O7056" s="4288"/>
    </row>
    <row r="7057" spans="15:15">
      <c r="O7057" s="4288"/>
    </row>
    <row r="7058" spans="15:15">
      <c r="O7058" s="4288"/>
    </row>
    <row r="7059" spans="15:15">
      <c r="O7059" s="4288"/>
    </row>
    <row r="7060" spans="15:15">
      <c r="O7060" s="4288"/>
    </row>
    <row r="7061" spans="15:15">
      <c r="O7061" s="4288"/>
    </row>
    <row r="7062" spans="15:15">
      <c r="O7062" s="4288"/>
    </row>
    <row r="7063" spans="15:15">
      <c r="O7063" s="4288"/>
    </row>
    <row r="7064" spans="15:15">
      <c r="O7064" s="4288"/>
    </row>
    <row r="7065" spans="15:15">
      <c r="O7065" s="4288"/>
    </row>
    <row r="7066" spans="15:15">
      <c r="O7066" s="4288"/>
    </row>
    <row r="7067" spans="15:15">
      <c r="O7067" s="4288"/>
    </row>
    <row r="7068" spans="15:15">
      <c r="O7068" s="4288"/>
    </row>
    <row r="7069" spans="15:15">
      <c r="O7069" s="4288"/>
    </row>
    <row r="7070" spans="15:15">
      <c r="O7070" s="4288"/>
    </row>
    <row r="7071" spans="15:15">
      <c r="O7071" s="4288"/>
    </row>
    <row r="7072" spans="15:15">
      <c r="O7072" s="4288"/>
    </row>
    <row r="7073" spans="15:15">
      <c r="O7073" s="4288"/>
    </row>
    <row r="7074" spans="15:15">
      <c r="O7074" s="4288"/>
    </row>
    <row r="7075" spans="15:15">
      <c r="O7075" s="4288"/>
    </row>
    <row r="7076" spans="15:15">
      <c r="O7076" s="4288"/>
    </row>
    <row r="7077" spans="15:15">
      <c r="O7077" s="4288"/>
    </row>
    <row r="7078" spans="15:15">
      <c r="O7078" s="4288"/>
    </row>
    <row r="7079" spans="15:15">
      <c r="O7079" s="4288"/>
    </row>
    <row r="7080" spans="15:15">
      <c r="O7080" s="4288"/>
    </row>
    <row r="7081" spans="15:15">
      <c r="O7081" s="4288"/>
    </row>
    <row r="7082" spans="15:15">
      <c r="O7082" s="4288"/>
    </row>
    <row r="7083" spans="15:15">
      <c r="O7083" s="4288"/>
    </row>
    <row r="7084" spans="15:15">
      <c r="O7084" s="4288"/>
    </row>
    <row r="7085" spans="15:15">
      <c r="O7085" s="4288"/>
    </row>
    <row r="7086" spans="15:15">
      <c r="O7086" s="4288"/>
    </row>
    <row r="7087" spans="15:15">
      <c r="O7087" s="4288"/>
    </row>
    <row r="7088" spans="15:15">
      <c r="O7088" s="4288"/>
    </row>
    <row r="7089" spans="15:15">
      <c r="O7089" s="4288"/>
    </row>
    <row r="7090" spans="15:15">
      <c r="O7090" s="4288"/>
    </row>
    <row r="7091" spans="15:15">
      <c r="O7091" s="4288"/>
    </row>
    <row r="7092" spans="15:15">
      <c r="O7092" s="4288"/>
    </row>
    <row r="7093" spans="15:15">
      <c r="O7093" s="4288"/>
    </row>
    <row r="7094" spans="15:15">
      <c r="O7094" s="4288"/>
    </row>
    <row r="7095" spans="15:15">
      <c r="O7095" s="4288"/>
    </row>
    <row r="7096" spans="15:15">
      <c r="O7096" s="4288"/>
    </row>
    <row r="7097" spans="15:15">
      <c r="O7097" s="4288"/>
    </row>
    <row r="7098" spans="15:15">
      <c r="O7098" s="4288"/>
    </row>
    <row r="7099" spans="15:15">
      <c r="O7099" s="4288"/>
    </row>
    <row r="7100" spans="15:15">
      <c r="O7100" s="4288"/>
    </row>
    <row r="7101" spans="15:15">
      <c r="O7101" s="4288"/>
    </row>
    <row r="7102" spans="15:15">
      <c r="O7102" s="4288"/>
    </row>
    <row r="7103" spans="15:15">
      <c r="O7103" s="4288"/>
    </row>
    <row r="7104" spans="15:15">
      <c r="O7104" s="4288"/>
    </row>
    <row r="7105" spans="15:15">
      <c r="O7105" s="4288"/>
    </row>
    <row r="7106" spans="15:15">
      <c r="O7106" s="4288"/>
    </row>
    <row r="7107" spans="15:15">
      <c r="O7107" s="4288"/>
    </row>
    <row r="7108" spans="15:15">
      <c r="O7108" s="4288"/>
    </row>
    <row r="7109" spans="15:15">
      <c r="O7109" s="4288"/>
    </row>
    <row r="7110" spans="15:15">
      <c r="O7110" s="4288"/>
    </row>
    <row r="7111" spans="15:15">
      <c r="O7111" s="4288"/>
    </row>
    <row r="7112" spans="15:15">
      <c r="O7112" s="4288"/>
    </row>
    <row r="7113" spans="15:15">
      <c r="O7113" s="4288"/>
    </row>
    <row r="7114" spans="15:15">
      <c r="O7114" s="4288"/>
    </row>
    <row r="7115" spans="15:15">
      <c r="O7115" s="4288"/>
    </row>
    <row r="7116" spans="15:15">
      <c r="O7116" s="4288"/>
    </row>
    <row r="7117" spans="15:15">
      <c r="O7117" s="4288"/>
    </row>
    <row r="7118" spans="15:15">
      <c r="O7118" s="4288"/>
    </row>
    <row r="7119" spans="15:15">
      <c r="O7119" s="4288"/>
    </row>
    <row r="7120" spans="15:15">
      <c r="O7120" s="4288"/>
    </row>
    <row r="7121" spans="15:15">
      <c r="O7121" s="4288"/>
    </row>
    <row r="7122" spans="15:15">
      <c r="O7122" s="4288"/>
    </row>
    <row r="7123" spans="15:15">
      <c r="O7123" s="4288"/>
    </row>
    <row r="7124" spans="15:15">
      <c r="O7124" s="4288"/>
    </row>
    <row r="7125" spans="15:15">
      <c r="O7125" s="4288"/>
    </row>
    <row r="7126" spans="15:15">
      <c r="O7126" s="4288"/>
    </row>
    <row r="7127" spans="15:15">
      <c r="O7127" s="4288"/>
    </row>
    <row r="7128" spans="15:15">
      <c r="O7128" s="4288"/>
    </row>
    <row r="7129" spans="15:15">
      <c r="O7129" s="4288"/>
    </row>
    <row r="7130" spans="15:15">
      <c r="O7130" s="4288"/>
    </row>
    <row r="7131" spans="15:15">
      <c r="O7131" s="4288"/>
    </row>
    <row r="7132" spans="15:15">
      <c r="O7132" s="4288"/>
    </row>
    <row r="7133" spans="15:15">
      <c r="O7133" s="4288"/>
    </row>
    <row r="7134" spans="15:15">
      <c r="O7134" s="4288"/>
    </row>
    <row r="7135" spans="15:15">
      <c r="O7135" s="4288"/>
    </row>
    <row r="7136" spans="15:15">
      <c r="O7136" s="4288"/>
    </row>
    <row r="7137" spans="15:15">
      <c r="O7137" s="4288"/>
    </row>
    <row r="7138" spans="15:15">
      <c r="O7138" s="4288"/>
    </row>
    <row r="7139" spans="15:15">
      <c r="O7139" s="4288"/>
    </row>
    <row r="7140" spans="15:15">
      <c r="O7140" s="4288"/>
    </row>
    <row r="7141" spans="15:15">
      <c r="O7141" s="4288"/>
    </row>
    <row r="7142" spans="15:15">
      <c r="O7142" s="4288"/>
    </row>
    <row r="7143" spans="15:15">
      <c r="O7143" s="4288"/>
    </row>
    <row r="7144" spans="15:15">
      <c r="O7144" s="4288"/>
    </row>
    <row r="7145" spans="15:15">
      <c r="O7145" s="4288"/>
    </row>
    <row r="7146" spans="15:15">
      <c r="O7146" s="4288"/>
    </row>
    <row r="7147" spans="15:15">
      <c r="O7147" s="4288"/>
    </row>
    <row r="7148" spans="15:15">
      <c r="O7148" s="4288"/>
    </row>
    <row r="7149" spans="15:15">
      <c r="O7149" s="4288"/>
    </row>
    <row r="7150" spans="15:15">
      <c r="O7150" s="4288"/>
    </row>
    <row r="7151" spans="15:15">
      <c r="O7151" s="4288"/>
    </row>
    <row r="7152" spans="15:15">
      <c r="O7152" s="4288"/>
    </row>
    <row r="7153" spans="15:15">
      <c r="O7153" s="4288"/>
    </row>
    <row r="7154" spans="15:15">
      <c r="O7154" s="4288"/>
    </row>
    <row r="7155" spans="15:15">
      <c r="O7155" s="4288"/>
    </row>
    <row r="7156" spans="15:15">
      <c r="O7156" s="4288"/>
    </row>
    <row r="7157" spans="15:15">
      <c r="O7157" s="4288"/>
    </row>
    <row r="7158" spans="15:15">
      <c r="O7158" s="4288"/>
    </row>
    <row r="7159" spans="15:15">
      <c r="O7159" s="4288"/>
    </row>
    <row r="7160" spans="15:15">
      <c r="O7160" s="4288"/>
    </row>
    <row r="7161" spans="15:15">
      <c r="O7161" s="4288"/>
    </row>
    <row r="7162" spans="15:15">
      <c r="O7162" s="4288"/>
    </row>
    <row r="7163" spans="15:15">
      <c r="O7163" s="4288"/>
    </row>
    <row r="7164" spans="15:15">
      <c r="O7164" s="4288"/>
    </row>
    <row r="7165" spans="15:15">
      <c r="O7165" s="4288"/>
    </row>
    <row r="7166" spans="15:15">
      <c r="O7166" s="4288"/>
    </row>
    <row r="7167" spans="15:15">
      <c r="O7167" s="4288"/>
    </row>
    <row r="7168" spans="15:15">
      <c r="O7168" s="4288"/>
    </row>
    <row r="7169" spans="15:15">
      <c r="O7169" s="4288"/>
    </row>
    <row r="7170" spans="15:15">
      <c r="O7170" s="4288"/>
    </row>
    <row r="7171" spans="15:15">
      <c r="O7171" s="4288"/>
    </row>
    <row r="7172" spans="15:15">
      <c r="O7172" s="4288"/>
    </row>
    <row r="7173" spans="15:15">
      <c r="O7173" s="4288"/>
    </row>
    <row r="7174" spans="15:15">
      <c r="O7174" s="4288"/>
    </row>
    <row r="7175" spans="15:15">
      <c r="O7175" s="4288"/>
    </row>
    <row r="7176" spans="15:15">
      <c r="O7176" s="4288"/>
    </row>
    <row r="7177" spans="15:15">
      <c r="O7177" s="4288"/>
    </row>
    <row r="7178" spans="15:15">
      <c r="O7178" s="4288"/>
    </row>
    <row r="7179" spans="15:15">
      <c r="O7179" s="4288"/>
    </row>
    <row r="7180" spans="15:15">
      <c r="O7180" s="4288"/>
    </row>
    <row r="7181" spans="15:15">
      <c r="O7181" s="4288"/>
    </row>
    <row r="7182" spans="15:15">
      <c r="O7182" s="4288"/>
    </row>
    <row r="7183" spans="15:15">
      <c r="O7183" s="4288"/>
    </row>
    <row r="7184" spans="15:15">
      <c r="O7184" s="4288"/>
    </row>
    <row r="7185" spans="15:15">
      <c r="O7185" s="4288"/>
    </row>
    <row r="7186" spans="15:15">
      <c r="O7186" s="4288"/>
    </row>
    <row r="7187" spans="15:15">
      <c r="O7187" s="4288"/>
    </row>
    <row r="7188" spans="15:15">
      <c r="O7188" s="4288"/>
    </row>
    <row r="7189" spans="15:15">
      <c r="O7189" s="4288"/>
    </row>
    <row r="7190" spans="15:15">
      <c r="O7190" s="4288"/>
    </row>
    <row r="7191" spans="15:15">
      <c r="O7191" s="4288"/>
    </row>
    <row r="7192" spans="15:15">
      <c r="O7192" s="4288"/>
    </row>
    <row r="7193" spans="15:15">
      <c r="O7193" s="4288"/>
    </row>
    <row r="7194" spans="15:15">
      <c r="O7194" s="4288"/>
    </row>
    <row r="7195" spans="15:15">
      <c r="O7195" s="4288"/>
    </row>
    <row r="7196" spans="15:15">
      <c r="O7196" s="4288"/>
    </row>
    <row r="7197" spans="15:15">
      <c r="O7197" s="4288"/>
    </row>
    <row r="7198" spans="15:15">
      <c r="O7198" s="4288"/>
    </row>
    <row r="7199" spans="15:15">
      <c r="O7199" s="4288"/>
    </row>
    <row r="7200" spans="15:15">
      <c r="O7200" s="4288"/>
    </row>
    <row r="7201" spans="15:15">
      <c r="O7201" s="4288"/>
    </row>
    <row r="7202" spans="15:15">
      <c r="O7202" s="4288"/>
    </row>
    <row r="7203" spans="15:15">
      <c r="O7203" s="4288"/>
    </row>
    <row r="7204" spans="15:15">
      <c r="O7204" s="4288"/>
    </row>
    <row r="7205" spans="15:15">
      <c r="O7205" s="4288"/>
    </row>
    <row r="7206" spans="15:15">
      <c r="O7206" s="4288"/>
    </row>
    <row r="7207" spans="15:15">
      <c r="O7207" s="4288"/>
    </row>
    <row r="7208" spans="15:15">
      <c r="O7208" s="4288"/>
    </row>
    <row r="7209" spans="15:15">
      <c r="O7209" s="4288"/>
    </row>
    <row r="7210" spans="15:15">
      <c r="O7210" s="4288"/>
    </row>
    <row r="7211" spans="15:15">
      <c r="O7211" s="4288"/>
    </row>
    <row r="7212" spans="15:15">
      <c r="O7212" s="4288"/>
    </row>
    <row r="7213" spans="15:15">
      <c r="O7213" s="4288"/>
    </row>
    <row r="7214" spans="15:15">
      <c r="O7214" s="4288"/>
    </row>
    <row r="7215" spans="15:15">
      <c r="O7215" s="4288"/>
    </row>
    <row r="7216" spans="15:15">
      <c r="O7216" s="4288"/>
    </row>
    <row r="7217" spans="15:15">
      <c r="O7217" s="4288"/>
    </row>
    <row r="7218" spans="15:15">
      <c r="O7218" s="4288"/>
    </row>
    <row r="7219" spans="15:15">
      <c r="O7219" s="4288"/>
    </row>
    <row r="7220" spans="15:15">
      <c r="O7220" s="4288"/>
    </row>
    <row r="7221" spans="15:15">
      <c r="O7221" s="4288"/>
    </row>
    <row r="7222" spans="15:15">
      <c r="O7222" s="4288"/>
    </row>
    <row r="7223" spans="15:15">
      <c r="O7223" s="4288"/>
    </row>
    <row r="7224" spans="15:15">
      <c r="O7224" s="4288"/>
    </row>
    <row r="7225" spans="15:15">
      <c r="O7225" s="4288"/>
    </row>
    <row r="7226" spans="15:15">
      <c r="O7226" s="4288"/>
    </row>
    <row r="7227" spans="15:15">
      <c r="O7227" s="4288"/>
    </row>
    <row r="7228" spans="15:15">
      <c r="O7228" s="4288"/>
    </row>
    <row r="7229" spans="15:15">
      <c r="O7229" s="4288"/>
    </row>
    <row r="7230" spans="15:15">
      <c r="O7230" s="4288"/>
    </row>
    <row r="7231" spans="15:15">
      <c r="O7231" s="4288"/>
    </row>
    <row r="7232" spans="15:15">
      <c r="O7232" s="4288"/>
    </row>
    <row r="7233" spans="15:15">
      <c r="O7233" s="4288"/>
    </row>
    <row r="7234" spans="15:15">
      <c r="O7234" s="4288"/>
    </row>
    <row r="7235" spans="15:15">
      <c r="O7235" s="4288"/>
    </row>
    <row r="7236" spans="15:15">
      <c r="O7236" s="4288"/>
    </row>
    <row r="7237" spans="15:15">
      <c r="O7237" s="4288"/>
    </row>
    <row r="7238" spans="15:15">
      <c r="O7238" s="4288"/>
    </row>
    <row r="7239" spans="15:15">
      <c r="O7239" s="4288"/>
    </row>
    <row r="7240" spans="15:15">
      <c r="O7240" s="4288"/>
    </row>
    <row r="7241" spans="15:15">
      <c r="O7241" s="4288"/>
    </row>
    <row r="7242" spans="15:15">
      <c r="O7242" s="4288"/>
    </row>
    <row r="7243" spans="15:15">
      <c r="O7243" s="4288"/>
    </row>
    <row r="7244" spans="15:15">
      <c r="O7244" s="4288"/>
    </row>
    <row r="7245" spans="15:15">
      <c r="O7245" s="4288"/>
    </row>
    <row r="7246" spans="15:15">
      <c r="O7246" s="4288"/>
    </row>
    <row r="7247" spans="15:15">
      <c r="O7247" s="4288"/>
    </row>
    <row r="7248" spans="15:15">
      <c r="O7248" s="4288"/>
    </row>
    <row r="7249" spans="15:15">
      <c r="O7249" s="4288"/>
    </row>
    <row r="7250" spans="15:15">
      <c r="O7250" s="4288"/>
    </row>
    <row r="7251" spans="15:15">
      <c r="O7251" s="4288"/>
    </row>
    <row r="7252" spans="15:15">
      <c r="O7252" s="4288"/>
    </row>
    <row r="7253" spans="15:15">
      <c r="O7253" s="4288"/>
    </row>
    <row r="7254" spans="15:15">
      <c r="O7254" s="4288"/>
    </row>
    <row r="7255" spans="15:15">
      <c r="O7255" s="4288"/>
    </row>
    <row r="7256" spans="15:15">
      <c r="O7256" s="4288"/>
    </row>
    <row r="7257" spans="15:15">
      <c r="O7257" s="4288"/>
    </row>
    <row r="7258" spans="15:15">
      <c r="O7258" s="4288"/>
    </row>
    <row r="7259" spans="15:15">
      <c r="O7259" s="4288"/>
    </row>
    <row r="7260" spans="15:15">
      <c r="O7260" s="4288"/>
    </row>
    <row r="7261" spans="15:15">
      <c r="O7261" s="4288"/>
    </row>
    <row r="7262" spans="15:15">
      <c r="O7262" s="4288"/>
    </row>
    <row r="7263" spans="15:15">
      <c r="O7263" s="4288"/>
    </row>
    <row r="7264" spans="15:15">
      <c r="O7264" s="4288"/>
    </row>
    <row r="7265" spans="15:15">
      <c r="O7265" s="4288"/>
    </row>
    <row r="7266" spans="15:15">
      <c r="O7266" s="4288"/>
    </row>
    <row r="7267" spans="15:15">
      <c r="O7267" s="4288"/>
    </row>
    <row r="7268" spans="15:15">
      <c r="O7268" s="4288"/>
    </row>
    <row r="7269" spans="15:15">
      <c r="O7269" s="4288"/>
    </row>
    <row r="7270" spans="15:15">
      <c r="O7270" s="4288"/>
    </row>
    <row r="7271" spans="15:15">
      <c r="O7271" s="4288"/>
    </row>
    <row r="7272" spans="15:15">
      <c r="O7272" s="4288"/>
    </row>
    <row r="7273" spans="15:15">
      <c r="O7273" s="4288"/>
    </row>
    <row r="7274" spans="15:15">
      <c r="O7274" s="4288"/>
    </row>
    <row r="7275" spans="15:15">
      <c r="O7275" s="4288"/>
    </row>
    <row r="7276" spans="15:15">
      <c r="O7276" s="4288"/>
    </row>
    <row r="7277" spans="15:15">
      <c r="O7277" s="4288"/>
    </row>
    <row r="7278" spans="15:15">
      <c r="O7278" s="4288"/>
    </row>
    <row r="7279" spans="15:15">
      <c r="O7279" s="4288"/>
    </row>
    <row r="7280" spans="15:15">
      <c r="O7280" s="4288"/>
    </row>
    <row r="7281" spans="15:15">
      <c r="O7281" s="4288"/>
    </row>
    <row r="7282" spans="15:15">
      <c r="O7282" s="4288"/>
    </row>
    <row r="7283" spans="15:15">
      <c r="O7283" s="4288"/>
    </row>
    <row r="7284" spans="15:15">
      <c r="O7284" s="4288"/>
    </row>
    <row r="7285" spans="15:15">
      <c r="O7285" s="4288"/>
    </row>
    <row r="7286" spans="15:15">
      <c r="O7286" s="4288"/>
    </row>
    <row r="7287" spans="15:15">
      <c r="O7287" s="4288"/>
    </row>
    <row r="7288" spans="15:15">
      <c r="O7288" s="4288"/>
    </row>
    <row r="7289" spans="15:15">
      <c r="O7289" s="4288"/>
    </row>
    <row r="7290" spans="15:15">
      <c r="O7290" s="4288"/>
    </row>
    <row r="7291" spans="15:15">
      <c r="O7291" s="4288"/>
    </row>
    <row r="7292" spans="15:15">
      <c r="O7292" s="4288"/>
    </row>
    <row r="7293" spans="15:15">
      <c r="O7293" s="4288"/>
    </row>
    <row r="7294" spans="15:15">
      <c r="O7294" s="4288"/>
    </row>
    <row r="7295" spans="15:15">
      <c r="O7295" s="4288"/>
    </row>
    <row r="7296" spans="15:15">
      <c r="O7296" s="4288"/>
    </row>
    <row r="7297" spans="15:15">
      <c r="O7297" s="4288"/>
    </row>
    <row r="7298" spans="15:15">
      <c r="O7298" s="4288"/>
    </row>
    <row r="7299" spans="15:15">
      <c r="O7299" s="4288"/>
    </row>
    <row r="7300" spans="15:15">
      <c r="O7300" s="4288"/>
    </row>
    <row r="7301" spans="15:15">
      <c r="O7301" s="4288"/>
    </row>
    <row r="7302" spans="15:15">
      <c r="O7302" s="4288"/>
    </row>
    <row r="7303" spans="15:15">
      <c r="O7303" s="4288"/>
    </row>
    <row r="7304" spans="15:15">
      <c r="O7304" s="4288"/>
    </row>
    <row r="7305" spans="15:15">
      <c r="O7305" s="4288"/>
    </row>
    <row r="7306" spans="15:15">
      <c r="O7306" s="4288"/>
    </row>
    <row r="7307" spans="15:15">
      <c r="O7307" s="4288"/>
    </row>
    <row r="7308" spans="15:15">
      <c r="O7308" s="4288"/>
    </row>
    <row r="7309" spans="15:15">
      <c r="O7309" s="4288"/>
    </row>
    <row r="7310" spans="15:15">
      <c r="O7310" s="4288"/>
    </row>
    <row r="7311" spans="15:15">
      <c r="O7311" s="4288"/>
    </row>
    <row r="7312" spans="15:15">
      <c r="O7312" s="4288"/>
    </row>
    <row r="7313" spans="15:15">
      <c r="O7313" s="4288"/>
    </row>
    <row r="7314" spans="15:15">
      <c r="O7314" s="4288"/>
    </row>
    <row r="7315" spans="15:15">
      <c r="O7315" s="4288"/>
    </row>
    <row r="7316" spans="15:15">
      <c r="O7316" s="4288"/>
    </row>
    <row r="7317" spans="15:15">
      <c r="O7317" s="4288"/>
    </row>
    <row r="7318" spans="15:15">
      <c r="O7318" s="4288"/>
    </row>
    <row r="7319" spans="15:15">
      <c r="O7319" s="4288"/>
    </row>
    <row r="7320" spans="15:15">
      <c r="O7320" s="4288"/>
    </row>
    <row r="7321" spans="15:15">
      <c r="O7321" s="4288"/>
    </row>
    <row r="7322" spans="15:15">
      <c r="O7322" s="4288"/>
    </row>
    <row r="7323" spans="15:15">
      <c r="O7323" s="4288"/>
    </row>
    <row r="7324" spans="15:15">
      <c r="O7324" s="4288"/>
    </row>
    <row r="7325" spans="15:15">
      <c r="O7325" s="4288"/>
    </row>
    <row r="7326" spans="15:15">
      <c r="O7326" s="4288"/>
    </row>
    <row r="7327" spans="15:15">
      <c r="O7327" s="4288"/>
    </row>
    <row r="7328" spans="15:15">
      <c r="O7328" s="4288"/>
    </row>
    <row r="7329" spans="15:15">
      <c r="O7329" s="4288"/>
    </row>
    <row r="7330" spans="15:15">
      <c r="O7330" s="4288"/>
    </row>
    <row r="7331" spans="15:15">
      <c r="O7331" s="4288"/>
    </row>
    <row r="7332" spans="15:15">
      <c r="O7332" s="4288"/>
    </row>
    <row r="7333" spans="15:15">
      <c r="O7333" s="4288"/>
    </row>
    <row r="7334" spans="15:15">
      <c r="O7334" s="4288"/>
    </row>
    <row r="7335" spans="15:15">
      <c r="O7335" s="4288"/>
    </row>
    <row r="7336" spans="15:15">
      <c r="O7336" s="4288"/>
    </row>
    <row r="7337" spans="15:15">
      <c r="O7337" s="4288"/>
    </row>
    <row r="7338" spans="15:15">
      <c r="O7338" s="4288"/>
    </row>
    <row r="7339" spans="15:15">
      <c r="O7339" s="4288"/>
    </row>
    <row r="7340" spans="15:15">
      <c r="O7340" s="4288"/>
    </row>
    <row r="7341" spans="15:15">
      <c r="O7341" s="4288"/>
    </row>
    <row r="7342" spans="15:15">
      <c r="O7342" s="4288"/>
    </row>
    <row r="7343" spans="15:15">
      <c r="O7343" s="4288"/>
    </row>
    <row r="7344" spans="15:15">
      <c r="O7344" s="4288"/>
    </row>
    <row r="7345" spans="15:15">
      <c r="O7345" s="4288"/>
    </row>
    <row r="7346" spans="15:15">
      <c r="O7346" s="4288"/>
    </row>
    <row r="7347" spans="15:15">
      <c r="O7347" s="4288"/>
    </row>
    <row r="7348" spans="15:15">
      <c r="O7348" s="4288"/>
    </row>
    <row r="7349" spans="15:15">
      <c r="O7349" s="4288"/>
    </row>
    <row r="7350" spans="15:15">
      <c r="O7350" s="4288"/>
    </row>
    <row r="7351" spans="15:15">
      <c r="O7351" s="4288"/>
    </row>
    <row r="7352" spans="15:15">
      <c r="O7352" s="4288"/>
    </row>
    <row r="7353" spans="15:15">
      <c r="O7353" s="4288"/>
    </row>
    <row r="7354" spans="15:15">
      <c r="O7354" s="4288"/>
    </row>
    <row r="7355" spans="15:15">
      <c r="O7355" s="4288"/>
    </row>
    <row r="7356" spans="15:15">
      <c r="O7356" s="4288"/>
    </row>
    <row r="7357" spans="15:15">
      <c r="O7357" s="4288"/>
    </row>
    <row r="7358" spans="15:15">
      <c r="O7358" s="4288"/>
    </row>
    <row r="7359" spans="15:15">
      <c r="O7359" s="4288"/>
    </row>
    <row r="7360" spans="15:15">
      <c r="O7360" s="4288"/>
    </row>
    <row r="7361" spans="15:15">
      <c r="O7361" s="4288"/>
    </row>
    <row r="7362" spans="15:15">
      <c r="O7362" s="4288"/>
    </row>
    <row r="7363" spans="15:15">
      <c r="O7363" s="4288"/>
    </row>
    <row r="7364" spans="15:15">
      <c r="O7364" s="4288"/>
    </row>
    <row r="7365" spans="15:15">
      <c r="O7365" s="4288"/>
    </row>
    <row r="7366" spans="15:15">
      <c r="O7366" s="4288"/>
    </row>
    <row r="7367" spans="15:15">
      <c r="O7367" s="4288"/>
    </row>
    <row r="7368" spans="15:15">
      <c r="O7368" s="4288"/>
    </row>
    <row r="7369" spans="15:15">
      <c r="O7369" s="4288"/>
    </row>
    <row r="7370" spans="15:15">
      <c r="O7370" s="4288"/>
    </row>
    <row r="7371" spans="15:15">
      <c r="O7371" s="4288"/>
    </row>
    <row r="7372" spans="15:15">
      <c r="O7372" s="4288"/>
    </row>
    <row r="7373" spans="15:15">
      <c r="O7373" s="4288"/>
    </row>
    <row r="7374" spans="15:15">
      <c r="O7374" s="4288"/>
    </row>
    <row r="7375" spans="15:15">
      <c r="O7375" s="4288"/>
    </row>
    <row r="7376" spans="15:15">
      <c r="O7376" s="4288"/>
    </row>
    <row r="7377" spans="15:15">
      <c r="O7377" s="4288"/>
    </row>
    <row r="7378" spans="15:15">
      <c r="O7378" s="4288"/>
    </row>
    <row r="7379" spans="15:15">
      <c r="O7379" s="4288"/>
    </row>
    <row r="7380" spans="15:15">
      <c r="O7380" s="4288"/>
    </row>
    <row r="7381" spans="15:15">
      <c r="O7381" s="4288"/>
    </row>
    <row r="7382" spans="15:15">
      <c r="O7382" s="4288"/>
    </row>
    <row r="7383" spans="15:15">
      <c r="O7383" s="4288"/>
    </row>
    <row r="7384" spans="15:15">
      <c r="O7384" s="4288"/>
    </row>
    <row r="7385" spans="15:15">
      <c r="O7385" s="4288"/>
    </row>
    <row r="7386" spans="15:15">
      <c r="O7386" s="4288"/>
    </row>
    <row r="7387" spans="15:15">
      <c r="O7387" s="4288"/>
    </row>
    <row r="7388" spans="15:15">
      <c r="O7388" s="4288"/>
    </row>
    <row r="7389" spans="15:15">
      <c r="O7389" s="4288"/>
    </row>
    <row r="7390" spans="15:15">
      <c r="O7390" s="4288"/>
    </row>
    <row r="7391" spans="15:15">
      <c r="O7391" s="4288"/>
    </row>
    <row r="7392" spans="15:15">
      <c r="O7392" s="4288"/>
    </row>
    <row r="7393" spans="15:15">
      <c r="O7393" s="4288"/>
    </row>
    <row r="7394" spans="15:15">
      <c r="O7394" s="4288"/>
    </row>
    <row r="7395" spans="15:15">
      <c r="O7395" s="4288"/>
    </row>
    <row r="7396" spans="15:15">
      <c r="O7396" s="4288"/>
    </row>
    <row r="7397" spans="15:15">
      <c r="O7397" s="4288"/>
    </row>
    <row r="7398" spans="15:15">
      <c r="O7398" s="4288"/>
    </row>
    <row r="7399" spans="15:15">
      <c r="O7399" s="4288"/>
    </row>
    <row r="7400" spans="15:15">
      <c r="O7400" s="4288"/>
    </row>
    <row r="7401" spans="15:15">
      <c r="O7401" s="4288"/>
    </row>
    <row r="7402" spans="15:15">
      <c r="O7402" s="4288"/>
    </row>
    <row r="7403" spans="15:15">
      <c r="O7403" s="4288"/>
    </row>
    <row r="7404" spans="15:15">
      <c r="O7404" s="4288"/>
    </row>
    <row r="7405" spans="15:15">
      <c r="O7405" s="4288"/>
    </row>
    <row r="7406" spans="15:15">
      <c r="O7406" s="4288"/>
    </row>
    <row r="7407" spans="15:15">
      <c r="O7407" s="4288"/>
    </row>
    <row r="7408" spans="15:15">
      <c r="O7408" s="4288"/>
    </row>
    <row r="7409" spans="15:15">
      <c r="O7409" s="4288"/>
    </row>
    <row r="7410" spans="15:15">
      <c r="O7410" s="4288"/>
    </row>
    <row r="7411" spans="15:15">
      <c r="O7411" s="4288"/>
    </row>
    <row r="7412" spans="15:15">
      <c r="O7412" s="4288"/>
    </row>
    <row r="7413" spans="15:15">
      <c r="O7413" s="4288"/>
    </row>
    <row r="7414" spans="15:15">
      <c r="O7414" s="4288"/>
    </row>
    <row r="7415" spans="15:15">
      <c r="O7415" s="4288"/>
    </row>
    <row r="7416" spans="15:15">
      <c r="O7416" s="4288"/>
    </row>
    <row r="7417" spans="15:15">
      <c r="O7417" s="4288"/>
    </row>
    <row r="7418" spans="15:15">
      <c r="O7418" s="4288"/>
    </row>
    <row r="7419" spans="15:15">
      <c r="O7419" s="4288"/>
    </row>
    <row r="7420" spans="15:15">
      <c r="O7420" s="4288"/>
    </row>
    <row r="7421" spans="15:15">
      <c r="O7421" s="4288"/>
    </row>
    <row r="7422" spans="15:15">
      <c r="O7422" s="4288"/>
    </row>
    <row r="7423" spans="15:15">
      <c r="O7423" s="4288"/>
    </row>
    <row r="7424" spans="15:15">
      <c r="O7424" s="4288"/>
    </row>
    <row r="7425" spans="15:15">
      <c r="O7425" s="4288"/>
    </row>
    <row r="7426" spans="15:15">
      <c r="O7426" s="4288"/>
    </row>
    <row r="7427" spans="15:15">
      <c r="O7427" s="4288"/>
    </row>
    <row r="7428" spans="15:15">
      <c r="O7428" s="4288"/>
    </row>
    <row r="7429" spans="15:15">
      <c r="O7429" s="4288"/>
    </row>
    <row r="7430" spans="15:15">
      <c r="O7430" s="4288"/>
    </row>
    <row r="7431" spans="15:15">
      <c r="O7431" s="4288"/>
    </row>
    <row r="7432" spans="15:15">
      <c r="O7432" s="4288"/>
    </row>
    <row r="7433" spans="15:15">
      <c r="O7433" s="4288"/>
    </row>
    <row r="7434" spans="15:15">
      <c r="O7434" s="4288"/>
    </row>
    <row r="7435" spans="15:15">
      <c r="O7435" s="4288"/>
    </row>
    <row r="7436" spans="15:15">
      <c r="O7436" s="4288"/>
    </row>
    <row r="7437" spans="15:15">
      <c r="O7437" s="4288"/>
    </row>
    <row r="7438" spans="15:15">
      <c r="O7438" s="4288"/>
    </row>
    <row r="7439" spans="15:15">
      <c r="O7439" s="4288"/>
    </row>
    <row r="7440" spans="15:15">
      <c r="O7440" s="4288"/>
    </row>
    <row r="7441" spans="15:15">
      <c r="O7441" s="4288"/>
    </row>
    <row r="7442" spans="15:15">
      <c r="O7442" s="4288"/>
    </row>
    <row r="7443" spans="15:15">
      <c r="O7443" s="4288"/>
    </row>
    <row r="7444" spans="15:15">
      <c r="O7444" s="4288"/>
    </row>
    <row r="7445" spans="15:15">
      <c r="O7445" s="4288"/>
    </row>
    <row r="7446" spans="15:15">
      <c r="O7446" s="4288"/>
    </row>
    <row r="7447" spans="15:15">
      <c r="O7447" s="4288"/>
    </row>
    <row r="7448" spans="15:15">
      <c r="O7448" s="4288"/>
    </row>
    <row r="7449" spans="15:15">
      <c r="O7449" s="4288"/>
    </row>
    <row r="7450" spans="15:15">
      <c r="O7450" s="4288"/>
    </row>
    <row r="7451" spans="15:15">
      <c r="O7451" s="4288"/>
    </row>
    <row r="7452" spans="15:15">
      <c r="O7452" s="4288"/>
    </row>
    <row r="7453" spans="15:15">
      <c r="O7453" s="4288"/>
    </row>
    <row r="7454" spans="15:15">
      <c r="O7454" s="4288"/>
    </row>
    <row r="7455" spans="15:15">
      <c r="O7455" s="4288"/>
    </row>
    <row r="7456" spans="15:15">
      <c r="O7456" s="4288"/>
    </row>
    <row r="7457" spans="15:15">
      <c r="O7457" s="4288"/>
    </row>
    <row r="7458" spans="15:15">
      <c r="O7458" s="4288"/>
    </row>
    <row r="7459" spans="15:15">
      <c r="O7459" s="4288"/>
    </row>
    <row r="7460" spans="15:15">
      <c r="O7460" s="4288"/>
    </row>
    <row r="7461" spans="15:15">
      <c r="O7461" s="4288"/>
    </row>
    <row r="7462" spans="15:15">
      <c r="O7462" s="4288"/>
    </row>
    <row r="7463" spans="15:15">
      <c r="O7463" s="4288"/>
    </row>
    <row r="7464" spans="15:15">
      <c r="O7464" s="4288"/>
    </row>
    <row r="7465" spans="15:15">
      <c r="O7465" s="4288"/>
    </row>
    <row r="7466" spans="15:15">
      <c r="O7466" s="4288"/>
    </row>
    <row r="7467" spans="15:15">
      <c r="O7467" s="4288"/>
    </row>
    <row r="7468" spans="15:15">
      <c r="O7468" s="4288"/>
    </row>
    <row r="7469" spans="15:15">
      <c r="O7469" s="4288"/>
    </row>
    <row r="7470" spans="15:15">
      <c r="O7470" s="4288"/>
    </row>
    <row r="7471" spans="15:15">
      <c r="O7471" s="4288"/>
    </row>
    <row r="7472" spans="15:15">
      <c r="O7472" s="4288"/>
    </row>
    <row r="7473" spans="15:15">
      <c r="O7473" s="4288"/>
    </row>
    <row r="7474" spans="15:15">
      <c r="O7474" s="4288"/>
    </row>
    <row r="7475" spans="15:15">
      <c r="O7475" s="4288"/>
    </row>
    <row r="7476" spans="15:15">
      <c r="O7476" s="4288"/>
    </row>
    <row r="7477" spans="15:15">
      <c r="O7477" s="4288"/>
    </row>
    <row r="7478" spans="15:15">
      <c r="O7478" s="4288"/>
    </row>
    <row r="7479" spans="15:15">
      <c r="O7479" s="4288"/>
    </row>
    <row r="7480" spans="15:15">
      <c r="O7480" s="4288"/>
    </row>
    <row r="7481" spans="15:15">
      <c r="O7481" s="4288"/>
    </row>
    <row r="7482" spans="15:15">
      <c r="O7482" s="4288"/>
    </row>
    <row r="7483" spans="15:15">
      <c r="O7483" s="4288"/>
    </row>
    <row r="7484" spans="15:15">
      <c r="O7484" s="4288"/>
    </row>
    <row r="7485" spans="15:15">
      <c r="O7485" s="4288"/>
    </row>
    <row r="7486" spans="15:15">
      <c r="O7486" s="4288"/>
    </row>
    <row r="7487" spans="15:15">
      <c r="O7487" s="4288"/>
    </row>
    <row r="7488" spans="15:15">
      <c r="O7488" s="4288"/>
    </row>
    <row r="7489" spans="15:15">
      <c r="O7489" s="4288"/>
    </row>
    <row r="7490" spans="15:15">
      <c r="O7490" s="4288"/>
    </row>
    <row r="7491" spans="15:15">
      <c r="O7491" s="4288"/>
    </row>
    <row r="7492" spans="15:15">
      <c r="O7492" s="4288"/>
    </row>
    <row r="7493" spans="15:15">
      <c r="O7493" s="4288"/>
    </row>
    <row r="7494" spans="15:15">
      <c r="O7494" s="4288"/>
    </row>
    <row r="7495" spans="15:15">
      <c r="O7495" s="4288"/>
    </row>
    <row r="7496" spans="15:15">
      <c r="O7496" s="4288"/>
    </row>
    <row r="7497" spans="15:15">
      <c r="O7497" s="4288"/>
    </row>
    <row r="7498" spans="15:15">
      <c r="O7498" s="4288"/>
    </row>
    <row r="7499" spans="15:15">
      <c r="O7499" s="4288"/>
    </row>
    <row r="7500" spans="15:15">
      <c r="O7500" s="4288"/>
    </row>
    <row r="7501" spans="15:15">
      <c r="O7501" s="4288"/>
    </row>
    <row r="7502" spans="15:15">
      <c r="O7502" s="4288"/>
    </row>
    <row r="7503" spans="15:15">
      <c r="O7503" s="4288"/>
    </row>
    <row r="7504" spans="15:15">
      <c r="O7504" s="4288"/>
    </row>
    <row r="7505" spans="15:15">
      <c r="O7505" s="4288"/>
    </row>
    <row r="7506" spans="15:15">
      <c r="O7506" s="4288"/>
    </row>
    <row r="7507" spans="15:15">
      <c r="O7507" s="4288"/>
    </row>
    <row r="7508" spans="15:15">
      <c r="O7508" s="4288"/>
    </row>
    <row r="7509" spans="15:15">
      <c r="O7509" s="4288"/>
    </row>
    <row r="7510" spans="15:15">
      <c r="O7510" s="4288"/>
    </row>
    <row r="7511" spans="15:15">
      <c r="O7511" s="4288"/>
    </row>
    <row r="7512" spans="15:15">
      <c r="O7512" s="4288"/>
    </row>
    <row r="7513" spans="15:15">
      <c r="O7513" s="4288"/>
    </row>
    <row r="7514" spans="15:15">
      <c r="O7514" s="4288"/>
    </row>
    <row r="7515" spans="15:15">
      <c r="O7515" s="4288"/>
    </row>
    <row r="7516" spans="15:15">
      <c r="O7516" s="4288"/>
    </row>
    <row r="7517" spans="15:15">
      <c r="O7517" s="4288"/>
    </row>
    <row r="7518" spans="15:15">
      <c r="O7518" s="4288"/>
    </row>
    <row r="7519" spans="15:15">
      <c r="O7519" s="4288"/>
    </row>
    <row r="7520" spans="15:15">
      <c r="O7520" s="4288"/>
    </row>
    <row r="7521" spans="15:15">
      <c r="O7521" s="4288"/>
    </row>
    <row r="7522" spans="15:15">
      <c r="O7522" s="4288"/>
    </row>
    <row r="7523" spans="15:15">
      <c r="O7523" s="4288"/>
    </row>
    <row r="7524" spans="15:15">
      <c r="O7524" s="4288"/>
    </row>
    <row r="7525" spans="15:15">
      <c r="O7525" s="4288"/>
    </row>
    <row r="7526" spans="15:15">
      <c r="O7526" s="4288"/>
    </row>
    <row r="7527" spans="15:15">
      <c r="O7527" s="4288"/>
    </row>
    <row r="7528" spans="15:15">
      <c r="O7528" s="4288"/>
    </row>
    <row r="7529" spans="15:15">
      <c r="O7529" s="4288"/>
    </row>
    <row r="7530" spans="15:15">
      <c r="O7530" s="4288"/>
    </row>
    <row r="7531" spans="15:15">
      <c r="O7531" s="4288"/>
    </row>
    <row r="7532" spans="15:15">
      <c r="O7532" s="4288"/>
    </row>
    <row r="7533" spans="15:15">
      <c r="O7533" s="4288"/>
    </row>
    <row r="7534" spans="15:15">
      <c r="O7534" s="4288"/>
    </row>
    <row r="7535" spans="15:15">
      <c r="O7535" s="4288"/>
    </row>
    <row r="7536" spans="15:15">
      <c r="O7536" s="4288"/>
    </row>
    <row r="7537" spans="15:15">
      <c r="O7537" s="4288"/>
    </row>
    <row r="7538" spans="15:15">
      <c r="O7538" s="4288"/>
    </row>
    <row r="7539" spans="15:15">
      <c r="O7539" s="4288"/>
    </row>
    <row r="7540" spans="15:15">
      <c r="O7540" s="4288"/>
    </row>
    <row r="7541" spans="15:15">
      <c r="O7541" s="4288"/>
    </row>
    <row r="7542" spans="15:15">
      <c r="O7542" s="4288"/>
    </row>
    <row r="7543" spans="15:15">
      <c r="O7543" s="4288"/>
    </row>
    <row r="7544" spans="15:15">
      <c r="O7544" s="4288"/>
    </row>
    <row r="7545" spans="15:15">
      <c r="O7545" s="4288"/>
    </row>
    <row r="7546" spans="15:15">
      <c r="O7546" s="4288"/>
    </row>
    <row r="7547" spans="15:15">
      <c r="O7547" s="4288"/>
    </row>
    <row r="7548" spans="15:15">
      <c r="O7548" s="4288"/>
    </row>
    <row r="7549" spans="15:15">
      <c r="O7549" s="4288"/>
    </row>
    <row r="7550" spans="15:15">
      <c r="O7550" s="4288"/>
    </row>
    <row r="7551" spans="15:15">
      <c r="O7551" s="4288"/>
    </row>
    <row r="7552" spans="15:15">
      <c r="O7552" s="4288"/>
    </row>
    <row r="7553" spans="15:15">
      <c r="O7553" s="4288"/>
    </row>
    <row r="7554" spans="15:15">
      <c r="O7554" s="4288"/>
    </row>
    <row r="7555" spans="15:15">
      <c r="O7555" s="4288"/>
    </row>
    <row r="7556" spans="15:15">
      <c r="O7556" s="4288"/>
    </row>
    <row r="7557" spans="15:15">
      <c r="O7557" s="4288"/>
    </row>
    <row r="7558" spans="15:15">
      <c r="O7558" s="4288"/>
    </row>
    <row r="7559" spans="15:15">
      <c r="O7559" s="4288"/>
    </row>
    <row r="7560" spans="15:15">
      <c r="O7560" s="4288"/>
    </row>
    <row r="7561" spans="15:15">
      <c r="O7561" s="4288"/>
    </row>
    <row r="7562" spans="15:15">
      <c r="O7562" s="4288"/>
    </row>
    <row r="7563" spans="15:15">
      <c r="O7563" s="4288"/>
    </row>
    <row r="7564" spans="15:15">
      <c r="O7564" s="4288"/>
    </row>
    <row r="7565" spans="15:15">
      <c r="O7565" s="4288"/>
    </row>
    <row r="7566" spans="15:15">
      <c r="O7566" s="4288"/>
    </row>
    <row r="7567" spans="15:15">
      <c r="O7567" s="4288"/>
    </row>
    <row r="7568" spans="15:15">
      <c r="O7568" s="4288"/>
    </row>
    <row r="7569" spans="15:15">
      <c r="O7569" s="4288"/>
    </row>
    <row r="7570" spans="15:15">
      <c r="O7570" s="4288"/>
    </row>
    <row r="7571" spans="15:15">
      <c r="O7571" s="4288"/>
    </row>
    <row r="7572" spans="15:15">
      <c r="O7572" s="4288"/>
    </row>
    <row r="7573" spans="15:15">
      <c r="O7573" s="4288"/>
    </row>
    <row r="7574" spans="15:15">
      <c r="O7574" s="4288"/>
    </row>
    <row r="7575" spans="15:15">
      <c r="O7575" s="4288"/>
    </row>
    <row r="7576" spans="15:15">
      <c r="O7576" s="4288"/>
    </row>
    <row r="7577" spans="15:15">
      <c r="O7577" s="4288"/>
    </row>
    <row r="7578" spans="15:15">
      <c r="O7578" s="4288"/>
    </row>
    <row r="7579" spans="15:15">
      <c r="O7579" s="4288"/>
    </row>
    <row r="7580" spans="15:15">
      <c r="O7580" s="4288"/>
    </row>
    <row r="7581" spans="15:15">
      <c r="O7581" s="4288"/>
    </row>
    <row r="7582" spans="15:15">
      <c r="O7582" s="4288"/>
    </row>
    <row r="7583" spans="15:15">
      <c r="O7583" s="4288"/>
    </row>
    <row r="7584" spans="15:15">
      <c r="O7584" s="4288"/>
    </row>
    <row r="7585" spans="15:15">
      <c r="O7585" s="4288"/>
    </row>
    <row r="7586" spans="15:15">
      <c r="O7586" s="4288"/>
    </row>
    <row r="7587" spans="15:15">
      <c r="O7587" s="4288"/>
    </row>
    <row r="7588" spans="15:15">
      <c r="O7588" s="4288"/>
    </row>
    <row r="7589" spans="15:15">
      <c r="O7589" s="4288"/>
    </row>
    <row r="7590" spans="15:15">
      <c r="O7590" s="4288"/>
    </row>
    <row r="7591" spans="15:15">
      <c r="O7591" s="4288"/>
    </row>
    <row r="7592" spans="15:15">
      <c r="O7592" s="4288"/>
    </row>
    <row r="7593" spans="15:15">
      <c r="O7593" s="4288"/>
    </row>
    <row r="7594" spans="15:15">
      <c r="O7594" s="4288"/>
    </row>
    <row r="7595" spans="15:15">
      <c r="O7595" s="4288"/>
    </row>
    <row r="7596" spans="15:15">
      <c r="O7596" s="4288"/>
    </row>
    <row r="7597" spans="15:15">
      <c r="O7597" s="4288"/>
    </row>
    <row r="7598" spans="15:15">
      <c r="O7598" s="4288"/>
    </row>
    <row r="7599" spans="15:15">
      <c r="O7599" s="4288"/>
    </row>
    <row r="7600" spans="15:15">
      <c r="O7600" s="4288"/>
    </row>
    <row r="7601" spans="15:15">
      <c r="O7601" s="4288"/>
    </row>
    <row r="7602" spans="15:15">
      <c r="O7602" s="4288"/>
    </row>
    <row r="7603" spans="15:15">
      <c r="O7603" s="4288"/>
    </row>
    <row r="7604" spans="15:15">
      <c r="O7604" s="4288"/>
    </row>
    <row r="7605" spans="15:15">
      <c r="O7605" s="4288"/>
    </row>
    <row r="7606" spans="15:15">
      <c r="O7606" s="4288"/>
    </row>
    <row r="7607" spans="15:15">
      <c r="O7607" s="4288"/>
    </row>
    <row r="7608" spans="15:15">
      <c r="O7608" s="4288"/>
    </row>
    <row r="7609" spans="15:15">
      <c r="O7609" s="4288"/>
    </row>
    <row r="7610" spans="15:15">
      <c r="O7610" s="4288"/>
    </row>
    <row r="7611" spans="15:15">
      <c r="O7611" s="4288"/>
    </row>
    <row r="7612" spans="15:15">
      <c r="O7612" s="4288"/>
    </row>
    <row r="7613" spans="15:15">
      <c r="O7613" s="4288"/>
    </row>
    <row r="7614" spans="15:15">
      <c r="O7614" s="4288"/>
    </row>
    <row r="7615" spans="15:15">
      <c r="O7615" s="4288"/>
    </row>
    <row r="7616" spans="15:15">
      <c r="O7616" s="4288"/>
    </row>
    <row r="7617" spans="15:15">
      <c r="O7617" s="4288"/>
    </row>
    <row r="7618" spans="15:15">
      <c r="O7618" s="4288"/>
    </row>
    <row r="7619" spans="15:15">
      <c r="O7619" s="4288"/>
    </row>
    <row r="7620" spans="15:15">
      <c r="O7620" s="4288"/>
    </row>
    <row r="7621" spans="15:15">
      <c r="O7621" s="4288"/>
    </row>
    <row r="7622" spans="15:15">
      <c r="O7622" s="4288"/>
    </row>
    <row r="7623" spans="15:15">
      <c r="O7623" s="4288"/>
    </row>
    <row r="7624" spans="15:15">
      <c r="O7624" s="4288"/>
    </row>
    <row r="7625" spans="15:15">
      <c r="O7625" s="4288"/>
    </row>
    <row r="7626" spans="15:15">
      <c r="O7626" s="4288"/>
    </row>
    <row r="7627" spans="15:15">
      <c r="O7627" s="4288"/>
    </row>
    <row r="7628" spans="15:15">
      <c r="O7628" s="4288"/>
    </row>
    <row r="7629" spans="15:15">
      <c r="O7629" s="4288"/>
    </row>
    <row r="7630" spans="15:15">
      <c r="O7630" s="4288"/>
    </row>
    <row r="7631" spans="15:15">
      <c r="O7631" s="4288"/>
    </row>
    <row r="7632" spans="15:15">
      <c r="O7632" s="4288"/>
    </row>
    <row r="7633" spans="15:15">
      <c r="O7633" s="4288"/>
    </row>
    <row r="7634" spans="15:15">
      <c r="O7634" s="4288"/>
    </row>
    <row r="7635" spans="15:15">
      <c r="O7635" s="4288"/>
    </row>
    <row r="7636" spans="15:15">
      <c r="O7636" s="4288"/>
    </row>
    <row r="7637" spans="15:15">
      <c r="O7637" s="4288"/>
    </row>
    <row r="7638" spans="15:15">
      <c r="O7638" s="4288"/>
    </row>
    <row r="7639" spans="15:15">
      <c r="O7639" s="4288"/>
    </row>
    <row r="7640" spans="15:15">
      <c r="O7640" s="4288"/>
    </row>
    <row r="7641" spans="15:15">
      <c r="O7641" s="4288"/>
    </row>
    <row r="7642" spans="15:15">
      <c r="O7642" s="4288"/>
    </row>
    <row r="7643" spans="15:15">
      <c r="O7643" s="4288"/>
    </row>
    <row r="7644" spans="15:15">
      <c r="O7644" s="4288"/>
    </row>
    <row r="7645" spans="15:15">
      <c r="O7645" s="4288"/>
    </row>
    <row r="7646" spans="15:15">
      <c r="O7646" s="4288"/>
    </row>
    <row r="7647" spans="15:15">
      <c r="O7647" s="4288"/>
    </row>
    <row r="7648" spans="15:15">
      <c r="O7648" s="4288"/>
    </row>
    <row r="7649" spans="15:15">
      <c r="O7649" s="4288"/>
    </row>
    <row r="7650" spans="15:15">
      <c r="O7650" s="4288"/>
    </row>
    <row r="7651" spans="15:15">
      <c r="O7651" s="4288"/>
    </row>
    <row r="7652" spans="15:15">
      <c r="O7652" s="4288"/>
    </row>
    <row r="7653" spans="15:15">
      <c r="O7653" s="4288"/>
    </row>
    <row r="7654" spans="15:15">
      <c r="O7654" s="4288"/>
    </row>
    <row r="7655" spans="15:15">
      <c r="O7655" s="4288"/>
    </row>
    <row r="7656" spans="15:15">
      <c r="O7656" s="4288"/>
    </row>
    <row r="7657" spans="15:15">
      <c r="O7657" s="4288"/>
    </row>
    <row r="7658" spans="15:15">
      <c r="O7658" s="4288"/>
    </row>
    <row r="7659" spans="15:15">
      <c r="O7659" s="4288"/>
    </row>
    <row r="7660" spans="15:15">
      <c r="O7660" s="4288"/>
    </row>
    <row r="7661" spans="15:15">
      <c r="O7661" s="4288"/>
    </row>
    <row r="7662" spans="15:15">
      <c r="O7662" s="4288"/>
    </row>
    <row r="7663" spans="15:15">
      <c r="O7663" s="4288"/>
    </row>
    <row r="7664" spans="15:15">
      <c r="O7664" s="4288"/>
    </row>
    <row r="7665" spans="15:15">
      <c r="O7665" s="4288"/>
    </row>
    <row r="7666" spans="15:15">
      <c r="O7666" s="4288"/>
    </row>
    <row r="7667" spans="15:15">
      <c r="O7667" s="4288"/>
    </row>
    <row r="7668" spans="15:15">
      <c r="O7668" s="4288"/>
    </row>
    <row r="7669" spans="15:15">
      <c r="O7669" s="4288"/>
    </row>
    <row r="7670" spans="15:15">
      <c r="O7670" s="4288"/>
    </row>
    <row r="7671" spans="15:15">
      <c r="O7671" s="4288"/>
    </row>
    <row r="7672" spans="15:15">
      <c r="O7672" s="4288"/>
    </row>
    <row r="7673" spans="15:15">
      <c r="O7673" s="4288"/>
    </row>
    <row r="7674" spans="15:15">
      <c r="O7674" s="4288"/>
    </row>
    <row r="7675" spans="15:15">
      <c r="O7675" s="4288"/>
    </row>
    <row r="7676" spans="15:15">
      <c r="O7676" s="4288"/>
    </row>
    <row r="7677" spans="15:15">
      <c r="O7677" s="4288"/>
    </row>
    <row r="7678" spans="15:15">
      <c r="O7678" s="4288"/>
    </row>
    <row r="7679" spans="15:15">
      <c r="O7679" s="4288"/>
    </row>
    <row r="7680" spans="15:15">
      <c r="O7680" s="4288"/>
    </row>
    <row r="7681" spans="15:15">
      <c r="O7681" s="4288"/>
    </row>
    <row r="7682" spans="15:15">
      <c r="O7682" s="4288"/>
    </row>
    <row r="7683" spans="15:15">
      <c r="O7683" s="4288"/>
    </row>
    <row r="7684" spans="15:15">
      <c r="O7684" s="4288"/>
    </row>
    <row r="7685" spans="15:15">
      <c r="O7685" s="4288"/>
    </row>
    <row r="7686" spans="15:15">
      <c r="O7686" s="4288"/>
    </row>
    <row r="7687" spans="15:15">
      <c r="O7687" s="4288"/>
    </row>
    <row r="7688" spans="15:15">
      <c r="O7688" s="4288"/>
    </row>
    <row r="7689" spans="15:15">
      <c r="O7689" s="4288"/>
    </row>
    <row r="7690" spans="15:15">
      <c r="O7690" s="4288"/>
    </row>
    <row r="7691" spans="15:15">
      <c r="O7691" s="4288"/>
    </row>
    <row r="7692" spans="15:15">
      <c r="O7692" s="4288"/>
    </row>
    <row r="7693" spans="15:15">
      <c r="O7693" s="4288"/>
    </row>
    <row r="7694" spans="15:15">
      <c r="O7694" s="4288"/>
    </row>
    <row r="7695" spans="15:15">
      <c r="O7695" s="4288"/>
    </row>
    <row r="7696" spans="15:15">
      <c r="O7696" s="4288"/>
    </row>
    <row r="7697" spans="15:15">
      <c r="O7697" s="4288"/>
    </row>
    <row r="7698" spans="15:15">
      <c r="O7698" s="4288"/>
    </row>
    <row r="7699" spans="15:15">
      <c r="O7699" s="4288"/>
    </row>
    <row r="7700" spans="15:15">
      <c r="O7700" s="4288"/>
    </row>
    <row r="7701" spans="15:15">
      <c r="O7701" s="4288"/>
    </row>
    <row r="7702" spans="15:15">
      <c r="O7702" s="4288"/>
    </row>
    <row r="7703" spans="15:15">
      <c r="O7703" s="4288"/>
    </row>
    <row r="7704" spans="15:15">
      <c r="O7704" s="4288"/>
    </row>
    <row r="7705" spans="15:15">
      <c r="O7705" s="4288"/>
    </row>
    <row r="7706" spans="15:15">
      <c r="O7706" s="4288"/>
    </row>
    <row r="7707" spans="15:15">
      <c r="O7707" s="4288"/>
    </row>
    <row r="7708" spans="15:15">
      <c r="O7708" s="4288"/>
    </row>
    <row r="7709" spans="15:15">
      <c r="O7709" s="4288"/>
    </row>
    <row r="7710" spans="15:15">
      <c r="O7710" s="4288"/>
    </row>
    <row r="7711" spans="15:15">
      <c r="O7711" s="4288"/>
    </row>
    <row r="7712" spans="15:15">
      <c r="O7712" s="4288"/>
    </row>
    <row r="7713" spans="15:15">
      <c r="O7713" s="4288"/>
    </row>
    <row r="7714" spans="15:15">
      <c r="O7714" s="4288"/>
    </row>
    <row r="7715" spans="15:15">
      <c r="O7715" s="4288"/>
    </row>
    <row r="7716" spans="15:15">
      <c r="O7716" s="4288"/>
    </row>
    <row r="7717" spans="15:15">
      <c r="O7717" s="4288"/>
    </row>
    <row r="7718" spans="15:15">
      <c r="O7718" s="4288"/>
    </row>
    <row r="7719" spans="15:15">
      <c r="O7719" s="4288"/>
    </row>
    <row r="7720" spans="15:15">
      <c r="O7720" s="4288"/>
    </row>
    <row r="7721" spans="15:15">
      <c r="O7721" s="4288"/>
    </row>
    <row r="7722" spans="15:15">
      <c r="O7722" s="4288"/>
    </row>
    <row r="7723" spans="15:15">
      <c r="O7723" s="4288"/>
    </row>
    <row r="7724" spans="15:15">
      <c r="O7724" s="4288"/>
    </row>
    <row r="7725" spans="15:15">
      <c r="O7725" s="4288"/>
    </row>
    <row r="7726" spans="15:15">
      <c r="O7726" s="4288"/>
    </row>
    <row r="7727" spans="15:15">
      <c r="O7727" s="4288"/>
    </row>
    <row r="7728" spans="15:15">
      <c r="O7728" s="4288"/>
    </row>
    <row r="7729" spans="15:15">
      <c r="O7729" s="4288"/>
    </row>
    <row r="7730" spans="15:15">
      <c r="O7730" s="4288"/>
    </row>
    <row r="7731" spans="15:15">
      <c r="O7731" s="4288"/>
    </row>
    <row r="7732" spans="15:15">
      <c r="O7732" s="4288"/>
    </row>
    <row r="7733" spans="15:15">
      <c r="O7733" s="4288"/>
    </row>
    <row r="7734" spans="15:15">
      <c r="O7734" s="4288"/>
    </row>
    <row r="7735" spans="15:15">
      <c r="O7735" s="4288"/>
    </row>
    <row r="7736" spans="15:15">
      <c r="O7736" s="4288"/>
    </row>
    <row r="7737" spans="15:15">
      <c r="O7737" s="4288"/>
    </row>
    <row r="7738" spans="15:15">
      <c r="O7738" s="4288"/>
    </row>
    <row r="7739" spans="15:15">
      <c r="O7739" s="4288"/>
    </row>
    <row r="7740" spans="15:15">
      <c r="O7740" s="4288"/>
    </row>
    <row r="7741" spans="15:15">
      <c r="O7741" s="4288"/>
    </row>
    <row r="7742" spans="15:15">
      <c r="O7742" s="4288"/>
    </row>
    <row r="7743" spans="15:15">
      <c r="O7743" s="4288"/>
    </row>
    <row r="7744" spans="15:15">
      <c r="O7744" s="4288"/>
    </row>
    <row r="7745" spans="15:15">
      <c r="O7745" s="4288"/>
    </row>
    <row r="7746" spans="15:15">
      <c r="O7746" s="4288"/>
    </row>
    <row r="7747" spans="15:15">
      <c r="O7747" s="4288"/>
    </row>
    <row r="7748" spans="15:15">
      <c r="O7748" s="4288"/>
    </row>
    <row r="7749" spans="15:15">
      <c r="O7749" s="4288"/>
    </row>
    <row r="7750" spans="15:15">
      <c r="O7750" s="4288"/>
    </row>
    <row r="7751" spans="15:15">
      <c r="O7751" s="4288"/>
    </row>
    <row r="7752" spans="15:15">
      <c r="O7752" s="4288"/>
    </row>
    <row r="7753" spans="15:15">
      <c r="O7753" s="4288"/>
    </row>
    <row r="7754" spans="15:15">
      <c r="O7754" s="4288"/>
    </row>
    <row r="7755" spans="15:15">
      <c r="O7755" s="4288"/>
    </row>
    <row r="7756" spans="15:15">
      <c r="O7756" s="4288"/>
    </row>
    <row r="7757" spans="15:15">
      <c r="O7757" s="4288"/>
    </row>
    <row r="7758" spans="15:15">
      <c r="O7758" s="4288"/>
    </row>
    <row r="7759" spans="15:15">
      <c r="O7759" s="4288"/>
    </row>
    <row r="7760" spans="15:15">
      <c r="O7760" s="4288"/>
    </row>
    <row r="7761" spans="15:15">
      <c r="O7761" s="4288"/>
    </row>
    <row r="7762" spans="15:15">
      <c r="O7762" s="4288"/>
    </row>
    <row r="7763" spans="15:15">
      <c r="O7763" s="4288"/>
    </row>
    <row r="7764" spans="15:15">
      <c r="O7764" s="4288"/>
    </row>
    <row r="7765" spans="15:15">
      <c r="O7765" s="4288"/>
    </row>
    <row r="7766" spans="15:15">
      <c r="O7766" s="4288"/>
    </row>
    <row r="7767" spans="15:15">
      <c r="O7767" s="4288"/>
    </row>
    <row r="7768" spans="15:15">
      <c r="O7768" s="4288"/>
    </row>
    <row r="7769" spans="15:15">
      <c r="O7769" s="4288"/>
    </row>
    <row r="7770" spans="15:15">
      <c r="O7770" s="4288"/>
    </row>
    <row r="7771" spans="15:15">
      <c r="O7771" s="4288"/>
    </row>
    <row r="7772" spans="15:15">
      <c r="O7772" s="4288"/>
    </row>
    <row r="7773" spans="15:15">
      <c r="O7773" s="4288"/>
    </row>
    <row r="7774" spans="15:15">
      <c r="O7774" s="4288"/>
    </row>
    <row r="7775" spans="15:15">
      <c r="O7775" s="4288"/>
    </row>
    <row r="7776" spans="15:15">
      <c r="O7776" s="4288"/>
    </row>
    <row r="7777" spans="15:15">
      <c r="O7777" s="4288"/>
    </row>
    <row r="7778" spans="15:15">
      <c r="O7778" s="4288"/>
    </row>
    <row r="7779" spans="15:15">
      <c r="O7779" s="4288"/>
    </row>
    <row r="7780" spans="15:15">
      <c r="O7780" s="4288"/>
    </row>
    <row r="7781" spans="15:15">
      <c r="O7781" s="4288"/>
    </row>
    <row r="7782" spans="15:15">
      <c r="O7782" s="4288"/>
    </row>
    <row r="7783" spans="15:15">
      <c r="O7783" s="4288"/>
    </row>
    <row r="7784" spans="15:15">
      <c r="O7784" s="4288"/>
    </row>
    <row r="7785" spans="15:15">
      <c r="O7785" s="4288"/>
    </row>
    <row r="7786" spans="15:15">
      <c r="O7786" s="4288"/>
    </row>
    <row r="7787" spans="15:15">
      <c r="O7787" s="4288"/>
    </row>
    <row r="7788" spans="15:15">
      <c r="O7788" s="4288"/>
    </row>
    <row r="7789" spans="15:15">
      <c r="O7789" s="4288"/>
    </row>
    <row r="7790" spans="15:15">
      <c r="O7790" s="4288"/>
    </row>
    <row r="7791" spans="15:15">
      <c r="O7791" s="4288"/>
    </row>
    <row r="7792" spans="15:15">
      <c r="O7792" s="4288"/>
    </row>
    <row r="7793" spans="15:15">
      <c r="O7793" s="4288"/>
    </row>
    <row r="7794" spans="15:15">
      <c r="O7794" s="4288"/>
    </row>
    <row r="7795" spans="15:15">
      <c r="O7795" s="4288"/>
    </row>
    <row r="7796" spans="15:15">
      <c r="O7796" s="4288"/>
    </row>
    <row r="7797" spans="15:15">
      <c r="O7797" s="4288"/>
    </row>
    <row r="7798" spans="15:15">
      <c r="O7798" s="4288"/>
    </row>
    <row r="7799" spans="15:15">
      <c r="O7799" s="4288"/>
    </row>
    <row r="7800" spans="15:15">
      <c r="O7800" s="4288"/>
    </row>
    <row r="7801" spans="15:15">
      <c r="O7801" s="4288"/>
    </row>
    <row r="7802" spans="15:15">
      <c r="O7802" s="4288"/>
    </row>
    <row r="7803" spans="15:15">
      <c r="O7803" s="4288"/>
    </row>
    <row r="7804" spans="15:15">
      <c r="O7804" s="4288"/>
    </row>
    <row r="7805" spans="15:15">
      <c r="O7805" s="4288"/>
    </row>
    <row r="7806" spans="15:15">
      <c r="O7806" s="4288"/>
    </row>
    <row r="7807" spans="15:15">
      <c r="O7807" s="4288"/>
    </row>
    <row r="7808" spans="15:15">
      <c r="O7808" s="4288"/>
    </row>
    <row r="7809" spans="15:15">
      <c r="O7809" s="4288"/>
    </row>
    <row r="7810" spans="15:15">
      <c r="O7810" s="4288"/>
    </row>
    <row r="7811" spans="15:15">
      <c r="O7811" s="4288"/>
    </row>
    <row r="7812" spans="15:15">
      <c r="O7812" s="4288"/>
    </row>
    <row r="7813" spans="15:15">
      <c r="O7813" s="4288"/>
    </row>
    <row r="7814" spans="15:15">
      <c r="O7814" s="4288"/>
    </row>
    <row r="7815" spans="15:15">
      <c r="O7815" s="4288"/>
    </row>
    <row r="7816" spans="15:15">
      <c r="O7816" s="4288"/>
    </row>
    <row r="7817" spans="15:15">
      <c r="O7817" s="4288"/>
    </row>
    <row r="7818" spans="15:15">
      <c r="O7818" s="4288"/>
    </row>
    <row r="7819" spans="15:15">
      <c r="O7819" s="4288"/>
    </row>
    <row r="7820" spans="15:15">
      <c r="O7820" s="4288"/>
    </row>
    <row r="7821" spans="15:15">
      <c r="O7821" s="4288"/>
    </row>
    <row r="7822" spans="15:15">
      <c r="O7822" s="4288"/>
    </row>
    <row r="7823" spans="15:15">
      <c r="O7823" s="4288"/>
    </row>
    <row r="7824" spans="15:15">
      <c r="O7824" s="4288"/>
    </row>
    <row r="7825" spans="15:15">
      <c r="O7825" s="4288"/>
    </row>
    <row r="7826" spans="15:15">
      <c r="O7826" s="4288"/>
    </row>
    <row r="7827" spans="15:15">
      <c r="O7827" s="4288"/>
    </row>
    <row r="7828" spans="15:15">
      <c r="O7828" s="4288"/>
    </row>
    <row r="7829" spans="15:15">
      <c r="O7829" s="4288"/>
    </row>
    <row r="7830" spans="15:15">
      <c r="O7830" s="4288"/>
    </row>
    <row r="7831" spans="15:15">
      <c r="O7831" s="4288"/>
    </row>
    <row r="7832" spans="15:15">
      <c r="O7832" s="4288"/>
    </row>
    <row r="7833" spans="15:15">
      <c r="O7833" s="4288"/>
    </row>
    <row r="7834" spans="15:15">
      <c r="O7834" s="4288"/>
    </row>
    <row r="7835" spans="15:15">
      <c r="O7835" s="4288"/>
    </row>
    <row r="7836" spans="15:15">
      <c r="O7836" s="4288"/>
    </row>
    <row r="7837" spans="15:15">
      <c r="O7837" s="4288"/>
    </row>
    <row r="7838" spans="15:15">
      <c r="O7838" s="4288"/>
    </row>
    <row r="7839" spans="15:15">
      <c r="O7839" s="4288"/>
    </row>
    <row r="7840" spans="15:15">
      <c r="O7840" s="4288"/>
    </row>
    <row r="7841" spans="15:15">
      <c r="O7841" s="4288"/>
    </row>
    <row r="7842" spans="15:15">
      <c r="O7842" s="4288"/>
    </row>
    <row r="7843" spans="15:15">
      <c r="O7843" s="4288"/>
    </row>
    <row r="7844" spans="15:15">
      <c r="O7844" s="4288"/>
    </row>
    <row r="7845" spans="15:15">
      <c r="O7845" s="4288"/>
    </row>
    <row r="7846" spans="15:15">
      <c r="O7846" s="4288"/>
    </row>
    <row r="7847" spans="15:15">
      <c r="O7847" s="4288"/>
    </row>
    <row r="7848" spans="15:15">
      <c r="O7848" s="4288"/>
    </row>
    <row r="7849" spans="15:15">
      <c r="O7849" s="4288"/>
    </row>
    <row r="7850" spans="15:15">
      <c r="O7850" s="4288"/>
    </row>
    <row r="7851" spans="15:15">
      <c r="O7851" s="4288"/>
    </row>
    <row r="7852" spans="15:15">
      <c r="O7852" s="4288"/>
    </row>
    <row r="7853" spans="15:15">
      <c r="O7853" s="4288"/>
    </row>
    <row r="7854" spans="15:15">
      <c r="O7854" s="4288"/>
    </row>
    <row r="7855" spans="15:15">
      <c r="O7855" s="4288"/>
    </row>
    <row r="7856" spans="15:15">
      <c r="O7856" s="4288"/>
    </row>
    <row r="7857" spans="15:15">
      <c r="O7857" s="4288"/>
    </row>
    <row r="7858" spans="15:15">
      <c r="O7858" s="4288"/>
    </row>
    <row r="7859" spans="15:15">
      <c r="O7859" s="4288"/>
    </row>
    <row r="7860" spans="15:15">
      <c r="O7860" s="4288"/>
    </row>
    <row r="7861" spans="15:15">
      <c r="O7861" s="4288"/>
    </row>
    <row r="7862" spans="15:15">
      <c r="O7862" s="4288"/>
    </row>
    <row r="7863" spans="15:15">
      <c r="O7863" s="4288"/>
    </row>
    <row r="7864" spans="15:15">
      <c r="O7864" s="4288"/>
    </row>
    <row r="7865" spans="15:15">
      <c r="O7865" s="4288"/>
    </row>
    <row r="7866" spans="15:15">
      <c r="O7866" s="4288"/>
    </row>
    <row r="7867" spans="15:15">
      <c r="O7867" s="4288"/>
    </row>
    <row r="7868" spans="15:15">
      <c r="O7868" s="4288"/>
    </row>
    <row r="7869" spans="15:15">
      <c r="O7869" s="4288"/>
    </row>
    <row r="7870" spans="15:15">
      <c r="O7870" s="4288"/>
    </row>
    <row r="7871" spans="15:15">
      <c r="O7871" s="4288"/>
    </row>
    <row r="7872" spans="15:15">
      <c r="O7872" s="4288"/>
    </row>
    <row r="7873" spans="15:15">
      <c r="O7873" s="4288"/>
    </row>
    <row r="7874" spans="15:15">
      <c r="O7874" s="4288"/>
    </row>
    <row r="7875" spans="15:15">
      <c r="O7875" s="4288"/>
    </row>
    <row r="7876" spans="15:15">
      <c r="O7876" s="4288"/>
    </row>
    <row r="7877" spans="15:15">
      <c r="O7877" s="4288"/>
    </row>
    <row r="7878" spans="15:15">
      <c r="O7878" s="4288"/>
    </row>
    <row r="7879" spans="15:15">
      <c r="O7879" s="4288"/>
    </row>
    <row r="7880" spans="15:15">
      <c r="O7880" s="4288"/>
    </row>
    <row r="7881" spans="15:15">
      <c r="O7881" s="4288"/>
    </row>
    <row r="7882" spans="15:15">
      <c r="O7882" s="4288"/>
    </row>
    <row r="7883" spans="15:15">
      <c r="O7883" s="4288"/>
    </row>
    <row r="7884" spans="15:15">
      <c r="O7884" s="4288"/>
    </row>
    <row r="7885" spans="15:15">
      <c r="O7885" s="4288"/>
    </row>
    <row r="7886" spans="15:15">
      <c r="O7886" s="4288"/>
    </row>
    <row r="7887" spans="15:15">
      <c r="O7887" s="4288"/>
    </row>
    <row r="7888" spans="15:15">
      <c r="O7888" s="4288"/>
    </row>
    <row r="7889" spans="15:15">
      <c r="O7889" s="4288"/>
    </row>
    <row r="7890" spans="15:15">
      <c r="O7890" s="4288"/>
    </row>
    <row r="7891" spans="15:15">
      <c r="O7891" s="4288"/>
    </row>
    <row r="7892" spans="15:15">
      <c r="O7892" s="4288"/>
    </row>
    <row r="7893" spans="15:15">
      <c r="O7893" s="4288"/>
    </row>
    <row r="7894" spans="15:15">
      <c r="O7894" s="4288"/>
    </row>
    <row r="7895" spans="15:15">
      <c r="O7895" s="4288"/>
    </row>
    <row r="7896" spans="15:15">
      <c r="O7896" s="4288"/>
    </row>
    <row r="7897" spans="15:15">
      <c r="O7897" s="4288"/>
    </row>
    <row r="7898" spans="15:15">
      <c r="O7898" s="4288"/>
    </row>
    <row r="7899" spans="15:15">
      <c r="O7899" s="4288"/>
    </row>
    <row r="7900" spans="15:15">
      <c r="O7900" s="4288"/>
    </row>
    <row r="7901" spans="15:15">
      <c r="O7901" s="4288"/>
    </row>
    <row r="7902" spans="15:15">
      <c r="O7902" s="4288"/>
    </row>
    <row r="7903" spans="15:15">
      <c r="O7903" s="4288"/>
    </row>
    <row r="7904" spans="15:15">
      <c r="O7904" s="4288"/>
    </row>
    <row r="7905" spans="15:15">
      <c r="O7905" s="4288"/>
    </row>
    <row r="7906" spans="15:15">
      <c r="O7906" s="4288"/>
    </row>
    <row r="7907" spans="15:15">
      <c r="O7907" s="4288"/>
    </row>
    <row r="7908" spans="15:15">
      <c r="O7908" s="4288"/>
    </row>
    <row r="7909" spans="15:15">
      <c r="O7909" s="4288"/>
    </row>
    <row r="7910" spans="15:15">
      <c r="O7910" s="4288"/>
    </row>
    <row r="7911" spans="15:15">
      <c r="O7911" s="4288"/>
    </row>
    <row r="7912" spans="15:15">
      <c r="O7912" s="4288"/>
    </row>
    <row r="7913" spans="15:15">
      <c r="O7913" s="4288"/>
    </row>
    <row r="7914" spans="15:15">
      <c r="O7914" s="4288"/>
    </row>
    <row r="7915" spans="15:15">
      <c r="O7915" s="4288"/>
    </row>
    <row r="7916" spans="15:15">
      <c r="O7916" s="4288"/>
    </row>
    <row r="7917" spans="15:15">
      <c r="O7917" s="4288"/>
    </row>
    <row r="7918" spans="15:15">
      <c r="O7918" s="4288"/>
    </row>
    <row r="7919" spans="15:15">
      <c r="O7919" s="4288"/>
    </row>
    <row r="7920" spans="15:15">
      <c r="O7920" s="4288"/>
    </row>
    <row r="7921" spans="15:15">
      <c r="O7921" s="4288"/>
    </row>
    <row r="7922" spans="15:15">
      <c r="O7922" s="4288"/>
    </row>
    <row r="7923" spans="15:15">
      <c r="O7923" s="4288"/>
    </row>
    <row r="7924" spans="15:15">
      <c r="O7924" s="4288"/>
    </row>
    <row r="7925" spans="15:15">
      <c r="O7925" s="4288"/>
    </row>
    <row r="7926" spans="15:15">
      <c r="O7926" s="4288"/>
    </row>
    <row r="7927" spans="15:15">
      <c r="O7927" s="4288"/>
    </row>
    <row r="7928" spans="15:15">
      <c r="O7928" s="4288"/>
    </row>
    <row r="7929" spans="15:15">
      <c r="O7929" s="4288"/>
    </row>
    <row r="7930" spans="15:15">
      <c r="O7930" s="4288"/>
    </row>
    <row r="7931" spans="15:15">
      <c r="O7931" s="4288"/>
    </row>
    <row r="7932" spans="15:15">
      <c r="O7932" s="4288"/>
    </row>
    <row r="7933" spans="15:15">
      <c r="O7933" s="4288"/>
    </row>
    <row r="7934" spans="15:15">
      <c r="O7934" s="4288"/>
    </row>
    <row r="7935" spans="15:15">
      <c r="O7935" s="4288"/>
    </row>
    <row r="7936" spans="15:15">
      <c r="O7936" s="4288"/>
    </row>
    <row r="7937" spans="15:15">
      <c r="O7937" s="4288"/>
    </row>
    <row r="7938" spans="15:15">
      <c r="O7938" s="4288"/>
    </row>
    <row r="7939" spans="15:15">
      <c r="O7939" s="4288"/>
    </row>
    <row r="7940" spans="15:15">
      <c r="O7940" s="4288"/>
    </row>
    <row r="7941" spans="15:15">
      <c r="O7941" s="4288"/>
    </row>
    <row r="7942" spans="15:15">
      <c r="O7942" s="4288"/>
    </row>
    <row r="7943" spans="15:15">
      <c r="O7943" s="4288"/>
    </row>
    <row r="7944" spans="15:15">
      <c r="O7944" s="4288"/>
    </row>
    <row r="7945" spans="15:15">
      <c r="O7945" s="4288"/>
    </row>
    <row r="7946" spans="15:15">
      <c r="O7946" s="4288"/>
    </row>
    <row r="7947" spans="15:15">
      <c r="O7947" s="4288"/>
    </row>
    <row r="7948" spans="15:15">
      <c r="O7948" s="4288"/>
    </row>
    <row r="7949" spans="15:15">
      <c r="O7949" s="4288"/>
    </row>
    <row r="7950" spans="15:15">
      <c r="O7950" s="4288"/>
    </row>
    <row r="7951" spans="15:15">
      <c r="O7951" s="4288"/>
    </row>
    <row r="7952" spans="15:15">
      <c r="O7952" s="4288"/>
    </row>
    <row r="7953" spans="15:15">
      <c r="O7953" s="4288"/>
    </row>
    <row r="7954" spans="15:15">
      <c r="O7954" s="4288"/>
    </row>
    <row r="7955" spans="15:15">
      <c r="O7955" s="4288"/>
    </row>
    <row r="7956" spans="15:15">
      <c r="O7956" s="4288"/>
    </row>
    <row r="7957" spans="15:15">
      <c r="O7957" s="4288"/>
    </row>
    <row r="7958" spans="15:15">
      <c r="O7958" s="4288"/>
    </row>
    <row r="7959" spans="15:15">
      <c r="O7959" s="4288"/>
    </row>
    <row r="7960" spans="15:15">
      <c r="O7960" s="4288"/>
    </row>
    <row r="7961" spans="15:15">
      <c r="O7961" s="4288"/>
    </row>
    <row r="7962" spans="15:15">
      <c r="O7962" s="4288"/>
    </row>
    <row r="7963" spans="15:15">
      <c r="O7963" s="4288"/>
    </row>
    <row r="7964" spans="15:15">
      <c r="O7964" s="4288"/>
    </row>
    <row r="7965" spans="15:15">
      <c r="O7965" s="4288"/>
    </row>
    <row r="7966" spans="15:15">
      <c r="O7966" s="4288"/>
    </row>
    <row r="7967" spans="15:15">
      <c r="O7967" s="4288"/>
    </row>
    <row r="7968" spans="15:15">
      <c r="O7968" s="4288"/>
    </row>
    <row r="7969" spans="15:15">
      <c r="O7969" s="4288"/>
    </row>
    <row r="7970" spans="15:15">
      <c r="O7970" s="4288"/>
    </row>
    <row r="7971" spans="15:15">
      <c r="O7971" s="4288"/>
    </row>
    <row r="7972" spans="15:15">
      <c r="O7972" s="4288"/>
    </row>
    <row r="7973" spans="15:15">
      <c r="O7973" s="4288"/>
    </row>
    <row r="7974" spans="15:15">
      <c r="O7974" s="4288"/>
    </row>
    <row r="7975" spans="15:15">
      <c r="O7975" s="4288"/>
    </row>
    <row r="7976" spans="15:15">
      <c r="O7976" s="4288"/>
    </row>
    <row r="7977" spans="15:15">
      <c r="O7977" s="4288"/>
    </row>
    <row r="7978" spans="15:15">
      <c r="O7978" s="4288"/>
    </row>
    <row r="7979" spans="15:15">
      <c r="O7979" s="4288"/>
    </row>
    <row r="7980" spans="15:15">
      <c r="O7980" s="4288"/>
    </row>
    <row r="7981" spans="15:15">
      <c r="O7981" s="4288"/>
    </row>
    <row r="7982" spans="15:15">
      <c r="O7982" s="4288"/>
    </row>
    <row r="7983" spans="15:15">
      <c r="O7983" s="4288"/>
    </row>
    <row r="7984" spans="15:15">
      <c r="O7984" s="4288"/>
    </row>
    <row r="7985" spans="15:15">
      <c r="O7985" s="4288"/>
    </row>
    <row r="7986" spans="15:15">
      <c r="O7986" s="4288"/>
    </row>
    <row r="7987" spans="15:15">
      <c r="O7987" s="4288"/>
    </row>
    <row r="7988" spans="15:15">
      <c r="O7988" s="4288"/>
    </row>
    <row r="7989" spans="15:15">
      <c r="O7989" s="4288"/>
    </row>
    <row r="7990" spans="15:15">
      <c r="O7990" s="4288"/>
    </row>
    <row r="7991" spans="15:15">
      <c r="O7991" s="4288"/>
    </row>
    <row r="7992" spans="15:15">
      <c r="O7992" s="4288"/>
    </row>
    <row r="7993" spans="15:15">
      <c r="O7993" s="4288"/>
    </row>
    <row r="7994" spans="15:15">
      <c r="O7994" s="4288"/>
    </row>
    <row r="7995" spans="15:15">
      <c r="O7995" s="4288"/>
    </row>
    <row r="7996" spans="15:15">
      <c r="O7996" s="4288"/>
    </row>
    <row r="7997" spans="15:15">
      <c r="O7997" s="4288"/>
    </row>
    <row r="7998" spans="15:15">
      <c r="O7998" s="4288"/>
    </row>
    <row r="7999" spans="15:15">
      <c r="O7999" s="4288"/>
    </row>
    <row r="8000" spans="15:15">
      <c r="O8000" s="4288"/>
    </row>
    <row r="8001" spans="15:15">
      <c r="O8001" s="4288"/>
    </row>
    <row r="8002" spans="15:15">
      <c r="O8002" s="4288"/>
    </row>
    <row r="8003" spans="15:15">
      <c r="O8003" s="4288"/>
    </row>
    <row r="8004" spans="15:15">
      <c r="O8004" s="4288"/>
    </row>
    <row r="8005" spans="15:15">
      <c r="O8005" s="4288"/>
    </row>
    <row r="8006" spans="15:15">
      <c r="O8006" s="4288"/>
    </row>
    <row r="8007" spans="15:15">
      <c r="O8007" s="4288"/>
    </row>
    <row r="8008" spans="15:15">
      <c r="O8008" s="4288"/>
    </row>
    <row r="8009" spans="15:15">
      <c r="O8009" s="4288"/>
    </row>
    <row r="8010" spans="15:15">
      <c r="O8010" s="4288"/>
    </row>
    <row r="8011" spans="15:15">
      <c r="O8011" s="4288"/>
    </row>
    <row r="8012" spans="15:15">
      <c r="O8012" s="4288"/>
    </row>
    <row r="8013" spans="15:15">
      <c r="O8013" s="4288"/>
    </row>
    <row r="8014" spans="15:15">
      <c r="O8014" s="4288"/>
    </row>
    <row r="8015" spans="15:15">
      <c r="O8015" s="4288"/>
    </row>
    <row r="8016" spans="15:15">
      <c r="O8016" s="4288"/>
    </row>
    <row r="8017" spans="15:15">
      <c r="O8017" s="4288"/>
    </row>
    <row r="8018" spans="15:15">
      <c r="O8018" s="4288"/>
    </row>
    <row r="8019" spans="15:15">
      <c r="O8019" s="4288"/>
    </row>
    <row r="8020" spans="15:15">
      <c r="O8020" s="4288"/>
    </row>
    <row r="8021" spans="15:15">
      <c r="O8021" s="4288"/>
    </row>
    <row r="8022" spans="15:15">
      <c r="O8022" s="4288"/>
    </row>
    <row r="8023" spans="15:15">
      <c r="O8023" s="4288"/>
    </row>
    <row r="8024" spans="15:15">
      <c r="O8024" s="4288"/>
    </row>
    <row r="8025" spans="15:15">
      <c r="O8025" s="4288"/>
    </row>
    <row r="8026" spans="15:15">
      <c r="O8026" s="4288"/>
    </row>
    <row r="8027" spans="15:15">
      <c r="O8027" s="4288"/>
    </row>
    <row r="8028" spans="15:15">
      <c r="O8028" s="4288"/>
    </row>
    <row r="8029" spans="15:15">
      <c r="O8029" s="4288"/>
    </row>
    <row r="8030" spans="15:15">
      <c r="O8030" s="4288"/>
    </row>
    <row r="8031" spans="15:15">
      <c r="O8031" s="4288"/>
    </row>
    <row r="8032" spans="15:15">
      <c r="O8032" s="4288"/>
    </row>
    <row r="8033" spans="15:15">
      <c r="O8033" s="4288"/>
    </row>
    <row r="8034" spans="15:15">
      <c r="O8034" s="4288"/>
    </row>
    <row r="8035" spans="15:15">
      <c r="O8035" s="4288"/>
    </row>
    <row r="8036" spans="15:15">
      <c r="O8036" s="4288"/>
    </row>
    <row r="8037" spans="15:15">
      <c r="O8037" s="4288"/>
    </row>
    <row r="8038" spans="15:15">
      <c r="O8038" s="4288"/>
    </row>
    <row r="8039" spans="15:15">
      <c r="O8039" s="4288"/>
    </row>
    <row r="8040" spans="15:15">
      <c r="O8040" s="4288"/>
    </row>
    <row r="8041" spans="15:15">
      <c r="O8041" s="4288"/>
    </row>
    <row r="8042" spans="15:15">
      <c r="O8042" s="4288"/>
    </row>
    <row r="8043" spans="15:15">
      <c r="O8043" s="4288"/>
    </row>
    <row r="8044" spans="15:15">
      <c r="O8044" s="4288"/>
    </row>
    <row r="8045" spans="15:15">
      <c r="O8045" s="4288"/>
    </row>
    <row r="8046" spans="15:15">
      <c r="O8046" s="4288"/>
    </row>
    <row r="8047" spans="15:15">
      <c r="O8047" s="4288"/>
    </row>
    <row r="8048" spans="15:15">
      <c r="O8048" s="4288"/>
    </row>
    <row r="8049" spans="15:15">
      <c r="O8049" s="4288"/>
    </row>
    <row r="8050" spans="15:15">
      <c r="O8050" s="4288"/>
    </row>
    <row r="8051" spans="15:15">
      <c r="O8051" s="4288"/>
    </row>
    <row r="8052" spans="15:15">
      <c r="O8052" s="4288"/>
    </row>
    <row r="8053" spans="15:15">
      <c r="O8053" s="4288"/>
    </row>
    <row r="8054" spans="15:15">
      <c r="O8054" s="4288"/>
    </row>
    <row r="8055" spans="15:15">
      <c r="O8055" s="4288"/>
    </row>
    <row r="8056" spans="15:15">
      <c r="O8056" s="4288"/>
    </row>
    <row r="8057" spans="15:15">
      <c r="O8057" s="4288"/>
    </row>
    <row r="8058" spans="15:15">
      <c r="O8058" s="4288"/>
    </row>
    <row r="8059" spans="15:15">
      <c r="O8059" s="4288"/>
    </row>
    <row r="8060" spans="15:15">
      <c r="O8060" s="4288"/>
    </row>
    <row r="8061" spans="15:15">
      <c r="O8061" s="4288"/>
    </row>
    <row r="8062" spans="15:15">
      <c r="O8062" s="4288"/>
    </row>
    <row r="8063" spans="15:15">
      <c r="O8063" s="4288"/>
    </row>
    <row r="8064" spans="15:15">
      <c r="O8064" s="4288"/>
    </row>
    <row r="8065" spans="15:15">
      <c r="O8065" s="4288"/>
    </row>
    <row r="8066" spans="15:15">
      <c r="O8066" s="4288"/>
    </row>
    <row r="8067" spans="15:15">
      <c r="O8067" s="4288"/>
    </row>
    <row r="8068" spans="15:15">
      <c r="O8068" s="4288"/>
    </row>
    <row r="8069" spans="15:15">
      <c r="O8069" s="4288"/>
    </row>
    <row r="8070" spans="15:15">
      <c r="O8070" s="4288"/>
    </row>
    <row r="8071" spans="15:15">
      <c r="O8071" s="4288"/>
    </row>
    <row r="8072" spans="15:15">
      <c r="O8072" s="4288"/>
    </row>
    <row r="8073" spans="15:15">
      <c r="O8073" s="4288"/>
    </row>
    <row r="8074" spans="15:15">
      <c r="O8074" s="4288"/>
    </row>
    <row r="8075" spans="15:15">
      <c r="O8075" s="4288"/>
    </row>
    <row r="8076" spans="15:15">
      <c r="O8076" s="4288"/>
    </row>
    <row r="8077" spans="15:15">
      <c r="O8077" s="4288"/>
    </row>
    <row r="8078" spans="15:15">
      <c r="O8078" s="4288"/>
    </row>
    <row r="8079" spans="15:15">
      <c r="O8079" s="4288"/>
    </row>
    <row r="8080" spans="15:15">
      <c r="O8080" s="4288"/>
    </row>
    <row r="8081" spans="15:15">
      <c r="O8081" s="4288"/>
    </row>
    <row r="8082" spans="15:15">
      <c r="O8082" s="4288"/>
    </row>
    <row r="8083" spans="15:15">
      <c r="O8083" s="4288"/>
    </row>
    <row r="8084" spans="15:15">
      <c r="O8084" s="4288"/>
    </row>
    <row r="8085" spans="15:15">
      <c r="O8085" s="4288"/>
    </row>
    <row r="8086" spans="15:15">
      <c r="O8086" s="4288"/>
    </row>
    <row r="8087" spans="15:15">
      <c r="O8087" s="4288"/>
    </row>
    <row r="8088" spans="15:15">
      <c r="O8088" s="4288"/>
    </row>
    <row r="8089" spans="15:15">
      <c r="O8089" s="4288"/>
    </row>
    <row r="8090" spans="15:15">
      <c r="O8090" s="4288"/>
    </row>
    <row r="8091" spans="15:15">
      <c r="O8091" s="4288"/>
    </row>
    <row r="8092" spans="15:15">
      <c r="O8092" s="4288"/>
    </row>
    <row r="8093" spans="15:15">
      <c r="O8093" s="4288"/>
    </row>
    <row r="8094" spans="15:15">
      <c r="O8094" s="4288"/>
    </row>
    <row r="8095" spans="15:15">
      <c r="O8095" s="4288"/>
    </row>
    <row r="8096" spans="15:15">
      <c r="O8096" s="4288"/>
    </row>
    <row r="8097" spans="15:15">
      <c r="O8097" s="4288"/>
    </row>
    <row r="8098" spans="15:15">
      <c r="O8098" s="4288"/>
    </row>
    <row r="8099" spans="15:15">
      <c r="O8099" s="4288"/>
    </row>
    <row r="8100" spans="15:15">
      <c r="O8100" s="4288"/>
    </row>
    <row r="8101" spans="15:15">
      <c r="O8101" s="4288"/>
    </row>
    <row r="8102" spans="15:15">
      <c r="O8102" s="4288"/>
    </row>
    <row r="8103" spans="15:15">
      <c r="O8103" s="4288"/>
    </row>
    <row r="8104" spans="15:15">
      <c r="O8104" s="4288"/>
    </row>
    <row r="8105" spans="15:15">
      <c r="O8105" s="4288"/>
    </row>
    <row r="8106" spans="15:15">
      <c r="O8106" s="4288"/>
    </row>
    <row r="8107" spans="15:15">
      <c r="O8107" s="4288"/>
    </row>
    <row r="8108" spans="15:15">
      <c r="O8108" s="4288"/>
    </row>
    <row r="8109" spans="15:15">
      <c r="O8109" s="4288"/>
    </row>
    <row r="8110" spans="15:15">
      <c r="O8110" s="4288"/>
    </row>
    <row r="8111" spans="15:15">
      <c r="O8111" s="4288"/>
    </row>
    <row r="8112" spans="15:15">
      <c r="O8112" s="4288"/>
    </row>
    <row r="8113" spans="15:15">
      <c r="O8113" s="4288"/>
    </row>
    <row r="8114" spans="15:15">
      <c r="O8114" s="4288"/>
    </row>
    <row r="8115" spans="15:15">
      <c r="O8115" s="4288"/>
    </row>
    <row r="8116" spans="15:15">
      <c r="O8116" s="4288"/>
    </row>
    <row r="8117" spans="15:15">
      <c r="O8117" s="4288"/>
    </row>
    <row r="8118" spans="15:15">
      <c r="O8118" s="4288"/>
    </row>
    <row r="8119" spans="15:15">
      <c r="O8119" s="4288"/>
    </row>
    <row r="8120" spans="15:15">
      <c r="O8120" s="4288"/>
    </row>
    <row r="8121" spans="15:15">
      <c r="O8121" s="4288"/>
    </row>
    <row r="8122" spans="15:15">
      <c r="O8122" s="4288"/>
    </row>
    <row r="8123" spans="15:15">
      <c r="O8123" s="4288"/>
    </row>
    <row r="8124" spans="15:15">
      <c r="O8124" s="4288"/>
    </row>
    <row r="8125" spans="15:15">
      <c r="O8125" s="4288"/>
    </row>
    <row r="8126" spans="15:15">
      <c r="O8126" s="4288"/>
    </row>
    <row r="8127" spans="15:15">
      <c r="O8127" s="4288"/>
    </row>
    <row r="8128" spans="15:15">
      <c r="O8128" s="4288"/>
    </row>
    <row r="8129" spans="15:15">
      <c r="O8129" s="4288"/>
    </row>
    <row r="8130" spans="15:15">
      <c r="O8130" s="4288"/>
    </row>
    <row r="8131" spans="15:15">
      <c r="O8131" s="4288"/>
    </row>
    <row r="8132" spans="15:15">
      <c r="O8132" s="4288"/>
    </row>
    <row r="8133" spans="15:15">
      <c r="O8133" s="4288"/>
    </row>
    <row r="8134" spans="15:15">
      <c r="O8134" s="4288"/>
    </row>
    <row r="8135" spans="15:15">
      <c r="O8135" s="4288"/>
    </row>
    <row r="8136" spans="15:15">
      <c r="O8136" s="4288"/>
    </row>
    <row r="8137" spans="15:15">
      <c r="O8137" s="4288"/>
    </row>
    <row r="8138" spans="15:15">
      <c r="O8138" s="4288"/>
    </row>
    <row r="8139" spans="15:15">
      <c r="O8139" s="4288"/>
    </row>
    <row r="8140" spans="15:15">
      <c r="O8140" s="4288"/>
    </row>
    <row r="8141" spans="15:15">
      <c r="O8141" s="4288"/>
    </row>
    <row r="8142" spans="15:15">
      <c r="O8142" s="4288"/>
    </row>
    <row r="8143" spans="15:15">
      <c r="O8143" s="4288"/>
    </row>
    <row r="8144" spans="15:15">
      <c r="O8144" s="4288"/>
    </row>
    <row r="8145" spans="15:15">
      <c r="O8145" s="4288"/>
    </row>
    <row r="8146" spans="15:15">
      <c r="O8146" s="4288"/>
    </row>
    <row r="8147" spans="15:15">
      <c r="O8147" s="4288"/>
    </row>
    <row r="8148" spans="15:15">
      <c r="O8148" s="4288"/>
    </row>
    <row r="8149" spans="15:15">
      <c r="O8149" s="4288"/>
    </row>
    <row r="8150" spans="15:15">
      <c r="O8150" s="4288"/>
    </row>
    <row r="8151" spans="15:15">
      <c r="O8151" s="4288"/>
    </row>
    <row r="8152" spans="15:15">
      <c r="O8152" s="4288"/>
    </row>
    <row r="8153" spans="15:15">
      <c r="O8153" s="4288"/>
    </row>
    <row r="8154" spans="15:15">
      <c r="O8154" s="4288"/>
    </row>
    <row r="8155" spans="15:15">
      <c r="O8155" s="4288"/>
    </row>
    <row r="8156" spans="15:15">
      <c r="O8156" s="4288"/>
    </row>
    <row r="8157" spans="15:15">
      <c r="O8157" s="4288"/>
    </row>
    <row r="8158" spans="15:15">
      <c r="O8158" s="4288"/>
    </row>
    <row r="8159" spans="15:15">
      <c r="O8159" s="4288"/>
    </row>
    <row r="8160" spans="15:15">
      <c r="O8160" s="4288"/>
    </row>
    <row r="8161" spans="15:15">
      <c r="O8161" s="4288"/>
    </row>
    <row r="8162" spans="15:15">
      <c r="O8162" s="4288"/>
    </row>
    <row r="8163" spans="15:15">
      <c r="O8163" s="4288"/>
    </row>
    <row r="8164" spans="15:15">
      <c r="O8164" s="4288"/>
    </row>
    <row r="8165" spans="15:15">
      <c r="O8165" s="4288"/>
    </row>
    <row r="8166" spans="15:15">
      <c r="O8166" s="4288"/>
    </row>
    <row r="8167" spans="15:15">
      <c r="O8167" s="4288"/>
    </row>
    <row r="8168" spans="15:15">
      <c r="O8168" s="4288"/>
    </row>
    <row r="8169" spans="15:15">
      <c r="O8169" s="4288"/>
    </row>
    <row r="8170" spans="15:15">
      <c r="O8170" s="4288"/>
    </row>
    <row r="8171" spans="15:15">
      <c r="O8171" s="4288"/>
    </row>
    <row r="8172" spans="15:15">
      <c r="O8172" s="4288"/>
    </row>
    <row r="8173" spans="15:15">
      <c r="O8173" s="4288"/>
    </row>
    <row r="8174" spans="15:15">
      <c r="O8174" s="4288"/>
    </row>
    <row r="8175" spans="15:15">
      <c r="O8175" s="4288"/>
    </row>
    <row r="8176" spans="15:15">
      <c r="O8176" s="4288"/>
    </row>
    <row r="8177" spans="15:15">
      <c r="O8177" s="4288"/>
    </row>
    <row r="8178" spans="15:15">
      <c r="O8178" s="4288"/>
    </row>
    <row r="8179" spans="15:15">
      <c r="O8179" s="4288"/>
    </row>
    <row r="8180" spans="15:15">
      <c r="O8180" s="4288"/>
    </row>
    <row r="8181" spans="15:15">
      <c r="O8181" s="4288"/>
    </row>
    <row r="8182" spans="15:15">
      <c r="O8182" s="4288"/>
    </row>
    <row r="8183" spans="15:15">
      <c r="O8183" s="4288"/>
    </row>
    <row r="8184" spans="15:15">
      <c r="O8184" s="4288"/>
    </row>
    <row r="8185" spans="15:15">
      <c r="O8185" s="4288"/>
    </row>
    <row r="8186" spans="15:15">
      <c r="O8186" s="4288"/>
    </row>
    <row r="8187" spans="15:15">
      <c r="O8187" s="4288"/>
    </row>
    <row r="8188" spans="15:15">
      <c r="O8188" s="4288"/>
    </row>
    <row r="8189" spans="15:15">
      <c r="O8189" s="4288"/>
    </row>
    <row r="8190" spans="15:15">
      <c r="O8190" s="4288"/>
    </row>
    <row r="8191" spans="15:15">
      <c r="O8191" s="4288"/>
    </row>
    <row r="8192" spans="15:15">
      <c r="O8192" s="4288"/>
    </row>
    <row r="8193" spans="15:15">
      <c r="O8193" s="4288"/>
    </row>
    <row r="8194" spans="15:15">
      <c r="O8194" s="4288"/>
    </row>
    <row r="8195" spans="15:15">
      <c r="O8195" s="4288"/>
    </row>
    <row r="8196" spans="15:15">
      <c r="O8196" s="4288"/>
    </row>
    <row r="8197" spans="15:15">
      <c r="O8197" s="4288"/>
    </row>
    <row r="8198" spans="15:15">
      <c r="O8198" s="4288"/>
    </row>
    <row r="8199" spans="15:15">
      <c r="O8199" s="4288"/>
    </row>
    <row r="8200" spans="15:15">
      <c r="O8200" s="4288"/>
    </row>
    <row r="8201" spans="15:15">
      <c r="O8201" s="4288"/>
    </row>
    <row r="8202" spans="15:15">
      <c r="O8202" s="4288"/>
    </row>
    <row r="8203" spans="15:15">
      <c r="O8203" s="4288"/>
    </row>
    <row r="8204" spans="15:15">
      <c r="O8204" s="4288"/>
    </row>
    <row r="8205" spans="15:15">
      <c r="O8205" s="4288"/>
    </row>
    <row r="8206" spans="15:15">
      <c r="O8206" s="4288"/>
    </row>
    <row r="8207" spans="15:15">
      <c r="O8207" s="4288"/>
    </row>
    <row r="8208" spans="15:15">
      <c r="O8208" s="4288"/>
    </row>
    <row r="8209" spans="15:15">
      <c r="O8209" s="4288"/>
    </row>
    <row r="8210" spans="15:15">
      <c r="O8210" s="4288"/>
    </row>
    <row r="8211" spans="15:15">
      <c r="O8211" s="4288"/>
    </row>
    <row r="8212" spans="15:15">
      <c r="O8212" s="4288"/>
    </row>
    <row r="8213" spans="15:15">
      <c r="O8213" s="4288"/>
    </row>
    <row r="8214" spans="15:15">
      <c r="O8214" s="4288"/>
    </row>
    <row r="8215" spans="15:15">
      <c r="O8215" s="4288"/>
    </row>
    <row r="8216" spans="15:15">
      <c r="O8216" s="4288"/>
    </row>
    <row r="8217" spans="15:15">
      <c r="O8217" s="4288"/>
    </row>
    <row r="8218" spans="15:15">
      <c r="O8218" s="4288"/>
    </row>
    <row r="8219" spans="15:15">
      <c r="O8219" s="4288"/>
    </row>
    <row r="8220" spans="15:15">
      <c r="O8220" s="4288"/>
    </row>
    <row r="8221" spans="15:15">
      <c r="O8221" s="4288"/>
    </row>
    <row r="8222" spans="15:15">
      <c r="O8222" s="4288"/>
    </row>
    <row r="8223" spans="15:15">
      <c r="O8223" s="4288"/>
    </row>
    <row r="8224" spans="15:15">
      <c r="O8224" s="4288"/>
    </row>
    <row r="8225" spans="15:15">
      <c r="O8225" s="4288"/>
    </row>
    <row r="8226" spans="15:15">
      <c r="O8226" s="4288"/>
    </row>
    <row r="8227" spans="15:15">
      <c r="O8227" s="4288"/>
    </row>
    <row r="8228" spans="15:15">
      <c r="O8228" s="4288"/>
    </row>
    <row r="8229" spans="15:15">
      <c r="O8229" s="4288"/>
    </row>
    <row r="8230" spans="15:15">
      <c r="O8230" s="4288"/>
    </row>
    <row r="8231" spans="15:15">
      <c r="O8231" s="4288"/>
    </row>
    <row r="8232" spans="15:15">
      <c r="O8232" s="4288"/>
    </row>
    <row r="8233" spans="15:15">
      <c r="O8233" s="4288"/>
    </row>
    <row r="8234" spans="15:15">
      <c r="O8234" s="4288"/>
    </row>
    <row r="8235" spans="15:15">
      <c r="O8235" s="4288"/>
    </row>
    <row r="8236" spans="15:15">
      <c r="O8236" s="4288"/>
    </row>
    <row r="8237" spans="15:15">
      <c r="O8237" s="4288"/>
    </row>
    <row r="8238" spans="15:15">
      <c r="O8238" s="4288"/>
    </row>
    <row r="8239" spans="15:15">
      <c r="O8239" s="4288"/>
    </row>
    <row r="8240" spans="15:15">
      <c r="O8240" s="4288"/>
    </row>
    <row r="8241" spans="15:15">
      <c r="O8241" s="4288"/>
    </row>
    <row r="8242" spans="15:15">
      <c r="O8242" s="4288"/>
    </row>
    <row r="8243" spans="15:15">
      <c r="O8243" s="4288"/>
    </row>
    <row r="8244" spans="15:15">
      <c r="O8244" s="4288"/>
    </row>
    <row r="8245" spans="15:15">
      <c r="O8245" s="4288"/>
    </row>
    <row r="8246" spans="15:15">
      <c r="O8246" s="4288"/>
    </row>
    <row r="8247" spans="15:15">
      <c r="O8247" s="4288"/>
    </row>
    <row r="8248" spans="15:15">
      <c r="O8248" s="4288"/>
    </row>
    <row r="8249" spans="15:15">
      <c r="O8249" s="4288"/>
    </row>
    <row r="8250" spans="15:15">
      <c r="O8250" s="4288"/>
    </row>
    <row r="8251" spans="15:15">
      <c r="O8251" s="4288"/>
    </row>
    <row r="8252" spans="15:15">
      <c r="O8252" s="4288"/>
    </row>
    <row r="8253" spans="15:15">
      <c r="O8253" s="4288"/>
    </row>
    <row r="8254" spans="15:15">
      <c r="O8254" s="4288"/>
    </row>
    <row r="8255" spans="15:15">
      <c r="O8255" s="4288"/>
    </row>
    <row r="8256" spans="15:15">
      <c r="O8256" s="4288"/>
    </row>
    <row r="8257" spans="15:15">
      <c r="O8257" s="4288"/>
    </row>
    <row r="8258" spans="15:15">
      <c r="O8258" s="4288"/>
    </row>
    <row r="8259" spans="15:15">
      <c r="O8259" s="4288"/>
    </row>
    <row r="8260" spans="15:15">
      <c r="O8260" s="4288"/>
    </row>
    <row r="8261" spans="15:15">
      <c r="O8261" s="4288"/>
    </row>
    <row r="8262" spans="15:15">
      <c r="O8262" s="4288"/>
    </row>
    <row r="8263" spans="15:15">
      <c r="O8263" s="4288"/>
    </row>
    <row r="8264" spans="15:15">
      <c r="O8264" s="4288"/>
    </row>
    <row r="8265" spans="15:15">
      <c r="O8265" s="4288"/>
    </row>
    <row r="8266" spans="15:15">
      <c r="O8266" s="4288"/>
    </row>
    <row r="8267" spans="15:15">
      <c r="O8267" s="4288"/>
    </row>
    <row r="8268" spans="15:15">
      <c r="O8268" s="4288"/>
    </row>
    <row r="8269" spans="15:15">
      <c r="O8269" s="4288"/>
    </row>
    <row r="8270" spans="15:15">
      <c r="O8270" s="4288"/>
    </row>
    <row r="8271" spans="15:15">
      <c r="O8271" s="4288"/>
    </row>
    <row r="8272" spans="15:15">
      <c r="O8272" s="4288"/>
    </row>
    <row r="8273" spans="15:15">
      <c r="O8273" s="4288"/>
    </row>
    <row r="8274" spans="15:15">
      <c r="O8274" s="4288"/>
    </row>
    <row r="8275" spans="15:15">
      <c r="O8275" s="4288"/>
    </row>
    <row r="8276" spans="15:15">
      <c r="O8276" s="4288"/>
    </row>
    <row r="8277" spans="15:15">
      <c r="O8277" s="4288"/>
    </row>
    <row r="8278" spans="15:15">
      <c r="O8278" s="4288"/>
    </row>
    <row r="8279" spans="15:15">
      <c r="O8279" s="4288"/>
    </row>
    <row r="8280" spans="15:15">
      <c r="O8280" s="4288"/>
    </row>
    <row r="8281" spans="15:15">
      <c r="O8281" s="4288"/>
    </row>
    <row r="8282" spans="15:15">
      <c r="O8282" s="4288"/>
    </row>
    <row r="8283" spans="15:15">
      <c r="O8283" s="4288"/>
    </row>
    <row r="8284" spans="15:15">
      <c r="O8284" s="4288"/>
    </row>
    <row r="8285" spans="15:15">
      <c r="O8285" s="4288"/>
    </row>
    <row r="8286" spans="15:15">
      <c r="O8286" s="4288"/>
    </row>
    <row r="8287" spans="15:15">
      <c r="O8287" s="4288"/>
    </row>
    <row r="8288" spans="15:15">
      <c r="O8288" s="4288"/>
    </row>
    <row r="8289" spans="15:15">
      <c r="O8289" s="4288"/>
    </row>
    <row r="8290" spans="15:15">
      <c r="O8290" s="4288"/>
    </row>
    <row r="8291" spans="15:15">
      <c r="O8291" s="4288"/>
    </row>
    <row r="8292" spans="15:15">
      <c r="O8292" s="4288"/>
    </row>
    <row r="8293" spans="15:15">
      <c r="O8293" s="4288"/>
    </row>
    <row r="8294" spans="15:15">
      <c r="O8294" s="4288"/>
    </row>
    <row r="8295" spans="15:15">
      <c r="O8295" s="4288"/>
    </row>
    <row r="8296" spans="15:15">
      <c r="O8296" s="4288"/>
    </row>
    <row r="8297" spans="15:15">
      <c r="O8297" s="4288"/>
    </row>
    <row r="8298" spans="15:15">
      <c r="O8298" s="4288"/>
    </row>
    <row r="8299" spans="15:15">
      <c r="O8299" s="4288"/>
    </row>
    <row r="8300" spans="15:15">
      <c r="O8300" s="4288"/>
    </row>
    <row r="8301" spans="15:15">
      <c r="O8301" s="4288"/>
    </row>
    <row r="8302" spans="15:15">
      <c r="O8302" s="4288"/>
    </row>
    <row r="8303" spans="15:15">
      <c r="O8303" s="4288"/>
    </row>
    <row r="8304" spans="15:15">
      <c r="O8304" s="4288"/>
    </row>
    <row r="8305" spans="15:15">
      <c r="O8305" s="4288"/>
    </row>
    <row r="8306" spans="15:15">
      <c r="O8306" s="4288"/>
    </row>
    <row r="8307" spans="15:15">
      <c r="O8307" s="4288"/>
    </row>
    <row r="8308" spans="15:15">
      <c r="O8308" s="4288"/>
    </row>
    <row r="8309" spans="15:15">
      <c r="O8309" s="4288"/>
    </row>
    <row r="8310" spans="15:15">
      <c r="O8310" s="4288"/>
    </row>
    <row r="8311" spans="15:15">
      <c r="O8311" s="4288"/>
    </row>
    <row r="8312" spans="15:15">
      <c r="O8312" s="4288"/>
    </row>
    <row r="8313" spans="15:15">
      <c r="O8313" s="4288"/>
    </row>
    <row r="8314" spans="15:15">
      <c r="O8314" s="4288"/>
    </row>
    <row r="8315" spans="15:15">
      <c r="O8315" s="4288"/>
    </row>
    <row r="8316" spans="15:15">
      <c r="O8316" s="4288"/>
    </row>
    <row r="8317" spans="15:15">
      <c r="O8317" s="4288"/>
    </row>
    <row r="8318" spans="15:15">
      <c r="O8318" s="4288"/>
    </row>
    <row r="8319" spans="15:15">
      <c r="O8319" s="4288"/>
    </row>
    <row r="8320" spans="15:15">
      <c r="O8320" s="4288"/>
    </row>
    <row r="8321" spans="15:15">
      <c r="O8321" s="4288"/>
    </row>
    <row r="8322" spans="15:15">
      <c r="O8322" s="4288"/>
    </row>
    <row r="8323" spans="15:15">
      <c r="O8323" s="4288"/>
    </row>
    <row r="8324" spans="15:15">
      <c r="O8324" s="4288"/>
    </row>
    <row r="8325" spans="15:15">
      <c r="O8325" s="4288"/>
    </row>
    <row r="8326" spans="15:15">
      <c r="O8326" s="4288"/>
    </row>
    <row r="8327" spans="15:15">
      <c r="O8327" s="4288"/>
    </row>
    <row r="8328" spans="15:15">
      <c r="O8328" s="4288"/>
    </row>
    <row r="8329" spans="15:15">
      <c r="O8329" s="4288"/>
    </row>
    <row r="8330" spans="15:15">
      <c r="O8330" s="4288"/>
    </row>
    <row r="8331" spans="15:15">
      <c r="O8331" s="4288"/>
    </row>
    <row r="8332" spans="15:15">
      <c r="O8332" s="4288"/>
    </row>
    <row r="8333" spans="15:15">
      <c r="O8333" s="4288"/>
    </row>
    <row r="8334" spans="15:15">
      <c r="O8334" s="4288"/>
    </row>
    <row r="8335" spans="15:15">
      <c r="O8335" s="4288"/>
    </row>
    <row r="8336" spans="15:15">
      <c r="O8336" s="4288"/>
    </row>
    <row r="8337" spans="15:15">
      <c r="O8337" s="4288"/>
    </row>
    <row r="8338" spans="15:15">
      <c r="O8338" s="4288"/>
    </row>
    <row r="8339" spans="15:15">
      <c r="O8339" s="4288"/>
    </row>
    <row r="8340" spans="15:15">
      <c r="O8340" s="4288"/>
    </row>
    <row r="8341" spans="15:15">
      <c r="O8341" s="4288"/>
    </row>
    <row r="8342" spans="15:15">
      <c r="O8342" s="4288"/>
    </row>
    <row r="8343" spans="15:15">
      <c r="O8343" s="4288"/>
    </row>
    <row r="8344" spans="15:15">
      <c r="O8344" s="4288"/>
    </row>
    <row r="8345" spans="15:15">
      <c r="O8345" s="4288"/>
    </row>
    <row r="8346" spans="15:15">
      <c r="O8346" s="4288"/>
    </row>
    <row r="8347" spans="15:15">
      <c r="O8347" s="4288"/>
    </row>
    <row r="8348" spans="15:15">
      <c r="O8348" s="4288"/>
    </row>
    <row r="8349" spans="15:15">
      <c r="O8349" s="4288"/>
    </row>
    <row r="8350" spans="15:15">
      <c r="O8350" s="4288"/>
    </row>
    <row r="8351" spans="15:15">
      <c r="O8351" s="4288"/>
    </row>
    <row r="8352" spans="15:15">
      <c r="O8352" s="4288"/>
    </row>
    <row r="8353" spans="15:15">
      <c r="O8353" s="4288"/>
    </row>
    <row r="8354" spans="15:15">
      <c r="O8354" s="4288"/>
    </row>
    <row r="8355" spans="15:15">
      <c r="O8355" s="4288"/>
    </row>
    <row r="8356" spans="15:15">
      <c r="O8356" s="4288"/>
    </row>
    <row r="8357" spans="15:15">
      <c r="O8357" s="4288"/>
    </row>
    <row r="8358" spans="15:15">
      <c r="O8358" s="4288"/>
    </row>
    <row r="8359" spans="15:15">
      <c r="O8359" s="4288"/>
    </row>
    <row r="8360" spans="15:15">
      <c r="O8360" s="4288"/>
    </row>
    <row r="8361" spans="15:15">
      <c r="O8361" s="4288"/>
    </row>
    <row r="8362" spans="15:15">
      <c r="O8362" s="4288"/>
    </row>
    <row r="8363" spans="15:15">
      <c r="O8363" s="4288"/>
    </row>
    <row r="8364" spans="15:15">
      <c r="O8364" s="4288"/>
    </row>
    <row r="8365" spans="15:15">
      <c r="O8365" s="4288"/>
    </row>
    <row r="8366" spans="15:15">
      <c r="O8366" s="4288"/>
    </row>
    <row r="8367" spans="15:15">
      <c r="O8367" s="4288"/>
    </row>
    <row r="8368" spans="15:15">
      <c r="O8368" s="4288"/>
    </row>
    <row r="8369" spans="15:15">
      <c r="O8369" s="4288"/>
    </row>
    <row r="8370" spans="15:15">
      <c r="O8370" s="4288"/>
    </row>
    <row r="8371" spans="15:15">
      <c r="O8371" s="4288"/>
    </row>
    <row r="8372" spans="15:15">
      <c r="O8372" s="4288"/>
    </row>
    <row r="8373" spans="15:15">
      <c r="O8373" s="4288"/>
    </row>
    <row r="8374" spans="15:15">
      <c r="O8374" s="4288"/>
    </row>
    <row r="8375" spans="15:15">
      <c r="O8375" s="4288"/>
    </row>
    <row r="8376" spans="15:15">
      <c r="O8376" s="4288"/>
    </row>
    <row r="8377" spans="15:15">
      <c r="O8377" s="4288"/>
    </row>
    <row r="8378" spans="15:15">
      <c r="O8378" s="4288"/>
    </row>
    <row r="8379" spans="15:15">
      <c r="O8379" s="4288"/>
    </row>
    <row r="8380" spans="15:15">
      <c r="O8380" s="4288"/>
    </row>
    <row r="8381" spans="15:15">
      <c r="O8381" s="4288"/>
    </row>
    <row r="8382" spans="15:15">
      <c r="O8382" s="4288"/>
    </row>
    <row r="8383" spans="15:15">
      <c r="O8383" s="4288"/>
    </row>
    <row r="8384" spans="15:15">
      <c r="O8384" s="4288"/>
    </row>
    <row r="8385" spans="15:15">
      <c r="O8385" s="4288"/>
    </row>
    <row r="8386" spans="15:15">
      <c r="O8386" s="4288"/>
    </row>
    <row r="8387" spans="15:15">
      <c r="O8387" s="4288"/>
    </row>
    <row r="8388" spans="15:15">
      <c r="O8388" s="4288"/>
    </row>
    <row r="8389" spans="15:15">
      <c r="O8389" s="4288"/>
    </row>
    <row r="8390" spans="15:15">
      <c r="O8390" s="4288"/>
    </row>
    <row r="8391" spans="15:15">
      <c r="O8391" s="4288"/>
    </row>
    <row r="8392" spans="15:15">
      <c r="O8392" s="4288"/>
    </row>
    <row r="8393" spans="15:15">
      <c r="O8393" s="4288"/>
    </row>
    <row r="8394" spans="15:15">
      <c r="O8394" s="4288"/>
    </row>
    <row r="8395" spans="15:15">
      <c r="O8395" s="4288"/>
    </row>
    <row r="8396" spans="15:15">
      <c r="O8396" s="4288"/>
    </row>
    <row r="8397" spans="15:15">
      <c r="O8397" s="4288"/>
    </row>
    <row r="8398" spans="15:15">
      <c r="O8398" s="4288"/>
    </row>
    <row r="8399" spans="15:15">
      <c r="O8399" s="4288"/>
    </row>
    <row r="8400" spans="15:15">
      <c r="O8400" s="4288"/>
    </row>
    <row r="8401" spans="15:15">
      <c r="O8401" s="4288"/>
    </row>
    <row r="8402" spans="15:15">
      <c r="O8402" s="4288"/>
    </row>
    <row r="8403" spans="15:15">
      <c r="O8403" s="4288"/>
    </row>
    <row r="8404" spans="15:15">
      <c r="O8404" s="4288"/>
    </row>
    <row r="8405" spans="15:15">
      <c r="O8405" s="4288"/>
    </row>
    <row r="8406" spans="15:15">
      <c r="O8406" s="4288"/>
    </row>
    <row r="8407" spans="15:15">
      <c r="O8407" s="4288"/>
    </row>
    <row r="8408" spans="15:15">
      <c r="O8408" s="4288"/>
    </row>
    <row r="8409" spans="15:15">
      <c r="O8409" s="4288"/>
    </row>
    <row r="8410" spans="15:15">
      <c r="O8410" s="4288"/>
    </row>
    <row r="8411" spans="15:15">
      <c r="O8411" s="4288"/>
    </row>
    <row r="8412" spans="15:15">
      <c r="O8412" s="4288"/>
    </row>
    <row r="8413" spans="15:15">
      <c r="O8413" s="4288"/>
    </row>
    <row r="8414" spans="15:15">
      <c r="O8414" s="4288"/>
    </row>
    <row r="8415" spans="15:15">
      <c r="O8415" s="4288"/>
    </row>
    <row r="8416" spans="15:15">
      <c r="O8416" s="4288"/>
    </row>
    <row r="8417" spans="15:15">
      <c r="O8417" s="4288"/>
    </row>
    <row r="8418" spans="15:15">
      <c r="O8418" s="4288"/>
    </row>
    <row r="8419" spans="15:15">
      <c r="O8419" s="4288"/>
    </row>
    <row r="8420" spans="15:15">
      <c r="O8420" s="4288"/>
    </row>
    <row r="8421" spans="15:15">
      <c r="O8421" s="4288"/>
    </row>
    <row r="8422" spans="15:15">
      <c r="O8422" s="4288"/>
    </row>
    <row r="8423" spans="15:15">
      <c r="O8423" s="4288"/>
    </row>
    <row r="8424" spans="15:15">
      <c r="O8424" s="4288"/>
    </row>
    <row r="8425" spans="15:15">
      <c r="O8425" s="4288"/>
    </row>
    <row r="8426" spans="15:15">
      <c r="O8426" s="4288"/>
    </row>
    <row r="8427" spans="15:15">
      <c r="O8427" s="4288"/>
    </row>
    <row r="8428" spans="15:15">
      <c r="O8428" s="4288"/>
    </row>
    <row r="8429" spans="15:15">
      <c r="O8429" s="4288"/>
    </row>
    <row r="8430" spans="15:15">
      <c r="O8430" s="4288"/>
    </row>
    <row r="8431" spans="15:15">
      <c r="O8431" s="4288"/>
    </row>
    <row r="8432" spans="15:15">
      <c r="O8432" s="4288"/>
    </row>
    <row r="8433" spans="15:15">
      <c r="O8433" s="4288"/>
    </row>
    <row r="8434" spans="15:15">
      <c r="O8434" s="4288"/>
    </row>
    <row r="8435" spans="15:15">
      <c r="O8435" s="4288"/>
    </row>
    <row r="8436" spans="15:15">
      <c r="O8436" s="4288"/>
    </row>
    <row r="8437" spans="15:15">
      <c r="O8437" s="4288"/>
    </row>
    <row r="8438" spans="15:15">
      <c r="O8438" s="4288"/>
    </row>
    <row r="8439" spans="15:15">
      <c r="O8439" s="4288"/>
    </row>
    <row r="8440" spans="15:15">
      <c r="O8440" s="4288"/>
    </row>
    <row r="8441" spans="15:15">
      <c r="O8441" s="4288"/>
    </row>
    <row r="8442" spans="15:15">
      <c r="O8442" s="4288"/>
    </row>
    <row r="8443" spans="15:15">
      <c r="O8443" s="4288"/>
    </row>
    <row r="8444" spans="15:15">
      <c r="O8444" s="4288"/>
    </row>
    <row r="8445" spans="15:15">
      <c r="O8445" s="4288"/>
    </row>
    <row r="8446" spans="15:15">
      <c r="O8446" s="4288"/>
    </row>
    <row r="8447" spans="15:15">
      <c r="O8447" s="4288"/>
    </row>
    <row r="8448" spans="15:15">
      <c r="O8448" s="4288"/>
    </row>
    <row r="8449" spans="15:15">
      <c r="O8449" s="4288"/>
    </row>
    <row r="8450" spans="15:15">
      <c r="O8450" s="4288"/>
    </row>
    <row r="8451" spans="15:15">
      <c r="O8451" s="4288"/>
    </row>
    <row r="8452" spans="15:15">
      <c r="O8452" s="4288"/>
    </row>
    <row r="8453" spans="15:15">
      <c r="O8453" s="4288"/>
    </row>
    <row r="8454" spans="15:15">
      <c r="O8454" s="4288"/>
    </row>
    <row r="8455" spans="15:15">
      <c r="O8455" s="4288"/>
    </row>
    <row r="8456" spans="15:15">
      <c r="O8456" s="4288"/>
    </row>
    <row r="8457" spans="15:15">
      <c r="O8457" s="4288"/>
    </row>
    <row r="8458" spans="15:15">
      <c r="O8458" s="4288"/>
    </row>
    <row r="8459" spans="15:15">
      <c r="O8459" s="4288"/>
    </row>
    <row r="8460" spans="15:15">
      <c r="O8460" s="4288"/>
    </row>
    <row r="8461" spans="15:15">
      <c r="O8461" s="4288"/>
    </row>
    <row r="8462" spans="15:15">
      <c r="O8462" s="4288"/>
    </row>
    <row r="8463" spans="15:15">
      <c r="O8463" s="4288"/>
    </row>
    <row r="8464" spans="15:15">
      <c r="O8464" s="4288"/>
    </row>
    <row r="8465" spans="15:15">
      <c r="O8465" s="4288"/>
    </row>
    <row r="8466" spans="15:15">
      <c r="O8466" s="4288"/>
    </row>
    <row r="8467" spans="15:15">
      <c r="O8467" s="4288"/>
    </row>
    <row r="8468" spans="15:15">
      <c r="O8468" s="4288"/>
    </row>
    <row r="8469" spans="15:15">
      <c r="O8469" s="4288"/>
    </row>
    <row r="8470" spans="15:15">
      <c r="O8470" s="4288"/>
    </row>
    <row r="8471" spans="15:15">
      <c r="O8471" s="4288"/>
    </row>
    <row r="8472" spans="15:15">
      <c r="O8472" s="4288"/>
    </row>
    <row r="8473" spans="15:15">
      <c r="O8473" s="4288"/>
    </row>
    <row r="8474" spans="15:15">
      <c r="O8474" s="4288"/>
    </row>
    <row r="8475" spans="15:15">
      <c r="O8475" s="4288"/>
    </row>
    <row r="8476" spans="15:15">
      <c r="O8476" s="4288"/>
    </row>
    <row r="8477" spans="15:15">
      <c r="O8477" s="4288"/>
    </row>
    <row r="8478" spans="15:15">
      <c r="O8478" s="4288"/>
    </row>
    <row r="8479" spans="15:15">
      <c r="O8479" s="4288"/>
    </row>
    <row r="8480" spans="15:15">
      <c r="O8480" s="4288"/>
    </row>
    <row r="8481" spans="15:15">
      <c r="O8481" s="4288"/>
    </row>
    <row r="8482" spans="15:15">
      <c r="O8482" s="4288"/>
    </row>
    <row r="8483" spans="15:15">
      <c r="O8483" s="4288"/>
    </row>
    <row r="8484" spans="15:15">
      <c r="O8484" s="4288"/>
    </row>
    <row r="8485" spans="15:15">
      <c r="O8485" s="4288"/>
    </row>
    <row r="8486" spans="15:15">
      <c r="O8486" s="4288"/>
    </row>
    <row r="8487" spans="15:15">
      <c r="O8487" s="4288"/>
    </row>
    <row r="8488" spans="15:15">
      <c r="O8488" s="4288"/>
    </row>
    <row r="8489" spans="15:15">
      <c r="O8489" s="4288"/>
    </row>
    <row r="8490" spans="15:15">
      <c r="O8490" s="4288"/>
    </row>
    <row r="8491" spans="15:15">
      <c r="O8491" s="4288"/>
    </row>
    <row r="8492" spans="15:15">
      <c r="O8492" s="4288"/>
    </row>
    <row r="8493" spans="15:15">
      <c r="O8493" s="4288"/>
    </row>
    <row r="8494" spans="15:15">
      <c r="O8494" s="4288"/>
    </row>
    <row r="8495" spans="15:15">
      <c r="O8495" s="4288"/>
    </row>
    <row r="8496" spans="15:15">
      <c r="O8496" s="4288"/>
    </row>
    <row r="8497" spans="15:15">
      <c r="O8497" s="4288"/>
    </row>
    <row r="8498" spans="15:15">
      <c r="O8498" s="4288"/>
    </row>
    <row r="8499" spans="15:15">
      <c r="O8499" s="4288"/>
    </row>
    <row r="8500" spans="15:15">
      <c r="O8500" s="4288"/>
    </row>
    <row r="8501" spans="15:15">
      <c r="O8501" s="4288"/>
    </row>
    <row r="8502" spans="15:15">
      <c r="O8502" s="4288"/>
    </row>
    <row r="8503" spans="15:15">
      <c r="O8503" s="4288"/>
    </row>
    <row r="8504" spans="15:15">
      <c r="O8504" s="4288"/>
    </row>
    <row r="8505" spans="15:15">
      <c r="O8505" s="4288"/>
    </row>
    <row r="8506" spans="15:15">
      <c r="O8506" s="4288"/>
    </row>
    <row r="8507" spans="15:15">
      <c r="O8507" s="4288"/>
    </row>
    <row r="8508" spans="15:15">
      <c r="O8508" s="4288"/>
    </row>
    <row r="8509" spans="15:15">
      <c r="O8509" s="4288"/>
    </row>
    <row r="8510" spans="15:15">
      <c r="O8510" s="4288"/>
    </row>
    <row r="8511" spans="15:15">
      <c r="O8511" s="4288"/>
    </row>
    <row r="8512" spans="15:15">
      <c r="O8512" s="4288"/>
    </row>
    <row r="8513" spans="15:15">
      <c r="O8513" s="4288"/>
    </row>
    <row r="8514" spans="15:15">
      <c r="O8514" s="4288"/>
    </row>
    <row r="8515" spans="15:15">
      <c r="O8515" s="4288"/>
    </row>
    <row r="8516" spans="15:15">
      <c r="O8516" s="4288"/>
    </row>
    <row r="8517" spans="15:15">
      <c r="O8517" s="4288"/>
    </row>
    <row r="8518" spans="15:15">
      <c r="O8518" s="4288"/>
    </row>
    <row r="8519" spans="15:15">
      <c r="O8519" s="4288"/>
    </row>
    <row r="8520" spans="15:15">
      <c r="O8520" s="4288"/>
    </row>
    <row r="8521" spans="15:15">
      <c r="O8521" s="4288"/>
    </row>
    <row r="8522" spans="15:15">
      <c r="O8522" s="4288"/>
    </row>
    <row r="8523" spans="15:15">
      <c r="O8523" s="4288"/>
    </row>
    <row r="8524" spans="15:15">
      <c r="O8524" s="4288"/>
    </row>
    <row r="8525" spans="15:15">
      <c r="O8525" s="4288"/>
    </row>
    <row r="8526" spans="15:15">
      <c r="O8526" s="4288"/>
    </row>
    <row r="8527" spans="15:15">
      <c r="O8527" s="4288"/>
    </row>
    <row r="8528" spans="15:15">
      <c r="O8528" s="4288"/>
    </row>
    <row r="8529" spans="15:15">
      <c r="O8529" s="4288"/>
    </row>
    <row r="8530" spans="15:15">
      <c r="O8530" s="4288"/>
    </row>
    <row r="8531" spans="15:15">
      <c r="O8531" s="4288"/>
    </row>
    <row r="8532" spans="15:15">
      <c r="O8532" s="4288"/>
    </row>
    <row r="8533" spans="15:15">
      <c r="O8533" s="4288"/>
    </row>
    <row r="8534" spans="15:15">
      <c r="O8534" s="4288"/>
    </row>
    <row r="8535" spans="15:15">
      <c r="O8535" s="4288"/>
    </row>
    <row r="8536" spans="15:15">
      <c r="O8536" s="4288"/>
    </row>
    <row r="8537" spans="15:15">
      <c r="O8537" s="4288"/>
    </row>
    <row r="8538" spans="15:15">
      <c r="O8538" s="4288"/>
    </row>
    <row r="8539" spans="15:15">
      <c r="O8539" s="4288"/>
    </row>
    <row r="8540" spans="15:15">
      <c r="O8540" s="4288"/>
    </row>
    <row r="8541" spans="15:15">
      <c r="O8541" s="4288"/>
    </row>
    <row r="8542" spans="15:15">
      <c r="O8542" s="4288"/>
    </row>
    <row r="8543" spans="15:15">
      <c r="O8543" s="4288"/>
    </row>
    <row r="8544" spans="15:15">
      <c r="O8544" s="4288"/>
    </row>
    <row r="8545" spans="15:15">
      <c r="O8545" s="4288"/>
    </row>
    <row r="8546" spans="15:15">
      <c r="O8546" s="4288"/>
    </row>
    <row r="8547" spans="15:15">
      <c r="O8547" s="4288"/>
    </row>
    <row r="8548" spans="15:15">
      <c r="O8548" s="4288"/>
    </row>
    <row r="8549" spans="15:15">
      <c r="O8549" s="4288"/>
    </row>
    <row r="8550" spans="15:15">
      <c r="O8550" s="4288"/>
    </row>
    <row r="8551" spans="15:15">
      <c r="O8551" s="4288"/>
    </row>
    <row r="8552" spans="15:15">
      <c r="O8552" s="4288"/>
    </row>
    <row r="8553" spans="15:15">
      <c r="O8553" s="4288"/>
    </row>
    <row r="8554" spans="15:15">
      <c r="O8554" s="4288"/>
    </row>
    <row r="8555" spans="15:15">
      <c r="O8555" s="4288"/>
    </row>
    <row r="8556" spans="15:15">
      <c r="O8556" s="4288"/>
    </row>
    <row r="8557" spans="15:15">
      <c r="O8557" s="4288"/>
    </row>
    <row r="8558" spans="15:15">
      <c r="O8558" s="4288"/>
    </row>
    <row r="8559" spans="15:15">
      <c r="O8559" s="4288"/>
    </row>
    <row r="8560" spans="15:15">
      <c r="O8560" s="4288"/>
    </row>
    <row r="8561" spans="15:15">
      <c r="O8561" s="4288"/>
    </row>
    <row r="8562" spans="15:15">
      <c r="O8562" s="4288"/>
    </row>
    <row r="8563" spans="15:15">
      <c r="O8563" s="4288"/>
    </row>
    <row r="8564" spans="15:15">
      <c r="O8564" s="4288"/>
    </row>
    <row r="8565" spans="15:15">
      <c r="O8565" s="4288"/>
    </row>
    <row r="8566" spans="15:15">
      <c r="O8566" s="4288"/>
    </row>
    <row r="8567" spans="15:15">
      <c r="O8567" s="4288"/>
    </row>
    <row r="8568" spans="15:15">
      <c r="O8568" s="4288"/>
    </row>
    <row r="8569" spans="15:15">
      <c r="O8569" s="4288"/>
    </row>
    <row r="8570" spans="15:15">
      <c r="O8570" s="4288"/>
    </row>
    <row r="8571" spans="15:15">
      <c r="O8571" s="4288"/>
    </row>
    <row r="8572" spans="15:15">
      <c r="O8572" s="4288"/>
    </row>
    <row r="8573" spans="15:15">
      <c r="O8573" s="4288"/>
    </row>
    <row r="8574" spans="15:15">
      <c r="O8574" s="4288"/>
    </row>
    <row r="8575" spans="15:15">
      <c r="O8575" s="4288"/>
    </row>
    <row r="8576" spans="15:15">
      <c r="O8576" s="4288"/>
    </row>
    <row r="8577" spans="15:15">
      <c r="O8577" s="4288"/>
    </row>
    <row r="8578" spans="15:15">
      <c r="O8578" s="4288"/>
    </row>
    <row r="8579" spans="15:15">
      <c r="O8579" s="4288"/>
    </row>
    <row r="8580" spans="15:15">
      <c r="O8580" s="4288"/>
    </row>
    <row r="8581" spans="15:15">
      <c r="O8581" s="4288"/>
    </row>
    <row r="8582" spans="15:15">
      <c r="O8582" s="4288"/>
    </row>
    <row r="8583" spans="15:15">
      <c r="O8583" s="4288"/>
    </row>
    <row r="8584" spans="15:15">
      <c r="O8584" s="4288"/>
    </row>
    <row r="8585" spans="15:15">
      <c r="O8585" s="4288"/>
    </row>
    <row r="8586" spans="15:15">
      <c r="O8586" s="4288"/>
    </row>
    <row r="8587" spans="15:15">
      <c r="O8587" s="4288"/>
    </row>
    <row r="8588" spans="15:15">
      <c r="O8588" s="4288"/>
    </row>
    <row r="8589" spans="15:15">
      <c r="O8589" s="4288"/>
    </row>
    <row r="8590" spans="15:15">
      <c r="O8590" s="4288"/>
    </row>
    <row r="8591" spans="15:15">
      <c r="O8591" s="4288"/>
    </row>
    <row r="8592" spans="15:15">
      <c r="O8592" s="4288"/>
    </row>
    <row r="8593" spans="15:15">
      <c r="O8593" s="4288"/>
    </row>
    <row r="8594" spans="15:15">
      <c r="O8594" s="4288"/>
    </row>
    <row r="8595" spans="15:15">
      <c r="O8595" s="4288"/>
    </row>
    <row r="8596" spans="15:15">
      <c r="O8596" s="4288"/>
    </row>
    <row r="8597" spans="15:15">
      <c r="O8597" s="4288"/>
    </row>
    <row r="8598" spans="15:15">
      <c r="O8598" s="4288"/>
    </row>
    <row r="8599" spans="15:15">
      <c r="O8599" s="4288"/>
    </row>
    <row r="8600" spans="15:15">
      <c r="O8600" s="4288"/>
    </row>
    <row r="8601" spans="15:15">
      <c r="O8601" s="4288"/>
    </row>
    <row r="8602" spans="15:15">
      <c r="O8602" s="4288"/>
    </row>
    <row r="8603" spans="15:15">
      <c r="O8603" s="4288"/>
    </row>
    <row r="8604" spans="15:15">
      <c r="O8604" s="4288"/>
    </row>
    <row r="8605" spans="15:15">
      <c r="O8605" s="4288"/>
    </row>
    <row r="8606" spans="15:15">
      <c r="O8606" s="4288"/>
    </row>
    <row r="8607" spans="15:15">
      <c r="O8607" s="4288"/>
    </row>
    <row r="8608" spans="15:15">
      <c r="O8608" s="4288"/>
    </row>
    <row r="8609" spans="15:15">
      <c r="O8609" s="4288"/>
    </row>
    <row r="8610" spans="15:15">
      <c r="O8610" s="4288"/>
    </row>
    <row r="8611" spans="15:15">
      <c r="O8611" s="4288"/>
    </row>
    <row r="8612" spans="15:15">
      <c r="O8612" s="4288"/>
    </row>
    <row r="8613" spans="15:15">
      <c r="O8613" s="4288"/>
    </row>
    <row r="8614" spans="15:15">
      <c r="O8614" s="4288"/>
    </row>
    <row r="8615" spans="15:15">
      <c r="O8615" s="4288"/>
    </row>
    <row r="8616" spans="15:15">
      <c r="O8616" s="4288"/>
    </row>
    <row r="8617" spans="15:15">
      <c r="O8617" s="4288"/>
    </row>
    <row r="8618" spans="15:15">
      <c r="O8618" s="4288"/>
    </row>
    <row r="8619" spans="15:15">
      <c r="O8619" s="4288"/>
    </row>
    <row r="8620" spans="15:15">
      <c r="O8620" s="4288"/>
    </row>
    <row r="8621" spans="15:15">
      <c r="O8621" s="4288"/>
    </row>
    <row r="8622" spans="15:15">
      <c r="O8622" s="4288"/>
    </row>
    <row r="8623" spans="15:15">
      <c r="O8623" s="4288"/>
    </row>
    <row r="8624" spans="15:15">
      <c r="O8624" s="4288"/>
    </row>
    <row r="8625" spans="15:15">
      <c r="O8625" s="4288"/>
    </row>
    <row r="8626" spans="15:15">
      <c r="O8626" s="4288"/>
    </row>
    <row r="8627" spans="15:15">
      <c r="O8627" s="4288"/>
    </row>
    <row r="8628" spans="15:15">
      <c r="O8628" s="4288"/>
    </row>
    <row r="8629" spans="15:15">
      <c r="O8629" s="4288"/>
    </row>
    <row r="8630" spans="15:15">
      <c r="O8630" s="4288"/>
    </row>
    <row r="8631" spans="15:15">
      <c r="O8631" s="4288"/>
    </row>
    <row r="8632" spans="15:15">
      <c r="O8632" s="4288"/>
    </row>
    <row r="8633" spans="15:15">
      <c r="O8633" s="4288"/>
    </row>
    <row r="8634" spans="15:15">
      <c r="O8634" s="4288"/>
    </row>
    <row r="8635" spans="15:15">
      <c r="O8635" s="4288"/>
    </row>
    <row r="8636" spans="15:15">
      <c r="O8636" s="4288"/>
    </row>
    <row r="8637" spans="15:15">
      <c r="O8637" s="4288"/>
    </row>
    <row r="8638" spans="15:15">
      <c r="O8638" s="4288"/>
    </row>
    <row r="8639" spans="15:15">
      <c r="O8639" s="4288"/>
    </row>
    <row r="8640" spans="15:15">
      <c r="O8640" s="4288"/>
    </row>
    <row r="8641" spans="15:15">
      <c r="O8641" s="4288"/>
    </row>
    <row r="8642" spans="15:15">
      <c r="O8642" s="4288"/>
    </row>
    <row r="8643" spans="15:15">
      <c r="O8643" s="4288"/>
    </row>
    <row r="8644" spans="15:15">
      <c r="O8644" s="4288"/>
    </row>
    <row r="8645" spans="15:15">
      <c r="O8645" s="4288"/>
    </row>
    <row r="8646" spans="15:15">
      <c r="O8646" s="4288"/>
    </row>
    <row r="8647" spans="15:15">
      <c r="O8647" s="4288"/>
    </row>
    <row r="8648" spans="15:15">
      <c r="O8648" s="4288"/>
    </row>
    <row r="8649" spans="15:15">
      <c r="O8649" s="4288"/>
    </row>
    <row r="8650" spans="15:15">
      <c r="O8650" s="4288"/>
    </row>
    <row r="8651" spans="15:15">
      <c r="O8651" s="4288"/>
    </row>
    <row r="8652" spans="15:15">
      <c r="O8652" s="4288"/>
    </row>
    <row r="8653" spans="15:15">
      <c r="O8653" s="4288"/>
    </row>
    <row r="8654" spans="15:15">
      <c r="O8654" s="4288"/>
    </row>
    <row r="8655" spans="15:15">
      <c r="O8655" s="4288"/>
    </row>
    <row r="8656" spans="15:15">
      <c r="O8656" s="4288"/>
    </row>
    <row r="8657" spans="15:15">
      <c r="O8657" s="4288"/>
    </row>
    <row r="8658" spans="15:15">
      <c r="O8658" s="4288"/>
    </row>
    <row r="8659" spans="15:15">
      <c r="O8659" s="4288"/>
    </row>
    <row r="8660" spans="15:15">
      <c r="O8660" s="4288"/>
    </row>
    <row r="8661" spans="15:15">
      <c r="O8661" s="4288"/>
    </row>
    <row r="8662" spans="15:15">
      <c r="O8662" s="4288"/>
    </row>
    <row r="8663" spans="15:15">
      <c r="O8663" s="4288"/>
    </row>
    <row r="8664" spans="15:15">
      <c r="O8664" s="4288"/>
    </row>
    <row r="8665" spans="15:15">
      <c r="O8665" s="4288"/>
    </row>
    <row r="8666" spans="15:15">
      <c r="O8666" s="4288"/>
    </row>
    <row r="8667" spans="15:15">
      <c r="O8667" s="4288"/>
    </row>
    <row r="8668" spans="15:15">
      <c r="O8668" s="4288"/>
    </row>
    <row r="8669" spans="15:15">
      <c r="O8669" s="4288"/>
    </row>
    <row r="8670" spans="15:15">
      <c r="O8670" s="4288"/>
    </row>
    <row r="8671" spans="15:15">
      <c r="O8671" s="4288"/>
    </row>
    <row r="8672" spans="15:15">
      <c r="O8672" s="4288"/>
    </row>
    <row r="8673" spans="15:15">
      <c r="O8673" s="4288"/>
    </row>
    <row r="8674" spans="15:15">
      <c r="O8674" s="4288"/>
    </row>
    <row r="8675" spans="15:15">
      <c r="O8675" s="4288"/>
    </row>
    <row r="8676" spans="15:15">
      <c r="O8676" s="4288"/>
    </row>
    <row r="8677" spans="15:15">
      <c r="O8677" s="4288"/>
    </row>
    <row r="8678" spans="15:15">
      <c r="O8678" s="4288"/>
    </row>
    <row r="8679" spans="15:15">
      <c r="O8679" s="4288"/>
    </row>
    <row r="8680" spans="15:15">
      <c r="O8680" s="4288"/>
    </row>
    <row r="8681" spans="15:15">
      <c r="O8681" s="4288"/>
    </row>
    <row r="8682" spans="15:15">
      <c r="O8682" s="4288"/>
    </row>
    <row r="8683" spans="15:15">
      <c r="O8683" s="4288"/>
    </row>
    <row r="8684" spans="15:15">
      <c r="O8684" s="4288"/>
    </row>
    <row r="8685" spans="15:15">
      <c r="O8685" s="4288"/>
    </row>
    <row r="8686" spans="15:15">
      <c r="O8686" s="4288"/>
    </row>
    <row r="8687" spans="15:15">
      <c r="O8687" s="4288"/>
    </row>
    <row r="8688" spans="15:15">
      <c r="O8688" s="4288"/>
    </row>
    <row r="8689" spans="15:15">
      <c r="O8689" s="4288"/>
    </row>
    <row r="8690" spans="15:15">
      <c r="O8690" s="4288"/>
    </row>
    <row r="8691" spans="15:15">
      <c r="O8691" s="4288"/>
    </row>
    <row r="8692" spans="15:15">
      <c r="O8692" s="4288"/>
    </row>
    <row r="8693" spans="15:15">
      <c r="O8693" s="4288"/>
    </row>
    <row r="8694" spans="15:15">
      <c r="O8694" s="4288"/>
    </row>
    <row r="8695" spans="15:15">
      <c r="O8695" s="4288"/>
    </row>
    <row r="8696" spans="15:15">
      <c r="O8696" s="4288"/>
    </row>
    <row r="8697" spans="15:15">
      <c r="O8697" s="4288"/>
    </row>
    <row r="8698" spans="15:15">
      <c r="O8698" s="4288"/>
    </row>
    <row r="8699" spans="15:15">
      <c r="O8699" s="4288"/>
    </row>
    <row r="8700" spans="15:15">
      <c r="O8700" s="4288"/>
    </row>
    <row r="8701" spans="15:15">
      <c r="O8701" s="4288"/>
    </row>
    <row r="8702" spans="15:15">
      <c r="O8702" s="4288"/>
    </row>
    <row r="8703" spans="15:15">
      <c r="O8703" s="4288"/>
    </row>
    <row r="8704" spans="15:15">
      <c r="O8704" s="4288"/>
    </row>
    <row r="8705" spans="15:15">
      <c r="O8705" s="4288"/>
    </row>
    <row r="8706" spans="15:15">
      <c r="O8706" s="4288"/>
    </row>
    <row r="8707" spans="15:15">
      <c r="O8707" s="4288"/>
    </row>
    <row r="8708" spans="15:15">
      <c r="O8708" s="4288"/>
    </row>
    <row r="8709" spans="15:15">
      <c r="O8709" s="4288"/>
    </row>
    <row r="8710" spans="15:15">
      <c r="O8710" s="4288"/>
    </row>
    <row r="8711" spans="15:15">
      <c r="O8711" s="4288"/>
    </row>
    <row r="8712" spans="15:15">
      <c r="O8712" s="4288"/>
    </row>
    <row r="8713" spans="15:15">
      <c r="O8713" s="4288"/>
    </row>
    <row r="8714" spans="15:15">
      <c r="O8714" s="4288"/>
    </row>
    <row r="8715" spans="15:15">
      <c r="O8715" s="4288"/>
    </row>
    <row r="8716" spans="15:15">
      <c r="O8716" s="4288"/>
    </row>
    <row r="8717" spans="15:15">
      <c r="O8717" s="4288"/>
    </row>
    <row r="8718" spans="15:15">
      <c r="O8718" s="4288"/>
    </row>
    <row r="8719" spans="15:15">
      <c r="O8719" s="4288"/>
    </row>
    <row r="8720" spans="15:15">
      <c r="O8720" s="4288"/>
    </row>
    <row r="8721" spans="15:15">
      <c r="O8721" s="4288"/>
    </row>
    <row r="8722" spans="15:15">
      <c r="O8722" s="4288"/>
    </row>
    <row r="8723" spans="15:15">
      <c r="O8723" s="4288"/>
    </row>
    <row r="8724" spans="15:15">
      <c r="O8724" s="4288"/>
    </row>
    <row r="8725" spans="15:15">
      <c r="O8725" s="4288"/>
    </row>
    <row r="8726" spans="15:15">
      <c r="O8726" s="4288"/>
    </row>
    <row r="8727" spans="15:15">
      <c r="O8727" s="4288"/>
    </row>
    <row r="8728" spans="15:15">
      <c r="O8728" s="4288"/>
    </row>
    <row r="8729" spans="15:15">
      <c r="O8729" s="4288"/>
    </row>
    <row r="8730" spans="15:15">
      <c r="O8730" s="4288"/>
    </row>
    <row r="8731" spans="15:15">
      <c r="O8731" s="4288"/>
    </row>
    <row r="8732" spans="15:15">
      <c r="O8732" s="4288"/>
    </row>
    <row r="8733" spans="15:15">
      <c r="O8733" s="4288"/>
    </row>
    <row r="8734" spans="15:15">
      <c r="O8734" s="4288"/>
    </row>
    <row r="8735" spans="15:15">
      <c r="O8735" s="4288"/>
    </row>
    <row r="8736" spans="15:15">
      <c r="O8736" s="4288"/>
    </row>
    <row r="8737" spans="15:15">
      <c r="O8737" s="4288"/>
    </row>
    <row r="8738" spans="15:15">
      <c r="O8738" s="4288"/>
    </row>
    <row r="8739" spans="15:15">
      <c r="O8739" s="4288"/>
    </row>
    <row r="8740" spans="15:15">
      <c r="O8740" s="4288"/>
    </row>
    <row r="8741" spans="15:15">
      <c r="O8741" s="4288"/>
    </row>
    <row r="8742" spans="15:15">
      <c r="O8742" s="4288"/>
    </row>
    <row r="8743" spans="15:15">
      <c r="O8743" s="4288"/>
    </row>
    <row r="8744" spans="15:15">
      <c r="O8744" s="4288"/>
    </row>
    <row r="8745" spans="15:15">
      <c r="O8745" s="4288"/>
    </row>
    <row r="8746" spans="15:15">
      <c r="O8746" s="4288"/>
    </row>
    <row r="8747" spans="15:15">
      <c r="O8747" s="4288"/>
    </row>
    <row r="8748" spans="15:15">
      <c r="O8748" s="4288"/>
    </row>
    <row r="8749" spans="15:15">
      <c r="O8749" s="4288"/>
    </row>
    <row r="8750" spans="15:15">
      <c r="O8750" s="4288"/>
    </row>
    <row r="8751" spans="15:15">
      <c r="O8751" s="4288"/>
    </row>
    <row r="8752" spans="15:15">
      <c r="O8752" s="4288"/>
    </row>
    <row r="8753" spans="15:15">
      <c r="O8753" s="4288"/>
    </row>
    <row r="8754" spans="15:15">
      <c r="O8754" s="4288"/>
    </row>
    <row r="8755" spans="15:15">
      <c r="O8755" s="4288"/>
    </row>
    <row r="8756" spans="15:15">
      <c r="O8756" s="4288"/>
    </row>
    <row r="8757" spans="15:15">
      <c r="O8757" s="4288"/>
    </row>
    <row r="8758" spans="15:15">
      <c r="O8758" s="4288"/>
    </row>
    <row r="8759" spans="15:15">
      <c r="O8759" s="4288"/>
    </row>
    <row r="8760" spans="15:15">
      <c r="O8760" s="4288"/>
    </row>
    <row r="8761" spans="15:15">
      <c r="O8761" s="4288"/>
    </row>
    <row r="8762" spans="15:15">
      <c r="O8762" s="4288"/>
    </row>
    <row r="8763" spans="15:15">
      <c r="O8763" s="4288"/>
    </row>
    <row r="8764" spans="15:15">
      <c r="O8764" s="4288"/>
    </row>
    <row r="8765" spans="15:15">
      <c r="O8765" s="4288"/>
    </row>
    <row r="8766" spans="15:15">
      <c r="O8766" s="4288"/>
    </row>
    <row r="8767" spans="15:15">
      <c r="O8767" s="4288"/>
    </row>
    <row r="8768" spans="15:15">
      <c r="O8768" s="4288"/>
    </row>
    <row r="8769" spans="15:15">
      <c r="O8769" s="4288"/>
    </row>
    <row r="8770" spans="15:15">
      <c r="O8770" s="4288"/>
    </row>
    <row r="8771" spans="15:15">
      <c r="O8771" s="4288"/>
    </row>
    <row r="8772" spans="15:15">
      <c r="O8772" s="4288"/>
    </row>
    <row r="8773" spans="15:15">
      <c r="O8773" s="4288"/>
    </row>
    <row r="8774" spans="15:15">
      <c r="O8774" s="4288"/>
    </row>
    <row r="8775" spans="15:15">
      <c r="O8775" s="4288"/>
    </row>
    <row r="8776" spans="15:15">
      <c r="O8776" s="4288"/>
    </row>
    <row r="8777" spans="15:15">
      <c r="O8777" s="4288"/>
    </row>
    <row r="8778" spans="15:15">
      <c r="O8778" s="4288"/>
    </row>
    <row r="8779" spans="15:15">
      <c r="O8779" s="4288"/>
    </row>
    <row r="8780" spans="15:15">
      <c r="O8780" s="4288"/>
    </row>
    <row r="8781" spans="15:15">
      <c r="O8781" s="4288"/>
    </row>
    <row r="8782" spans="15:15">
      <c r="O8782" s="4288"/>
    </row>
    <row r="8783" spans="15:15">
      <c r="O8783" s="4288"/>
    </row>
    <row r="8784" spans="15:15">
      <c r="O8784" s="4288"/>
    </row>
    <row r="8785" spans="15:15">
      <c r="O8785" s="4288"/>
    </row>
    <row r="8786" spans="15:15">
      <c r="O8786" s="4288"/>
    </row>
    <row r="8787" spans="15:15">
      <c r="O8787" s="4288"/>
    </row>
    <row r="8788" spans="15:15">
      <c r="O8788" s="4288"/>
    </row>
    <row r="8789" spans="15:15">
      <c r="O8789" s="4288"/>
    </row>
    <row r="8790" spans="15:15">
      <c r="O8790" s="4288"/>
    </row>
    <row r="8791" spans="15:15">
      <c r="O8791" s="4288"/>
    </row>
    <row r="8792" spans="15:15">
      <c r="O8792" s="4288"/>
    </row>
    <row r="8793" spans="15:15">
      <c r="O8793" s="4288"/>
    </row>
    <row r="8794" spans="15:15">
      <c r="O8794" s="4288"/>
    </row>
    <row r="8795" spans="15:15">
      <c r="O8795" s="4288"/>
    </row>
    <row r="8796" spans="15:15">
      <c r="O8796" s="4288"/>
    </row>
    <row r="8797" spans="15:15">
      <c r="O8797" s="4288"/>
    </row>
    <row r="8798" spans="15:15">
      <c r="O8798" s="4288"/>
    </row>
    <row r="8799" spans="15:15">
      <c r="O8799" s="4288"/>
    </row>
    <row r="8800" spans="15:15">
      <c r="O8800" s="4288"/>
    </row>
    <row r="8801" spans="15:15">
      <c r="O8801" s="4288"/>
    </row>
    <row r="8802" spans="15:15">
      <c r="O8802" s="4288"/>
    </row>
    <row r="8803" spans="15:15">
      <c r="O8803" s="4288"/>
    </row>
    <row r="8804" spans="15:15">
      <c r="O8804" s="4288"/>
    </row>
    <row r="8805" spans="15:15">
      <c r="O8805" s="4288"/>
    </row>
    <row r="8806" spans="15:15">
      <c r="O8806" s="4288"/>
    </row>
    <row r="8807" spans="15:15">
      <c r="O8807" s="4288"/>
    </row>
    <row r="8808" spans="15:15">
      <c r="O8808" s="4288"/>
    </row>
    <row r="8809" spans="15:15">
      <c r="O8809" s="4288"/>
    </row>
    <row r="8810" spans="15:15">
      <c r="O8810" s="4288"/>
    </row>
    <row r="8811" spans="15:15">
      <c r="O8811" s="4288"/>
    </row>
    <row r="8812" spans="15:15">
      <c r="O8812" s="4288"/>
    </row>
    <row r="8813" spans="15:15">
      <c r="O8813" s="4288"/>
    </row>
    <row r="8814" spans="15:15">
      <c r="O8814" s="4288"/>
    </row>
    <row r="8815" spans="15:15">
      <c r="O8815" s="4288"/>
    </row>
    <row r="8816" spans="15:15">
      <c r="O8816" s="4288"/>
    </row>
    <row r="8817" spans="15:15">
      <c r="O8817" s="4288"/>
    </row>
    <row r="8818" spans="15:15">
      <c r="O8818" s="4288"/>
    </row>
    <row r="8819" spans="15:15">
      <c r="O8819" s="4288"/>
    </row>
    <row r="8820" spans="15:15">
      <c r="O8820" s="4288"/>
    </row>
    <row r="8821" spans="15:15">
      <c r="O8821" s="4288"/>
    </row>
    <row r="8822" spans="15:15">
      <c r="O8822" s="4288"/>
    </row>
    <row r="8823" spans="15:15">
      <c r="O8823" s="4288"/>
    </row>
    <row r="8824" spans="15:15">
      <c r="O8824" s="4288"/>
    </row>
    <row r="8825" spans="15:15">
      <c r="O8825" s="4288"/>
    </row>
    <row r="8826" spans="15:15">
      <c r="O8826" s="4288"/>
    </row>
    <row r="8827" spans="15:15">
      <c r="O8827" s="4288"/>
    </row>
    <row r="8828" spans="15:15">
      <c r="O8828" s="4288"/>
    </row>
    <row r="8829" spans="15:15">
      <c r="O8829" s="4288"/>
    </row>
    <row r="8830" spans="15:15">
      <c r="O8830" s="4288"/>
    </row>
    <row r="8831" spans="15:15">
      <c r="O8831" s="4288"/>
    </row>
    <row r="8832" spans="15:15">
      <c r="O8832" s="4288"/>
    </row>
    <row r="8833" spans="15:15">
      <c r="O8833" s="4288"/>
    </row>
    <row r="8834" spans="15:15">
      <c r="O8834" s="4288"/>
    </row>
    <row r="8835" spans="15:15">
      <c r="O8835" s="4288"/>
    </row>
    <row r="8836" spans="15:15">
      <c r="O8836" s="4288"/>
    </row>
    <row r="8837" spans="15:15">
      <c r="O8837" s="4288"/>
    </row>
    <row r="8838" spans="15:15">
      <c r="O8838" s="4288"/>
    </row>
    <row r="8839" spans="15:15">
      <c r="O8839" s="4288"/>
    </row>
    <row r="8840" spans="15:15">
      <c r="O8840" s="4288"/>
    </row>
    <row r="8841" spans="15:15">
      <c r="O8841" s="4288"/>
    </row>
    <row r="8842" spans="15:15">
      <c r="O8842" s="4288"/>
    </row>
    <row r="8843" spans="15:15">
      <c r="O8843" s="4288"/>
    </row>
    <row r="8844" spans="15:15">
      <c r="O8844" s="4288"/>
    </row>
    <row r="8845" spans="15:15">
      <c r="O8845" s="4288"/>
    </row>
    <row r="8846" spans="15:15">
      <c r="O8846" s="4288"/>
    </row>
    <row r="8847" spans="15:15">
      <c r="O8847" s="4288"/>
    </row>
    <row r="8848" spans="15:15">
      <c r="O8848" s="4288"/>
    </row>
    <row r="8849" spans="15:15">
      <c r="O8849" s="4288"/>
    </row>
    <row r="8850" spans="15:15">
      <c r="O8850" s="4288"/>
    </row>
    <row r="8851" spans="15:15">
      <c r="O8851" s="4288"/>
    </row>
    <row r="8852" spans="15:15">
      <c r="O8852" s="4288"/>
    </row>
    <row r="8853" spans="15:15">
      <c r="O8853" s="4288"/>
    </row>
    <row r="8854" spans="15:15">
      <c r="O8854" s="4288"/>
    </row>
    <row r="8855" spans="15:15">
      <c r="O8855" s="4288"/>
    </row>
    <row r="8856" spans="15:15">
      <c r="O8856" s="4288"/>
    </row>
    <row r="8857" spans="15:15">
      <c r="O8857" s="4288"/>
    </row>
    <row r="8858" spans="15:15">
      <c r="O8858" s="4288"/>
    </row>
    <row r="8859" spans="15:15">
      <c r="O8859" s="4288"/>
    </row>
    <row r="8860" spans="15:15">
      <c r="O8860" s="4288"/>
    </row>
    <row r="8861" spans="15:15">
      <c r="O8861" s="4288"/>
    </row>
    <row r="8862" spans="15:15">
      <c r="O8862" s="4288"/>
    </row>
    <row r="8863" spans="15:15">
      <c r="O8863" s="4288"/>
    </row>
    <row r="8864" spans="15:15">
      <c r="O8864" s="4288"/>
    </row>
    <row r="8865" spans="15:15">
      <c r="O8865" s="4288"/>
    </row>
    <row r="8866" spans="15:15">
      <c r="O8866" s="4288"/>
    </row>
    <row r="8867" spans="15:15">
      <c r="O8867" s="4288"/>
    </row>
    <row r="8868" spans="15:15">
      <c r="O8868" s="4288"/>
    </row>
    <row r="8869" spans="15:15">
      <c r="O8869" s="4288"/>
    </row>
    <row r="8870" spans="15:15">
      <c r="O8870" s="4288"/>
    </row>
    <row r="8871" spans="15:15">
      <c r="O8871" s="4288"/>
    </row>
    <row r="8872" spans="15:15">
      <c r="O8872" s="4288"/>
    </row>
    <row r="8873" spans="15:15">
      <c r="O8873" s="4288"/>
    </row>
    <row r="8874" spans="15:15">
      <c r="O8874" s="4288"/>
    </row>
    <row r="8875" spans="15:15">
      <c r="O8875" s="4288"/>
    </row>
    <row r="8876" spans="15:15">
      <c r="O8876" s="4288"/>
    </row>
    <row r="8877" spans="15:15">
      <c r="O8877" s="4288"/>
    </row>
    <row r="8878" spans="15:15">
      <c r="O8878" s="4288"/>
    </row>
    <row r="8879" spans="15:15">
      <c r="O8879" s="4288"/>
    </row>
    <row r="8880" spans="15:15">
      <c r="O8880" s="4288"/>
    </row>
    <row r="8881" spans="15:15">
      <c r="O8881" s="4288"/>
    </row>
    <row r="8882" spans="15:15">
      <c r="O8882" s="4288"/>
    </row>
    <row r="8883" spans="15:15">
      <c r="O8883" s="4288"/>
    </row>
    <row r="8884" spans="15:15">
      <c r="O8884" s="4288"/>
    </row>
    <row r="8885" spans="15:15">
      <c r="O8885" s="4288"/>
    </row>
    <row r="8886" spans="15:15">
      <c r="O8886" s="4288"/>
    </row>
    <row r="8887" spans="15:15">
      <c r="O8887" s="4288"/>
    </row>
    <row r="8888" spans="15:15">
      <c r="O8888" s="4288"/>
    </row>
    <row r="8889" spans="15:15">
      <c r="O8889" s="4288"/>
    </row>
    <row r="8890" spans="15:15">
      <c r="O8890" s="4288"/>
    </row>
    <row r="8891" spans="15:15">
      <c r="O8891" s="4288"/>
    </row>
    <row r="8892" spans="15:15">
      <c r="O8892" s="4288"/>
    </row>
    <row r="8893" spans="15:15">
      <c r="O8893" s="4288"/>
    </row>
    <row r="8894" spans="15:15">
      <c r="O8894" s="4288"/>
    </row>
    <row r="8895" spans="15:15">
      <c r="O8895" s="4288"/>
    </row>
    <row r="8896" spans="15:15">
      <c r="O8896" s="4288"/>
    </row>
    <row r="8897" spans="15:15">
      <c r="O8897" s="4288"/>
    </row>
    <row r="8898" spans="15:15">
      <c r="O8898" s="4288"/>
    </row>
    <row r="8899" spans="15:15">
      <c r="O8899" s="4288"/>
    </row>
    <row r="8900" spans="15:15">
      <c r="O8900" s="4288"/>
    </row>
    <row r="8901" spans="15:15">
      <c r="O8901" s="4288"/>
    </row>
    <row r="8902" spans="15:15">
      <c r="O8902" s="4288"/>
    </row>
    <row r="8903" spans="15:15">
      <c r="O8903" s="4288"/>
    </row>
    <row r="8904" spans="15:15">
      <c r="O8904" s="4288"/>
    </row>
    <row r="8905" spans="15:15">
      <c r="O8905" s="4288"/>
    </row>
    <row r="8906" spans="15:15">
      <c r="O8906" s="4288"/>
    </row>
    <row r="8907" spans="15:15">
      <c r="O8907" s="4288"/>
    </row>
    <row r="8908" spans="15:15">
      <c r="O8908" s="4288"/>
    </row>
    <row r="8909" spans="15:15">
      <c r="O8909" s="4288"/>
    </row>
    <row r="8910" spans="15:15">
      <c r="O8910" s="4288"/>
    </row>
    <row r="8911" spans="15:15">
      <c r="O8911" s="4288"/>
    </row>
    <row r="8912" spans="15:15">
      <c r="O8912" s="4288"/>
    </row>
    <row r="8913" spans="15:15">
      <c r="O8913" s="4288"/>
    </row>
    <row r="8914" spans="15:15">
      <c r="O8914" s="4288"/>
    </row>
    <row r="8915" spans="15:15">
      <c r="O8915" s="4288"/>
    </row>
    <row r="8916" spans="15:15">
      <c r="O8916" s="4288"/>
    </row>
    <row r="8917" spans="15:15">
      <c r="O8917" s="4288"/>
    </row>
    <row r="8918" spans="15:15">
      <c r="O8918" s="4288"/>
    </row>
    <row r="8919" spans="15:15">
      <c r="O8919" s="4288"/>
    </row>
    <row r="8920" spans="15:15">
      <c r="O8920" s="4288"/>
    </row>
    <row r="8921" spans="15:15">
      <c r="O8921" s="4288"/>
    </row>
    <row r="8922" spans="15:15">
      <c r="O8922" s="4288"/>
    </row>
    <row r="8923" spans="15:15">
      <c r="O8923" s="4288"/>
    </row>
    <row r="8924" spans="15:15">
      <c r="O8924" s="4288"/>
    </row>
    <row r="8925" spans="15:15">
      <c r="O8925" s="4288"/>
    </row>
    <row r="8926" spans="15:15">
      <c r="O8926" s="4288"/>
    </row>
    <row r="8927" spans="15:15">
      <c r="O8927" s="4288"/>
    </row>
    <row r="8928" spans="15:15">
      <c r="O8928" s="4288"/>
    </row>
    <row r="8929" spans="15:15">
      <c r="O8929" s="4288"/>
    </row>
    <row r="8930" spans="15:15">
      <c r="O8930" s="4288"/>
    </row>
    <row r="8931" spans="15:15">
      <c r="O8931" s="4288"/>
    </row>
    <row r="8932" spans="15:15">
      <c r="O8932" s="4288"/>
    </row>
    <row r="8933" spans="15:15">
      <c r="O8933" s="4288"/>
    </row>
    <row r="8934" spans="15:15">
      <c r="O8934" s="4288"/>
    </row>
    <row r="8935" spans="15:15">
      <c r="O8935" s="4288"/>
    </row>
    <row r="8936" spans="15:15">
      <c r="O8936" s="4288"/>
    </row>
    <row r="8937" spans="15:15">
      <c r="O8937" s="4288"/>
    </row>
    <row r="8938" spans="15:15">
      <c r="O8938" s="4288"/>
    </row>
    <row r="8939" spans="15:15">
      <c r="O8939" s="4288"/>
    </row>
    <row r="8940" spans="15:15">
      <c r="O8940" s="4288"/>
    </row>
    <row r="8941" spans="15:15">
      <c r="O8941" s="4288"/>
    </row>
    <row r="8942" spans="15:15">
      <c r="O8942" s="4288"/>
    </row>
    <row r="8943" spans="15:15">
      <c r="O8943" s="4288"/>
    </row>
    <row r="8944" spans="15:15">
      <c r="O8944" s="4288"/>
    </row>
    <row r="8945" spans="15:15">
      <c r="O8945" s="4288"/>
    </row>
    <row r="8946" spans="15:15">
      <c r="O8946" s="4288"/>
    </row>
    <row r="8947" spans="15:15">
      <c r="O8947" s="4288"/>
    </row>
    <row r="8948" spans="15:15">
      <c r="O8948" s="4288"/>
    </row>
    <row r="8949" spans="15:15">
      <c r="O8949" s="4288"/>
    </row>
    <row r="8950" spans="15:15">
      <c r="O8950" s="4288"/>
    </row>
    <row r="8951" spans="15:15">
      <c r="O8951" s="4288"/>
    </row>
    <row r="8952" spans="15:15">
      <c r="O8952" s="4288"/>
    </row>
    <row r="8953" spans="15:15">
      <c r="O8953" s="4288"/>
    </row>
    <row r="8954" spans="15:15">
      <c r="O8954" s="4288"/>
    </row>
    <row r="8955" spans="15:15">
      <c r="O8955" s="4288"/>
    </row>
    <row r="8956" spans="15:15">
      <c r="O8956" s="4288"/>
    </row>
    <row r="8957" spans="15:15">
      <c r="O8957" s="4288"/>
    </row>
    <row r="8958" spans="15:15">
      <c r="O8958" s="4288"/>
    </row>
    <row r="8959" spans="15:15">
      <c r="O8959" s="4288"/>
    </row>
    <row r="8960" spans="15:15">
      <c r="O8960" s="4288"/>
    </row>
    <row r="8961" spans="15:15">
      <c r="O8961" s="4288"/>
    </row>
    <row r="8962" spans="15:15">
      <c r="O8962" s="4288"/>
    </row>
    <row r="8963" spans="15:15">
      <c r="O8963" s="4288"/>
    </row>
    <row r="8964" spans="15:15">
      <c r="O8964" s="4288"/>
    </row>
    <row r="8965" spans="15:15">
      <c r="O8965" s="4288"/>
    </row>
    <row r="8966" spans="15:15">
      <c r="O8966" s="4288"/>
    </row>
    <row r="8967" spans="15:15">
      <c r="O8967" s="4288"/>
    </row>
    <row r="8968" spans="15:15">
      <c r="O8968" s="4288"/>
    </row>
    <row r="8969" spans="15:15">
      <c r="O8969" s="4288"/>
    </row>
    <row r="8970" spans="15:15">
      <c r="O8970" s="4288"/>
    </row>
    <row r="8971" spans="15:15">
      <c r="O8971" s="4288"/>
    </row>
    <row r="8972" spans="15:15">
      <c r="O8972" s="4288"/>
    </row>
    <row r="8973" spans="15:15">
      <c r="O8973" s="4288"/>
    </row>
    <row r="8974" spans="15:15">
      <c r="O8974" s="4288"/>
    </row>
    <row r="8975" spans="15:15">
      <c r="O8975" s="4288"/>
    </row>
    <row r="8976" spans="15:15">
      <c r="O8976" s="4288"/>
    </row>
    <row r="8977" spans="15:15">
      <c r="O8977" s="4288"/>
    </row>
    <row r="8978" spans="15:15">
      <c r="O8978" s="4288"/>
    </row>
    <row r="8979" spans="15:15">
      <c r="O8979" s="4288"/>
    </row>
    <row r="8980" spans="15:15">
      <c r="O8980" s="4288"/>
    </row>
    <row r="8981" spans="15:15">
      <c r="O8981" s="4288"/>
    </row>
    <row r="8982" spans="15:15">
      <c r="O8982" s="4288"/>
    </row>
    <row r="8983" spans="15:15">
      <c r="O8983" s="4288"/>
    </row>
    <row r="8984" spans="15:15">
      <c r="O8984" s="4288"/>
    </row>
    <row r="8985" spans="15:15">
      <c r="O8985" s="4288"/>
    </row>
    <row r="8986" spans="15:15">
      <c r="O8986" s="4288"/>
    </row>
    <row r="8987" spans="15:15">
      <c r="O8987" s="4288"/>
    </row>
    <row r="8988" spans="15:15">
      <c r="O8988" s="4288"/>
    </row>
    <row r="8989" spans="15:15">
      <c r="O8989" s="4288"/>
    </row>
    <row r="8990" spans="15:15">
      <c r="O8990" s="4288"/>
    </row>
    <row r="8991" spans="15:15">
      <c r="O8991" s="4288"/>
    </row>
    <row r="8992" spans="15:15">
      <c r="O8992" s="4288"/>
    </row>
    <row r="8993" spans="15:15">
      <c r="O8993" s="4288"/>
    </row>
    <row r="8994" spans="15:15">
      <c r="O8994" s="4288"/>
    </row>
    <row r="8995" spans="15:15">
      <c r="O8995" s="4288"/>
    </row>
    <row r="8996" spans="15:15">
      <c r="O8996" s="4288"/>
    </row>
    <row r="8997" spans="15:15">
      <c r="O8997" s="4288"/>
    </row>
    <row r="8998" spans="15:15">
      <c r="O8998" s="4288"/>
    </row>
    <row r="8999" spans="15:15">
      <c r="O8999" s="4288"/>
    </row>
    <row r="9000" spans="15:15">
      <c r="O9000" s="4288"/>
    </row>
    <row r="9001" spans="15:15">
      <c r="O9001" s="4288"/>
    </row>
    <row r="9002" spans="15:15">
      <c r="O9002" s="4288"/>
    </row>
    <row r="9003" spans="15:15">
      <c r="O9003" s="4288"/>
    </row>
    <row r="9004" spans="15:15">
      <c r="O9004" s="4288"/>
    </row>
    <row r="9005" spans="15:15">
      <c r="O9005" s="4288"/>
    </row>
    <row r="9006" spans="15:15">
      <c r="O9006" s="4288"/>
    </row>
    <row r="9007" spans="15:15">
      <c r="O9007" s="4288"/>
    </row>
    <row r="9008" spans="15:15">
      <c r="O9008" s="4288"/>
    </row>
    <row r="9009" spans="15:15">
      <c r="O9009" s="4288"/>
    </row>
    <row r="9010" spans="15:15">
      <c r="O9010" s="4288"/>
    </row>
    <row r="9011" spans="15:15">
      <c r="O9011" s="4288"/>
    </row>
    <row r="9012" spans="15:15">
      <c r="O9012" s="4288"/>
    </row>
    <row r="9013" spans="15:15">
      <c r="O9013" s="4288"/>
    </row>
    <row r="9014" spans="15:15">
      <c r="O9014" s="4288"/>
    </row>
    <row r="9015" spans="15:15">
      <c r="O9015" s="4288"/>
    </row>
    <row r="9016" spans="15:15">
      <c r="O9016" s="4288"/>
    </row>
    <row r="9017" spans="15:15">
      <c r="O9017" s="4288"/>
    </row>
    <row r="9018" spans="15:15">
      <c r="O9018" s="4288"/>
    </row>
    <row r="9019" spans="15:15">
      <c r="O9019" s="4288"/>
    </row>
    <row r="9020" spans="15:15">
      <c r="O9020" s="4288"/>
    </row>
    <row r="9021" spans="15:15">
      <c r="O9021" s="4288"/>
    </row>
    <row r="9022" spans="15:15">
      <c r="O9022" s="4288"/>
    </row>
    <row r="9023" spans="15:15">
      <c r="O9023" s="4288"/>
    </row>
    <row r="9024" spans="15:15">
      <c r="O9024" s="4288"/>
    </row>
    <row r="9025" spans="15:15">
      <c r="O9025" s="4288"/>
    </row>
    <row r="9026" spans="15:15">
      <c r="O9026" s="4288"/>
    </row>
    <row r="9027" spans="15:15">
      <c r="O9027" s="4288"/>
    </row>
    <row r="9028" spans="15:15">
      <c r="O9028" s="4288"/>
    </row>
    <row r="9029" spans="15:15">
      <c r="O9029" s="4288"/>
    </row>
    <row r="9030" spans="15:15">
      <c r="O9030" s="4288"/>
    </row>
    <row r="9031" spans="15:15">
      <c r="O9031" s="4288"/>
    </row>
    <row r="9032" spans="15:15">
      <c r="O9032" s="4288"/>
    </row>
    <row r="9033" spans="15:15">
      <c r="O9033" s="4288"/>
    </row>
    <row r="9034" spans="15:15">
      <c r="O9034" s="4288"/>
    </row>
    <row r="9035" spans="15:15">
      <c r="O9035" s="4288"/>
    </row>
    <row r="9036" spans="15:15">
      <c r="O9036" s="4288"/>
    </row>
    <row r="9037" spans="15:15">
      <c r="O9037" s="4288"/>
    </row>
    <row r="9038" spans="15:15">
      <c r="O9038" s="4288"/>
    </row>
    <row r="9039" spans="15:15">
      <c r="O9039" s="4288"/>
    </row>
    <row r="9040" spans="15:15">
      <c r="O9040" s="4288"/>
    </row>
    <row r="9041" spans="15:15">
      <c r="O9041" s="4288"/>
    </row>
    <row r="9042" spans="15:15">
      <c r="O9042" s="4288"/>
    </row>
    <row r="9043" spans="15:15">
      <c r="O9043" s="4288"/>
    </row>
    <row r="9044" spans="15:15">
      <c r="O9044" s="4288"/>
    </row>
    <row r="9045" spans="15:15">
      <c r="O9045" s="4288"/>
    </row>
    <row r="9046" spans="15:15">
      <c r="O9046" s="4288"/>
    </row>
    <row r="9047" spans="15:15">
      <c r="O9047" s="4288"/>
    </row>
    <row r="9048" spans="15:15">
      <c r="O9048" s="4288"/>
    </row>
    <row r="9049" spans="15:15">
      <c r="O9049" s="4288"/>
    </row>
    <row r="9050" spans="15:15">
      <c r="O9050" s="4288"/>
    </row>
    <row r="9051" spans="15:15">
      <c r="O9051" s="4288"/>
    </row>
    <row r="9052" spans="15:15">
      <c r="O9052" s="4288"/>
    </row>
    <row r="9053" spans="15:15">
      <c r="O9053" s="4288"/>
    </row>
    <row r="9054" spans="15:15">
      <c r="O9054" s="4288"/>
    </row>
    <row r="9055" spans="15:15">
      <c r="O9055" s="4288"/>
    </row>
    <row r="9056" spans="15:15">
      <c r="O9056" s="4288"/>
    </row>
    <row r="9057" spans="15:15">
      <c r="O9057" s="4288"/>
    </row>
    <row r="9058" spans="15:15">
      <c r="O9058" s="4288"/>
    </row>
    <row r="9059" spans="15:15">
      <c r="O9059" s="4288"/>
    </row>
    <row r="9060" spans="15:15">
      <c r="O9060" s="4288"/>
    </row>
    <row r="9061" spans="15:15">
      <c r="O9061" s="4288"/>
    </row>
    <row r="9062" spans="15:15">
      <c r="O9062" s="4288"/>
    </row>
    <row r="9063" spans="15:15">
      <c r="O9063" s="4288"/>
    </row>
    <row r="9064" spans="15:15">
      <c r="O9064" s="4288"/>
    </row>
    <row r="9065" spans="15:15">
      <c r="O9065" s="4288"/>
    </row>
    <row r="9066" spans="15:15">
      <c r="O9066" s="4288"/>
    </row>
    <row r="9067" spans="15:15">
      <c r="O9067" s="4288"/>
    </row>
    <row r="9068" spans="15:15">
      <c r="O9068" s="4288"/>
    </row>
    <row r="9069" spans="15:15">
      <c r="O9069" s="4288"/>
    </row>
    <row r="9070" spans="15:15">
      <c r="O9070" s="4288"/>
    </row>
    <row r="9071" spans="15:15">
      <c r="O9071" s="4288"/>
    </row>
    <row r="9072" spans="15:15">
      <c r="O9072" s="4288"/>
    </row>
    <row r="9073" spans="15:15">
      <c r="O9073" s="4288"/>
    </row>
    <row r="9074" spans="15:15">
      <c r="O9074" s="4288"/>
    </row>
    <row r="9075" spans="15:15">
      <c r="O9075" s="4288"/>
    </row>
    <row r="9076" spans="15:15">
      <c r="O9076" s="4288"/>
    </row>
    <row r="9077" spans="15:15">
      <c r="O9077" s="4288"/>
    </row>
    <row r="9078" spans="15:15">
      <c r="O9078" s="4288"/>
    </row>
    <row r="9079" spans="15:15">
      <c r="O9079" s="4288"/>
    </row>
    <row r="9080" spans="15:15">
      <c r="O9080" s="4288"/>
    </row>
    <row r="9081" spans="15:15">
      <c r="O9081" s="4288"/>
    </row>
    <row r="9082" spans="15:15">
      <c r="O9082" s="4288"/>
    </row>
    <row r="9083" spans="15:15">
      <c r="O9083" s="4288"/>
    </row>
    <row r="9084" spans="15:15">
      <c r="O9084" s="4288"/>
    </row>
    <row r="9085" spans="15:15">
      <c r="O9085" s="4288"/>
    </row>
    <row r="9086" spans="15:15">
      <c r="O9086" s="4288"/>
    </row>
    <row r="9087" spans="15:15">
      <c r="O9087" s="4288"/>
    </row>
    <row r="9088" spans="15:15">
      <c r="O9088" s="4288"/>
    </row>
    <row r="9089" spans="15:15">
      <c r="O9089" s="4288"/>
    </row>
    <row r="9090" spans="15:15">
      <c r="O9090" s="4288"/>
    </row>
    <row r="9091" spans="15:15">
      <c r="O9091" s="4288"/>
    </row>
    <row r="9092" spans="15:15">
      <c r="O9092" s="4288"/>
    </row>
    <row r="9093" spans="15:15">
      <c r="O9093" s="4288"/>
    </row>
    <row r="9094" spans="15:15">
      <c r="O9094" s="4288"/>
    </row>
    <row r="9095" spans="15:15">
      <c r="O9095" s="4288"/>
    </row>
    <row r="9096" spans="15:15">
      <c r="O9096" s="4288"/>
    </row>
    <row r="9097" spans="15:15">
      <c r="O9097" s="4288"/>
    </row>
    <row r="9098" spans="15:15">
      <c r="O9098" s="4288"/>
    </row>
    <row r="9099" spans="15:15">
      <c r="O9099" s="4288"/>
    </row>
    <row r="9100" spans="15:15">
      <c r="O9100" s="4288"/>
    </row>
    <row r="9101" spans="15:15">
      <c r="O9101" s="4288"/>
    </row>
    <row r="9102" spans="15:15">
      <c r="O9102" s="4288"/>
    </row>
    <row r="9103" spans="15:15">
      <c r="O9103" s="4288"/>
    </row>
    <row r="9104" spans="15:15">
      <c r="O9104" s="4288"/>
    </row>
    <row r="9105" spans="15:15">
      <c r="O9105" s="4288"/>
    </row>
    <row r="9106" spans="15:15">
      <c r="O9106" s="4288"/>
    </row>
    <row r="9107" spans="15:15">
      <c r="O9107" s="4288"/>
    </row>
    <row r="9108" spans="15:15">
      <c r="O9108" s="4288"/>
    </row>
    <row r="9109" spans="15:15">
      <c r="O9109" s="4288"/>
    </row>
    <row r="9110" spans="15:15">
      <c r="O9110" s="4288"/>
    </row>
    <row r="9111" spans="15:15">
      <c r="O9111" s="4288"/>
    </row>
    <row r="9112" spans="15:15">
      <c r="O9112" s="4288"/>
    </row>
    <row r="9113" spans="15:15">
      <c r="O9113" s="4288"/>
    </row>
    <row r="9114" spans="15:15">
      <c r="O9114" s="4288"/>
    </row>
    <row r="9115" spans="15:15">
      <c r="O9115" s="4288"/>
    </row>
    <row r="9116" spans="15:15">
      <c r="O9116" s="4288"/>
    </row>
    <row r="9117" spans="15:15">
      <c r="O9117" s="4288"/>
    </row>
    <row r="9118" spans="15:15">
      <c r="O9118" s="4288"/>
    </row>
    <row r="9119" spans="15:15">
      <c r="O9119" s="4288"/>
    </row>
    <row r="9120" spans="15:15">
      <c r="O9120" s="4288"/>
    </row>
    <row r="9121" spans="15:15">
      <c r="O9121" s="4288"/>
    </row>
    <row r="9122" spans="15:15">
      <c r="O9122" s="4288"/>
    </row>
    <row r="9123" spans="15:15">
      <c r="O9123" s="4288"/>
    </row>
    <row r="9124" spans="15:15">
      <c r="O9124" s="4288"/>
    </row>
    <row r="9125" spans="15:15">
      <c r="O9125" s="4288"/>
    </row>
    <row r="9126" spans="15:15">
      <c r="O9126" s="4288"/>
    </row>
    <row r="9127" spans="15:15">
      <c r="O9127" s="4288"/>
    </row>
    <row r="9128" spans="15:15">
      <c r="O9128" s="4288"/>
    </row>
    <row r="9129" spans="15:15">
      <c r="O9129" s="4288"/>
    </row>
    <row r="9130" spans="15:15">
      <c r="O9130" s="4288"/>
    </row>
    <row r="9131" spans="15:15">
      <c r="O9131" s="4288"/>
    </row>
    <row r="9132" spans="15:15">
      <c r="O9132" s="4288"/>
    </row>
    <row r="9133" spans="15:15">
      <c r="O9133" s="4288"/>
    </row>
    <row r="9134" spans="15:15">
      <c r="O9134" s="4288"/>
    </row>
    <row r="9135" spans="15:15">
      <c r="O9135" s="4288"/>
    </row>
    <row r="9136" spans="15:15">
      <c r="O9136" s="4288"/>
    </row>
    <row r="9137" spans="15:15">
      <c r="O9137" s="4288"/>
    </row>
    <row r="9138" spans="15:15">
      <c r="O9138" s="4288"/>
    </row>
    <row r="9139" spans="15:15">
      <c r="O9139" s="4288"/>
    </row>
    <row r="9140" spans="15:15">
      <c r="O9140" s="4288"/>
    </row>
    <row r="9141" spans="15:15">
      <c r="O9141" s="4288"/>
    </row>
    <row r="9142" spans="15:15">
      <c r="O9142" s="4288"/>
    </row>
    <row r="9143" spans="15:15">
      <c r="O9143" s="4288"/>
    </row>
    <row r="9144" spans="15:15">
      <c r="O9144" s="4288"/>
    </row>
    <row r="9145" spans="15:15">
      <c r="O9145" s="4288"/>
    </row>
    <row r="9146" spans="15:15">
      <c r="O9146" s="4288"/>
    </row>
    <row r="9147" spans="15:15">
      <c r="O9147" s="4288"/>
    </row>
    <row r="9148" spans="15:15">
      <c r="O9148" s="4288"/>
    </row>
    <row r="9149" spans="15:15">
      <c r="O9149" s="4288"/>
    </row>
    <row r="9150" spans="15:15">
      <c r="O9150" s="4288"/>
    </row>
    <row r="9151" spans="15:15">
      <c r="O9151" s="4288"/>
    </row>
    <row r="9152" spans="15:15">
      <c r="O9152" s="4288"/>
    </row>
    <row r="9153" spans="15:15">
      <c r="O9153" s="4288"/>
    </row>
    <row r="9154" spans="15:15">
      <c r="O9154" s="4288"/>
    </row>
    <row r="9155" spans="15:15">
      <c r="O9155" s="4288"/>
    </row>
    <row r="9156" spans="15:15">
      <c r="O9156" s="4288"/>
    </row>
    <row r="9157" spans="15:15">
      <c r="O9157" s="4288"/>
    </row>
    <row r="9158" spans="15:15">
      <c r="O9158" s="4288"/>
    </row>
    <row r="9159" spans="15:15">
      <c r="O9159" s="4288"/>
    </row>
    <row r="9160" spans="15:15">
      <c r="O9160" s="4288"/>
    </row>
    <row r="9161" spans="15:15">
      <c r="O9161" s="4288"/>
    </row>
    <row r="9162" spans="15:15">
      <c r="O9162" s="4288"/>
    </row>
    <row r="9163" spans="15:15">
      <c r="O9163" s="4288"/>
    </row>
    <row r="9164" spans="15:15">
      <c r="O9164" s="4288"/>
    </row>
    <row r="9165" spans="15:15">
      <c r="O9165" s="4288"/>
    </row>
    <row r="9166" spans="15:15">
      <c r="O9166" s="4288"/>
    </row>
    <row r="9167" spans="15:15">
      <c r="O9167" s="4288"/>
    </row>
    <row r="9168" spans="15:15">
      <c r="O9168" s="4288"/>
    </row>
    <row r="9169" spans="15:15">
      <c r="O9169" s="4288"/>
    </row>
    <row r="9170" spans="15:15">
      <c r="O9170" s="4288"/>
    </row>
    <row r="9171" spans="15:15">
      <c r="O9171" s="4288"/>
    </row>
    <row r="9172" spans="15:15">
      <c r="O9172" s="4288"/>
    </row>
    <row r="9173" spans="15:15">
      <c r="O9173" s="4288"/>
    </row>
    <row r="9174" spans="15:15">
      <c r="O9174" s="4288"/>
    </row>
    <row r="9175" spans="15:15">
      <c r="O9175" s="4288"/>
    </row>
    <row r="9176" spans="15:15">
      <c r="O9176" s="4288"/>
    </row>
    <row r="9177" spans="15:15">
      <c r="O9177" s="4288"/>
    </row>
    <row r="9178" spans="15:15">
      <c r="O9178" s="4288"/>
    </row>
    <row r="9179" spans="15:15">
      <c r="O9179" s="4288"/>
    </row>
    <row r="9180" spans="15:15">
      <c r="O9180" s="4288"/>
    </row>
    <row r="9181" spans="15:15">
      <c r="O9181" s="4288"/>
    </row>
    <row r="9182" spans="15:15">
      <c r="O9182" s="4288"/>
    </row>
    <row r="9183" spans="15:15">
      <c r="O9183" s="4288"/>
    </row>
    <row r="9184" spans="15:15">
      <c r="O9184" s="4288"/>
    </row>
    <row r="9185" spans="15:15">
      <c r="O9185" s="4288"/>
    </row>
    <row r="9186" spans="15:15">
      <c r="O9186" s="4288"/>
    </row>
    <row r="9187" spans="15:15">
      <c r="O9187" s="4288"/>
    </row>
    <row r="9188" spans="15:15">
      <c r="O9188" s="4288"/>
    </row>
    <row r="9189" spans="15:15">
      <c r="O9189" s="4288"/>
    </row>
    <row r="9190" spans="15:15">
      <c r="O9190" s="4288"/>
    </row>
    <row r="9191" spans="15:15">
      <c r="O9191" s="4288"/>
    </row>
    <row r="9192" spans="15:15">
      <c r="O9192" s="4288"/>
    </row>
    <row r="9193" spans="15:15">
      <c r="O9193" s="4288"/>
    </row>
    <row r="9194" spans="15:15">
      <c r="O9194" s="4288"/>
    </row>
    <row r="9195" spans="15:15">
      <c r="O9195" s="4288"/>
    </row>
    <row r="9196" spans="15:15">
      <c r="O9196" s="4288"/>
    </row>
    <row r="9197" spans="15:15">
      <c r="O9197" s="4288"/>
    </row>
    <row r="9198" spans="15:15">
      <c r="O9198" s="4288"/>
    </row>
    <row r="9199" spans="15:15">
      <c r="O9199" s="4288"/>
    </row>
    <row r="9200" spans="15:15">
      <c r="O9200" s="4288"/>
    </row>
    <row r="9201" spans="15:15">
      <c r="O9201" s="4288"/>
    </row>
    <row r="9202" spans="15:15">
      <c r="O9202" s="4288"/>
    </row>
    <row r="9203" spans="15:15">
      <c r="O9203" s="4288"/>
    </row>
    <row r="9204" spans="15:15">
      <c r="O9204" s="4288"/>
    </row>
    <row r="9205" spans="15:15">
      <c r="O9205" s="4288"/>
    </row>
    <row r="9206" spans="15:15">
      <c r="O9206" s="4288"/>
    </row>
    <row r="9207" spans="15:15">
      <c r="O9207" s="4288"/>
    </row>
    <row r="9208" spans="15:15">
      <c r="O9208" s="4288"/>
    </row>
    <row r="9209" spans="15:15">
      <c r="O9209" s="4288"/>
    </row>
    <row r="9210" spans="15:15">
      <c r="O9210" s="4288"/>
    </row>
    <row r="9211" spans="15:15">
      <c r="O9211" s="4288"/>
    </row>
    <row r="9212" spans="15:15">
      <c r="O9212" s="4288"/>
    </row>
    <row r="9213" spans="15:15">
      <c r="O9213" s="4288"/>
    </row>
    <row r="9214" spans="15:15">
      <c r="O9214" s="4288"/>
    </row>
    <row r="9215" spans="15:15">
      <c r="O9215" s="4288"/>
    </row>
    <row r="9216" spans="15:15">
      <c r="O9216" s="4288"/>
    </row>
    <row r="9217" spans="15:15">
      <c r="O9217" s="4288"/>
    </row>
    <row r="9218" spans="15:15">
      <c r="O9218" s="4288"/>
    </row>
    <row r="9219" spans="15:15">
      <c r="O9219" s="4288"/>
    </row>
    <row r="9220" spans="15:15">
      <c r="O9220" s="4288"/>
    </row>
    <row r="9221" spans="15:15">
      <c r="O9221" s="4288"/>
    </row>
    <row r="9222" spans="15:15">
      <c r="O9222" s="4288"/>
    </row>
    <row r="9223" spans="15:15">
      <c r="O9223" s="4288"/>
    </row>
    <row r="9224" spans="15:15">
      <c r="O9224" s="4288"/>
    </row>
    <row r="9225" spans="15:15">
      <c r="O9225" s="4288"/>
    </row>
    <row r="9226" spans="15:15">
      <c r="O9226" s="4288"/>
    </row>
    <row r="9227" spans="15:15">
      <c r="O9227" s="4288"/>
    </row>
    <row r="9228" spans="15:15">
      <c r="O9228" s="4288"/>
    </row>
    <row r="9229" spans="15:15">
      <c r="O9229" s="4288"/>
    </row>
    <row r="9230" spans="15:15">
      <c r="O9230" s="4288"/>
    </row>
    <row r="9231" spans="15:15">
      <c r="O9231" s="4288"/>
    </row>
    <row r="9232" spans="15:15">
      <c r="O9232" s="4288"/>
    </row>
    <row r="9233" spans="15:15">
      <c r="O9233" s="4288"/>
    </row>
    <row r="9234" spans="15:15">
      <c r="O9234" s="4288"/>
    </row>
    <row r="9235" spans="15:15">
      <c r="O9235" s="4288"/>
    </row>
    <row r="9236" spans="15:15">
      <c r="O9236" s="4288"/>
    </row>
    <row r="9237" spans="15:15">
      <c r="O9237" s="4288"/>
    </row>
    <row r="9238" spans="15:15">
      <c r="O9238" s="4288"/>
    </row>
    <row r="9239" spans="15:15">
      <c r="O9239" s="4288"/>
    </row>
    <row r="9240" spans="15:15">
      <c r="O9240" s="4288"/>
    </row>
    <row r="9241" spans="15:15">
      <c r="O9241" s="4288"/>
    </row>
    <row r="9242" spans="15:15">
      <c r="O9242" s="4288"/>
    </row>
    <row r="9243" spans="15:15">
      <c r="O9243" s="4288"/>
    </row>
    <row r="9244" spans="15:15">
      <c r="O9244" s="4288"/>
    </row>
    <row r="9245" spans="15:15">
      <c r="O9245" s="4288"/>
    </row>
    <row r="9246" spans="15:15">
      <c r="O9246" s="4288"/>
    </row>
    <row r="9247" spans="15:15">
      <c r="O9247" s="4288"/>
    </row>
    <row r="9248" spans="15:15">
      <c r="O9248" s="4288"/>
    </row>
    <row r="9249" spans="15:15">
      <c r="O9249" s="4288"/>
    </row>
    <row r="9250" spans="15:15">
      <c r="O9250" s="4288"/>
    </row>
    <row r="9251" spans="15:15">
      <c r="O9251" s="4288"/>
    </row>
    <row r="9252" spans="15:15">
      <c r="O9252" s="4288"/>
    </row>
    <row r="9253" spans="15:15">
      <c r="O9253" s="4288"/>
    </row>
    <row r="9254" spans="15:15">
      <c r="O9254" s="4288"/>
    </row>
    <row r="9255" spans="15:15">
      <c r="O9255" s="4288"/>
    </row>
    <row r="9256" spans="15:15">
      <c r="O9256" s="4288"/>
    </row>
    <row r="9257" spans="15:15">
      <c r="O9257" s="4288"/>
    </row>
    <row r="9258" spans="15:15">
      <c r="O9258" s="4288"/>
    </row>
    <row r="9259" spans="15:15">
      <c r="O9259" s="4288"/>
    </row>
    <row r="9260" spans="15:15">
      <c r="O9260" s="4288"/>
    </row>
    <row r="9261" spans="15:15">
      <c r="O9261" s="4288"/>
    </row>
    <row r="9262" spans="15:15">
      <c r="O9262" s="4288"/>
    </row>
    <row r="9263" spans="15:15">
      <c r="O9263" s="4288"/>
    </row>
    <row r="9264" spans="15:15">
      <c r="O9264" s="4288"/>
    </row>
    <row r="9265" spans="15:15">
      <c r="O9265" s="4288"/>
    </row>
    <row r="9266" spans="15:15">
      <c r="O9266" s="4288"/>
    </row>
    <row r="9267" spans="15:15">
      <c r="O9267" s="4288"/>
    </row>
    <row r="9268" spans="15:15">
      <c r="O9268" s="4288"/>
    </row>
    <row r="9269" spans="15:15">
      <c r="O9269" s="4288"/>
    </row>
    <row r="9270" spans="15:15">
      <c r="O9270" s="4288"/>
    </row>
    <row r="9271" spans="15:15">
      <c r="O9271" s="4288"/>
    </row>
    <row r="9272" spans="15:15">
      <c r="O9272" s="4288"/>
    </row>
    <row r="9273" spans="15:15">
      <c r="O9273" s="4288"/>
    </row>
    <row r="9274" spans="15:15">
      <c r="O9274" s="4288"/>
    </row>
    <row r="9275" spans="15:15">
      <c r="O9275" s="4288"/>
    </row>
    <row r="9276" spans="15:15">
      <c r="O9276" s="4288"/>
    </row>
    <row r="9277" spans="15:15">
      <c r="O9277" s="4288"/>
    </row>
    <row r="9278" spans="15:15">
      <c r="O9278" s="4288"/>
    </row>
    <row r="9279" spans="15:15">
      <c r="O9279" s="4288"/>
    </row>
    <row r="9280" spans="15:15">
      <c r="O9280" s="4288"/>
    </row>
    <row r="9281" spans="15:15">
      <c r="O9281" s="4288"/>
    </row>
    <row r="9282" spans="15:15">
      <c r="O9282" s="4288"/>
    </row>
    <row r="9283" spans="15:15">
      <c r="O9283" s="4288"/>
    </row>
    <row r="9284" spans="15:15">
      <c r="O9284" s="4288"/>
    </row>
    <row r="9285" spans="15:15">
      <c r="O9285" s="4288"/>
    </row>
    <row r="9286" spans="15:15">
      <c r="O9286" s="4288"/>
    </row>
    <row r="9287" spans="15:15">
      <c r="O9287" s="4288"/>
    </row>
    <row r="9288" spans="15:15">
      <c r="O9288" s="4288"/>
    </row>
    <row r="9289" spans="15:15">
      <c r="O9289" s="4288"/>
    </row>
    <row r="9290" spans="15:15">
      <c r="O9290" s="4288"/>
    </row>
    <row r="9291" spans="15:15">
      <c r="O9291" s="4288"/>
    </row>
    <row r="9292" spans="15:15">
      <c r="O9292" s="4288"/>
    </row>
    <row r="9293" spans="15:15">
      <c r="O9293" s="4288"/>
    </row>
    <row r="9294" spans="15:15">
      <c r="O9294" s="4288"/>
    </row>
    <row r="9295" spans="15:15">
      <c r="O9295" s="4288"/>
    </row>
    <row r="9296" spans="15:15">
      <c r="O9296" s="4288"/>
    </row>
    <row r="9297" spans="15:15">
      <c r="O9297" s="4288"/>
    </row>
    <row r="9298" spans="15:15">
      <c r="O9298" s="4288"/>
    </row>
    <row r="9299" spans="15:15">
      <c r="O9299" s="4288"/>
    </row>
    <row r="9300" spans="15:15">
      <c r="O9300" s="4288"/>
    </row>
    <row r="9301" spans="15:15">
      <c r="O9301" s="4288"/>
    </row>
    <row r="9302" spans="15:15">
      <c r="O9302" s="4288"/>
    </row>
    <row r="9303" spans="15:15">
      <c r="O9303" s="4288"/>
    </row>
    <row r="9304" spans="15:15">
      <c r="O9304" s="4288"/>
    </row>
    <row r="9305" spans="15:15">
      <c r="O9305" s="4288"/>
    </row>
    <row r="9306" spans="15:15">
      <c r="O9306" s="4288"/>
    </row>
    <row r="9307" spans="15:15">
      <c r="O9307" s="4288"/>
    </row>
    <row r="9308" spans="15:15">
      <c r="O9308" s="4288"/>
    </row>
    <row r="9309" spans="15:15">
      <c r="O9309" s="4288"/>
    </row>
    <row r="9310" spans="15:15">
      <c r="O9310" s="4288"/>
    </row>
    <row r="9311" spans="15:15">
      <c r="O9311" s="4288"/>
    </row>
    <row r="9312" spans="15:15">
      <c r="O9312" s="4288"/>
    </row>
    <row r="9313" spans="15:15">
      <c r="O9313" s="4288"/>
    </row>
    <row r="9314" spans="15:15">
      <c r="O9314" s="4288"/>
    </row>
    <row r="9315" spans="15:15">
      <c r="O9315" s="4288"/>
    </row>
    <row r="9316" spans="15:15">
      <c r="O9316" s="4288"/>
    </row>
    <row r="9317" spans="15:15">
      <c r="O9317" s="4288"/>
    </row>
    <row r="9318" spans="15:15">
      <c r="O9318" s="4288"/>
    </row>
    <row r="9319" spans="15:15">
      <c r="O9319" s="4288"/>
    </row>
    <row r="9320" spans="15:15">
      <c r="O9320" s="4288"/>
    </row>
    <row r="9321" spans="15:15">
      <c r="O9321" s="4288"/>
    </row>
    <row r="9322" spans="15:15">
      <c r="O9322" s="4288"/>
    </row>
    <row r="9323" spans="15:15">
      <c r="O9323" s="4288"/>
    </row>
    <row r="9324" spans="15:15">
      <c r="O9324" s="4288"/>
    </row>
    <row r="9325" spans="15:15">
      <c r="O9325" s="4288"/>
    </row>
    <row r="9326" spans="15:15">
      <c r="O9326" s="4288"/>
    </row>
    <row r="9327" spans="15:15">
      <c r="O9327" s="4288"/>
    </row>
    <row r="9328" spans="15:15">
      <c r="O9328" s="4288"/>
    </row>
    <row r="9329" spans="15:15">
      <c r="O9329" s="4288"/>
    </row>
    <row r="9330" spans="15:15">
      <c r="O9330" s="4288"/>
    </row>
    <row r="9331" spans="15:15">
      <c r="O9331" s="4288"/>
    </row>
    <row r="9332" spans="15:15">
      <c r="O9332" s="4288"/>
    </row>
    <row r="9333" spans="15:15">
      <c r="O9333" s="4288"/>
    </row>
    <row r="9334" spans="15:15">
      <c r="O9334" s="4288"/>
    </row>
    <row r="9335" spans="15:15">
      <c r="O9335" s="4288"/>
    </row>
    <row r="9336" spans="15:15">
      <c r="O9336" s="4288"/>
    </row>
    <row r="9337" spans="15:15">
      <c r="O9337" s="4288"/>
    </row>
    <row r="9338" spans="15:15">
      <c r="O9338" s="4288"/>
    </row>
    <row r="9339" spans="15:15">
      <c r="O9339" s="4288"/>
    </row>
    <row r="9340" spans="15:15">
      <c r="O9340" s="4288"/>
    </row>
    <row r="9341" spans="15:15">
      <c r="O9341" s="4288"/>
    </row>
    <row r="9342" spans="15:15">
      <c r="O9342" s="4288"/>
    </row>
    <row r="9343" spans="15:15">
      <c r="O9343" s="4288"/>
    </row>
    <row r="9344" spans="15:15">
      <c r="O9344" s="4288"/>
    </row>
    <row r="9345" spans="15:15">
      <c r="O9345" s="4288"/>
    </row>
    <row r="9346" spans="15:15">
      <c r="O9346" s="4288"/>
    </row>
    <row r="9347" spans="15:15">
      <c r="O9347" s="4288"/>
    </row>
    <row r="9348" spans="15:15">
      <c r="O9348" s="4288"/>
    </row>
    <row r="9349" spans="15:15">
      <c r="O9349" s="4288"/>
    </row>
    <row r="9350" spans="15:15">
      <c r="O9350" s="4288"/>
    </row>
    <row r="9351" spans="15:15">
      <c r="O9351" s="4288"/>
    </row>
    <row r="9352" spans="15:15">
      <c r="O9352" s="4288"/>
    </row>
    <row r="9353" spans="15:15">
      <c r="O9353" s="4288"/>
    </row>
    <row r="9354" spans="15:15">
      <c r="O9354" s="4288"/>
    </row>
    <row r="9355" spans="15:15">
      <c r="O9355" s="4288"/>
    </row>
    <row r="9356" spans="15:15">
      <c r="O9356" s="4288"/>
    </row>
    <row r="9357" spans="15:15">
      <c r="O9357" s="4288"/>
    </row>
    <row r="9358" spans="15:15">
      <c r="O9358" s="4288"/>
    </row>
    <row r="9359" spans="15:15">
      <c r="O9359" s="4288"/>
    </row>
    <row r="9360" spans="15:15">
      <c r="O9360" s="4288"/>
    </row>
    <row r="9361" spans="15:15">
      <c r="O9361" s="4288"/>
    </row>
    <row r="9362" spans="15:15">
      <c r="O9362" s="4288"/>
    </row>
    <row r="9363" spans="15:15">
      <c r="O9363" s="4288"/>
    </row>
    <row r="9364" spans="15:15">
      <c r="O9364" s="4288"/>
    </row>
    <row r="9365" spans="15:15">
      <c r="O9365" s="4288"/>
    </row>
    <row r="9366" spans="15:15">
      <c r="O9366" s="4288"/>
    </row>
    <row r="9367" spans="15:15">
      <c r="O9367" s="4288"/>
    </row>
    <row r="9368" spans="15:15">
      <c r="O9368" s="4288"/>
    </row>
    <row r="9369" spans="15:15">
      <c r="O9369" s="4288"/>
    </row>
    <row r="9370" spans="15:15">
      <c r="O9370" s="4288"/>
    </row>
    <row r="9371" spans="15:15">
      <c r="O9371" s="4288"/>
    </row>
    <row r="9372" spans="15:15">
      <c r="O9372" s="4288"/>
    </row>
    <row r="9373" spans="15:15">
      <c r="O9373" s="4288"/>
    </row>
    <row r="9374" spans="15:15">
      <c r="O9374" s="4288"/>
    </row>
    <row r="9375" spans="15:15">
      <c r="O9375" s="4288"/>
    </row>
    <row r="9376" spans="15:15">
      <c r="O9376" s="4288"/>
    </row>
    <row r="9377" spans="15:15">
      <c r="O9377" s="4288"/>
    </row>
    <row r="9378" spans="15:15">
      <c r="O9378" s="4288"/>
    </row>
    <row r="9379" spans="15:15">
      <c r="O9379" s="4288"/>
    </row>
    <row r="9380" spans="15:15">
      <c r="O9380" s="4288"/>
    </row>
    <row r="9381" spans="15:15">
      <c r="O9381" s="4288"/>
    </row>
    <row r="9382" spans="15:15">
      <c r="O9382" s="4288"/>
    </row>
    <row r="9383" spans="15:15">
      <c r="O9383" s="4288"/>
    </row>
    <row r="9384" spans="15:15">
      <c r="O9384" s="4288"/>
    </row>
    <row r="9385" spans="15:15">
      <c r="O9385" s="4288"/>
    </row>
    <row r="9386" spans="15:15">
      <c r="O9386" s="4288"/>
    </row>
    <row r="9387" spans="15:15">
      <c r="O9387" s="4288"/>
    </row>
    <row r="9388" spans="15:15">
      <c r="O9388" s="4288"/>
    </row>
    <row r="9389" spans="15:15">
      <c r="O9389" s="4288"/>
    </row>
    <row r="9390" spans="15:15">
      <c r="O9390" s="4288"/>
    </row>
    <row r="9391" spans="15:15">
      <c r="O9391" s="4288"/>
    </row>
    <row r="9392" spans="15:15">
      <c r="O9392" s="4288"/>
    </row>
    <row r="9393" spans="15:15">
      <c r="O9393" s="4288"/>
    </row>
    <row r="9394" spans="15:15">
      <c r="O9394" s="4288"/>
    </row>
    <row r="9395" spans="15:15">
      <c r="O9395" s="4288"/>
    </row>
    <row r="9396" spans="15:15">
      <c r="O9396" s="4288"/>
    </row>
    <row r="9397" spans="15:15">
      <c r="O9397" s="4288"/>
    </row>
    <row r="9398" spans="15:15">
      <c r="O9398" s="4288"/>
    </row>
    <row r="9399" spans="15:15">
      <c r="O9399" s="4288"/>
    </row>
    <row r="9400" spans="15:15">
      <c r="O9400" s="4288"/>
    </row>
    <row r="9401" spans="15:15">
      <c r="O9401" s="4288"/>
    </row>
    <row r="9402" spans="15:15">
      <c r="O9402" s="4288"/>
    </row>
    <row r="9403" spans="15:15">
      <c r="O9403" s="4288"/>
    </row>
    <row r="9404" spans="15:15">
      <c r="O9404" s="4288"/>
    </row>
    <row r="9405" spans="15:15">
      <c r="O9405" s="4288"/>
    </row>
    <row r="9406" spans="15:15">
      <c r="O9406" s="4288"/>
    </row>
    <row r="9407" spans="15:15">
      <c r="O9407" s="4288"/>
    </row>
    <row r="9408" spans="15:15">
      <c r="O9408" s="4288"/>
    </row>
    <row r="9409" spans="15:15">
      <c r="O9409" s="4288"/>
    </row>
    <row r="9410" spans="15:15">
      <c r="O9410" s="4288"/>
    </row>
    <row r="9411" spans="15:15">
      <c r="O9411" s="4288"/>
    </row>
    <row r="9412" spans="15:15">
      <c r="O9412" s="4288"/>
    </row>
    <row r="9413" spans="15:15">
      <c r="O9413" s="4288"/>
    </row>
    <row r="9414" spans="15:15">
      <c r="O9414" s="4288"/>
    </row>
    <row r="9415" spans="15:15">
      <c r="O9415" s="4288"/>
    </row>
    <row r="9416" spans="15:15">
      <c r="O9416" s="4288"/>
    </row>
    <row r="9417" spans="15:15">
      <c r="O9417" s="4288"/>
    </row>
    <row r="9418" spans="15:15">
      <c r="O9418" s="4288"/>
    </row>
    <row r="9419" spans="15:15">
      <c r="O9419" s="4288"/>
    </row>
    <row r="9420" spans="15:15">
      <c r="O9420" s="4288"/>
    </row>
    <row r="9421" spans="15:15">
      <c r="O9421" s="4288"/>
    </row>
    <row r="9422" spans="15:15">
      <c r="O9422" s="4288"/>
    </row>
    <row r="9423" spans="15:15">
      <c r="O9423" s="4288"/>
    </row>
    <row r="9424" spans="15:15">
      <c r="O9424" s="4288"/>
    </row>
    <row r="9425" spans="15:15">
      <c r="O9425" s="4288"/>
    </row>
    <row r="9426" spans="15:15">
      <c r="O9426" s="4288"/>
    </row>
    <row r="9427" spans="15:15">
      <c r="O9427" s="4288"/>
    </row>
    <row r="9428" spans="15:15">
      <c r="O9428" s="4288"/>
    </row>
    <row r="9429" spans="15:15">
      <c r="O9429" s="4288"/>
    </row>
    <row r="9430" spans="15:15">
      <c r="O9430" s="4288"/>
    </row>
    <row r="9431" spans="15:15">
      <c r="O9431" s="4288"/>
    </row>
    <row r="9432" spans="15:15">
      <c r="O9432" s="4288"/>
    </row>
    <row r="9433" spans="15:15">
      <c r="O9433" s="4288"/>
    </row>
    <row r="9434" spans="15:15">
      <c r="O9434" s="4288"/>
    </row>
    <row r="9435" spans="15:15">
      <c r="O9435" s="4288"/>
    </row>
    <row r="9436" spans="15:15">
      <c r="O9436" s="4288"/>
    </row>
    <row r="9437" spans="15:15">
      <c r="O9437" s="4288"/>
    </row>
    <row r="9438" spans="15:15">
      <c r="O9438" s="4288"/>
    </row>
    <row r="9439" spans="15:15">
      <c r="O9439" s="4288"/>
    </row>
    <row r="9440" spans="15:15">
      <c r="O9440" s="4288"/>
    </row>
    <row r="9441" spans="15:15">
      <c r="O9441" s="4288"/>
    </row>
    <row r="9442" spans="15:15">
      <c r="O9442" s="4288"/>
    </row>
    <row r="9443" spans="15:15">
      <c r="O9443" s="4288"/>
    </row>
    <row r="9444" spans="15:15">
      <c r="O9444" s="4288"/>
    </row>
    <row r="9445" spans="15:15">
      <c r="O9445" s="4288"/>
    </row>
    <row r="9446" spans="15:15">
      <c r="O9446" s="4288"/>
    </row>
    <row r="9447" spans="15:15">
      <c r="O9447" s="4288"/>
    </row>
    <row r="9448" spans="15:15">
      <c r="O9448" s="4288"/>
    </row>
    <row r="9449" spans="15:15">
      <c r="O9449" s="4288"/>
    </row>
    <row r="9450" spans="15:15">
      <c r="O9450" s="4288"/>
    </row>
    <row r="9451" spans="15:15">
      <c r="O9451" s="4288"/>
    </row>
    <row r="9452" spans="15:15">
      <c r="O9452" s="4288"/>
    </row>
    <row r="9453" spans="15:15">
      <c r="O9453" s="4288"/>
    </row>
    <row r="9454" spans="15:15">
      <c r="O9454" s="4288"/>
    </row>
    <row r="9455" spans="15:15">
      <c r="O9455" s="4288"/>
    </row>
    <row r="9456" spans="15:15">
      <c r="O9456" s="4288"/>
    </row>
    <row r="9457" spans="15:15">
      <c r="O9457" s="4288"/>
    </row>
    <row r="9458" spans="15:15">
      <c r="O9458" s="4288"/>
    </row>
    <row r="9459" spans="15:15">
      <c r="O9459" s="4288"/>
    </row>
    <row r="9460" spans="15:15">
      <c r="O9460" s="4288"/>
    </row>
    <row r="9461" spans="15:15">
      <c r="O9461" s="4288"/>
    </row>
    <row r="9462" spans="15:15">
      <c r="O9462" s="4288"/>
    </row>
    <row r="9463" spans="15:15">
      <c r="O9463" s="4288"/>
    </row>
    <row r="9464" spans="15:15">
      <c r="O9464" s="4288"/>
    </row>
    <row r="9465" spans="15:15">
      <c r="O9465" s="4288"/>
    </row>
    <row r="9466" spans="15:15">
      <c r="O9466" s="4288"/>
    </row>
    <row r="9467" spans="15:15">
      <c r="O9467" s="4288"/>
    </row>
    <row r="9468" spans="15:15">
      <c r="O9468" s="4288"/>
    </row>
    <row r="9469" spans="15:15">
      <c r="O9469" s="4288"/>
    </row>
    <row r="9470" spans="15:15">
      <c r="O9470" s="4288"/>
    </row>
    <row r="9471" spans="15:15">
      <c r="O9471" s="4288"/>
    </row>
    <row r="9472" spans="15:15">
      <c r="O9472" s="4288"/>
    </row>
    <row r="9473" spans="15:15">
      <c r="O9473" s="4288"/>
    </row>
    <row r="9474" spans="15:15">
      <c r="O9474" s="4288"/>
    </row>
    <row r="9475" spans="15:15">
      <c r="O9475" s="4288"/>
    </row>
    <row r="9476" spans="15:15">
      <c r="O9476" s="4288"/>
    </row>
    <row r="9477" spans="15:15">
      <c r="O9477" s="4288"/>
    </row>
    <row r="9478" spans="15:15">
      <c r="O9478" s="4288"/>
    </row>
    <row r="9479" spans="15:15">
      <c r="O9479" s="4288"/>
    </row>
    <row r="9480" spans="15:15">
      <c r="O9480" s="4288"/>
    </row>
    <row r="9481" spans="15:15">
      <c r="O9481" s="4288"/>
    </row>
    <row r="9482" spans="15:15">
      <c r="O9482" s="4288"/>
    </row>
    <row r="9483" spans="15:15">
      <c r="O9483" s="4288"/>
    </row>
    <row r="9484" spans="15:15">
      <c r="O9484" s="4288"/>
    </row>
    <row r="9485" spans="15:15">
      <c r="O9485" s="4288"/>
    </row>
    <row r="9486" spans="15:15">
      <c r="O9486" s="4288"/>
    </row>
    <row r="9487" spans="15:15">
      <c r="O9487" s="4288"/>
    </row>
    <row r="9488" spans="15:15">
      <c r="O9488" s="4288"/>
    </row>
    <row r="9489" spans="15:15">
      <c r="O9489" s="4288"/>
    </row>
    <row r="9490" spans="15:15">
      <c r="O9490" s="4288"/>
    </row>
    <row r="9491" spans="15:15">
      <c r="O9491" s="4288"/>
    </row>
    <row r="9492" spans="15:15">
      <c r="O9492" s="4288"/>
    </row>
    <row r="9493" spans="15:15">
      <c r="O9493" s="4288"/>
    </row>
    <row r="9494" spans="15:15">
      <c r="O9494" s="4288"/>
    </row>
    <row r="9495" spans="15:15">
      <c r="O9495" s="4288"/>
    </row>
    <row r="9496" spans="15:15">
      <c r="O9496" s="4288"/>
    </row>
    <row r="9497" spans="15:15">
      <c r="O9497" s="4288"/>
    </row>
    <row r="9498" spans="15:15">
      <c r="O9498" s="4288"/>
    </row>
    <row r="9499" spans="15:15">
      <c r="O9499" s="4288"/>
    </row>
    <row r="9500" spans="15:15">
      <c r="O9500" s="4288"/>
    </row>
    <row r="9501" spans="15:15">
      <c r="O9501" s="4288"/>
    </row>
    <row r="9502" spans="15:15">
      <c r="O9502" s="4288"/>
    </row>
    <row r="9503" spans="15:15">
      <c r="O9503" s="4288"/>
    </row>
    <row r="9504" spans="15:15">
      <c r="O9504" s="4288"/>
    </row>
    <row r="9505" spans="15:15">
      <c r="O9505" s="4288"/>
    </row>
    <row r="9506" spans="15:15">
      <c r="O9506" s="4288"/>
    </row>
    <row r="9507" spans="15:15">
      <c r="O9507" s="4288"/>
    </row>
    <row r="9508" spans="15:15">
      <c r="O9508" s="4288"/>
    </row>
    <row r="9509" spans="15:15">
      <c r="O9509" s="4288"/>
    </row>
    <row r="9510" spans="15:15">
      <c r="O9510" s="4288"/>
    </row>
    <row r="9511" spans="15:15">
      <c r="O9511" s="4288"/>
    </row>
    <row r="9512" spans="15:15">
      <c r="O9512" s="4288"/>
    </row>
    <row r="9513" spans="15:15">
      <c r="O9513" s="4288"/>
    </row>
    <row r="9514" spans="15:15">
      <c r="O9514" s="4288"/>
    </row>
    <row r="9515" spans="15:15">
      <c r="O9515" s="4288"/>
    </row>
    <row r="9516" spans="15:15">
      <c r="O9516" s="4288"/>
    </row>
    <row r="9517" spans="15:15">
      <c r="O9517" s="4288"/>
    </row>
    <row r="9518" spans="15:15">
      <c r="O9518" s="4288"/>
    </row>
    <row r="9519" spans="15:15">
      <c r="O9519" s="4288"/>
    </row>
    <row r="9520" spans="15:15">
      <c r="O9520" s="4288"/>
    </row>
    <row r="9521" spans="15:15">
      <c r="O9521" s="4288"/>
    </row>
    <row r="9522" spans="15:15">
      <c r="O9522" s="4288"/>
    </row>
    <row r="9523" spans="15:15">
      <c r="O9523" s="4288"/>
    </row>
    <row r="9524" spans="15:15">
      <c r="O9524" s="4288"/>
    </row>
    <row r="9525" spans="15:15">
      <c r="O9525" s="4288"/>
    </row>
    <row r="9526" spans="15:15">
      <c r="O9526" s="4288"/>
    </row>
    <row r="9527" spans="15:15">
      <c r="O9527" s="4288"/>
    </row>
    <row r="9528" spans="15:15">
      <c r="O9528" s="4288"/>
    </row>
    <row r="9529" spans="15:15">
      <c r="O9529" s="4288"/>
    </row>
    <row r="9530" spans="15:15">
      <c r="O9530" s="4288"/>
    </row>
    <row r="9531" spans="15:15">
      <c r="O9531" s="4288"/>
    </row>
    <row r="9532" spans="15:15">
      <c r="O9532" s="4288"/>
    </row>
    <row r="9533" spans="15:15">
      <c r="O9533" s="4288"/>
    </row>
    <row r="9534" spans="15:15">
      <c r="O9534" s="4288"/>
    </row>
    <row r="9535" spans="15:15">
      <c r="O9535" s="4288"/>
    </row>
    <row r="9536" spans="15:15">
      <c r="O9536" s="4288"/>
    </row>
    <row r="9537" spans="15:15">
      <c r="O9537" s="4288"/>
    </row>
    <row r="9538" spans="15:15">
      <c r="O9538" s="4288"/>
    </row>
    <row r="9539" spans="15:15">
      <c r="O9539" s="4288"/>
    </row>
    <row r="9540" spans="15:15">
      <c r="O9540" s="4288"/>
    </row>
    <row r="9541" spans="15:15">
      <c r="O9541" s="4288"/>
    </row>
    <row r="9542" spans="15:15">
      <c r="O9542" s="4288"/>
    </row>
    <row r="9543" spans="15:15">
      <c r="O9543" s="4288"/>
    </row>
    <row r="9544" spans="15:15">
      <c r="O9544" s="4288"/>
    </row>
    <row r="9545" spans="15:15">
      <c r="O9545" s="4288"/>
    </row>
    <row r="9546" spans="15:15">
      <c r="O9546" s="4288"/>
    </row>
    <row r="9547" spans="15:15">
      <c r="O9547" s="4288"/>
    </row>
    <row r="9548" spans="15:15">
      <c r="O9548" s="4288"/>
    </row>
    <row r="9549" spans="15:15">
      <c r="O9549" s="4288"/>
    </row>
    <row r="9550" spans="15:15">
      <c r="O9550" s="4288"/>
    </row>
    <row r="9551" spans="15:15">
      <c r="O9551" s="4288"/>
    </row>
    <row r="9552" spans="15:15">
      <c r="O9552" s="4288"/>
    </row>
    <row r="9553" spans="15:15">
      <c r="O9553" s="4288"/>
    </row>
    <row r="9554" spans="15:15">
      <c r="O9554" s="4288"/>
    </row>
    <row r="9555" spans="15:15">
      <c r="O9555" s="4288"/>
    </row>
    <row r="9556" spans="15:15">
      <c r="O9556" s="4288"/>
    </row>
    <row r="9557" spans="15:15">
      <c r="O9557" s="4288"/>
    </row>
    <row r="9558" spans="15:15">
      <c r="O9558" s="4288"/>
    </row>
    <row r="9559" spans="15:15">
      <c r="O9559" s="4288"/>
    </row>
    <row r="9560" spans="15:15">
      <c r="O9560" s="4288"/>
    </row>
    <row r="9561" spans="15:15">
      <c r="O9561" s="4288"/>
    </row>
    <row r="9562" spans="15:15">
      <c r="O9562" s="4288"/>
    </row>
    <row r="9563" spans="15:15">
      <c r="O9563" s="4288"/>
    </row>
    <row r="9564" spans="15:15">
      <c r="O9564" s="4288"/>
    </row>
    <row r="9565" spans="15:15">
      <c r="O9565" s="4288"/>
    </row>
    <row r="9566" spans="15:15">
      <c r="O9566" s="4288"/>
    </row>
    <row r="9567" spans="15:15">
      <c r="O9567" s="4288"/>
    </row>
    <row r="9568" spans="15:15">
      <c r="O9568" s="4288"/>
    </row>
    <row r="9569" spans="15:15">
      <c r="O9569" s="4288"/>
    </row>
    <row r="9570" spans="15:15">
      <c r="O9570" s="4288"/>
    </row>
    <row r="9571" spans="15:15">
      <c r="O9571" s="4288"/>
    </row>
    <row r="9572" spans="15:15">
      <c r="O9572" s="4288"/>
    </row>
    <row r="9573" spans="15:15">
      <c r="O9573" s="4288"/>
    </row>
    <row r="9574" spans="15:15">
      <c r="O9574" s="4288"/>
    </row>
    <row r="9575" spans="15:15">
      <c r="O9575" s="4288"/>
    </row>
    <row r="9576" spans="15:15">
      <c r="O9576" s="4288"/>
    </row>
    <row r="9577" spans="15:15">
      <c r="O9577" s="4288"/>
    </row>
    <row r="9578" spans="15:15">
      <c r="O9578" s="4288"/>
    </row>
    <row r="9579" spans="15:15">
      <c r="O9579" s="4288"/>
    </row>
    <row r="9580" spans="15:15">
      <c r="O9580" s="4288"/>
    </row>
    <row r="9581" spans="15:15">
      <c r="O9581" s="4288"/>
    </row>
    <row r="9582" spans="15:15">
      <c r="O9582" s="4288"/>
    </row>
    <row r="9583" spans="15:15">
      <c r="O9583" s="4288"/>
    </row>
    <row r="9584" spans="15:15">
      <c r="O9584" s="4288"/>
    </row>
    <row r="9585" spans="15:15">
      <c r="O9585" s="4288"/>
    </row>
    <row r="9586" spans="15:15">
      <c r="O9586" s="4288"/>
    </row>
    <row r="9587" spans="15:15">
      <c r="O9587" s="4288"/>
    </row>
    <row r="9588" spans="15:15">
      <c r="O9588" s="4288"/>
    </row>
    <row r="9589" spans="15:15">
      <c r="O9589" s="4288"/>
    </row>
    <row r="9590" spans="15:15">
      <c r="O9590" s="4288"/>
    </row>
    <row r="9591" spans="15:15">
      <c r="O9591" s="4288"/>
    </row>
    <row r="9592" spans="15:15">
      <c r="O9592" s="4288"/>
    </row>
    <row r="9593" spans="15:15">
      <c r="O9593" s="4288"/>
    </row>
    <row r="9594" spans="15:15">
      <c r="O9594" s="4288"/>
    </row>
    <row r="9595" spans="15:15">
      <c r="O9595" s="4288"/>
    </row>
    <row r="9596" spans="15:15">
      <c r="O9596" s="4288"/>
    </row>
    <row r="9597" spans="15:15">
      <c r="O9597" s="4288"/>
    </row>
    <row r="9598" spans="15:15">
      <c r="O9598" s="4288"/>
    </row>
    <row r="9599" spans="15:15">
      <c r="O9599" s="4288"/>
    </row>
    <row r="9600" spans="15:15">
      <c r="O9600" s="4288"/>
    </row>
    <row r="9601" spans="15:15">
      <c r="O9601" s="4288"/>
    </row>
    <row r="9602" spans="15:15">
      <c r="O9602" s="4288"/>
    </row>
    <row r="9603" spans="15:15">
      <c r="O9603" s="4288"/>
    </row>
    <row r="9604" spans="15:15">
      <c r="O9604" s="4288"/>
    </row>
    <row r="9605" spans="15:15">
      <c r="O9605" s="4288"/>
    </row>
    <row r="9606" spans="15:15">
      <c r="O9606" s="4288"/>
    </row>
    <row r="9607" spans="15:15">
      <c r="O9607" s="4288"/>
    </row>
    <row r="9608" spans="15:15">
      <c r="O9608" s="4288"/>
    </row>
    <row r="9609" spans="15:15">
      <c r="O9609" s="4288"/>
    </row>
    <row r="9610" spans="15:15">
      <c r="O9610" s="4288"/>
    </row>
    <row r="9611" spans="15:15">
      <c r="O9611" s="4288"/>
    </row>
    <row r="9612" spans="15:15">
      <c r="O9612" s="4288"/>
    </row>
    <row r="9613" spans="15:15">
      <c r="O9613" s="4288"/>
    </row>
    <row r="9614" spans="15:15">
      <c r="O9614" s="4288"/>
    </row>
    <row r="9615" spans="15:15">
      <c r="O9615" s="4288"/>
    </row>
    <row r="9616" spans="15:15">
      <c r="O9616" s="4288"/>
    </row>
    <row r="9617" spans="15:15">
      <c r="O9617" s="4288"/>
    </row>
    <row r="9618" spans="15:15">
      <c r="O9618" s="4288"/>
    </row>
    <row r="9619" spans="15:15">
      <c r="O9619" s="4288"/>
    </row>
    <row r="9620" spans="15:15">
      <c r="O9620" s="4288"/>
    </row>
    <row r="9621" spans="15:15">
      <c r="O9621" s="4288"/>
    </row>
    <row r="9622" spans="15:15">
      <c r="O9622" s="4288"/>
    </row>
    <row r="9623" spans="15:15">
      <c r="O9623" s="4288"/>
    </row>
    <row r="9624" spans="15:15">
      <c r="O9624" s="4288"/>
    </row>
    <row r="9625" spans="15:15">
      <c r="O9625" s="4288"/>
    </row>
    <row r="9626" spans="15:15">
      <c r="O9626" s="4288"/>
    </row>
    <row r="9627" spans="15:15">
      <c r="O9627" s="4288"/>
    </row>
    <row r="9628" spans="15:15">
      <c r="O9628" s="4288"/>
    </row>
    <row r="9629" spans="15:15">
      <c r="O9629" s="4288"/>
    </row>
    <row r="9630" spans="15:15">
      <c r="O9630" s="4288"/>
    </row>
    <row r="9631" spans="15:15">
      <c r="O9631" s="4288"/>
    </row>
    <row r="9632" spans="15:15">
      <c r="O9632" s="4288"/>
    </row>
    <row r="9633" spans="15:15">
      <c r="O9633" s="4288"/>
    </row>
    <row r="9634" spans="15:15">
      <c r="O9634" s="4288"/>
    </row>
    <row r="9635" spans="15:15">
      <c r="O9635" s="4288"/>
    </row>
    <row r="9636" spans="15:15">
      <c r="O9636" s="4288"/>
    </row>
    <row r="9637" spans="15:15">
      <c r="O9637" s="4288"/>
    </row>
    <row r="9638" spans="15:15">
      <c r="O9638" s="4288"/>
    </row>
    <row r="9639" spans="15:15">
      <c r="O9639" s="4288"/>
    </row>
    <row r="9640" spans="15:15">
      <c r="O9640" s="4288"/>
    </row>
    <row r="9641" spans="15:15">
      <c r="O9641" s="4288"/>
    </row>
    <row r="9642" spans="15:15">
      <c r="O9642" s="4288"/>
    </row>
    <row r="9643" spans="15:15">
      <c r="O9643" s="4288"/>
    </row>
    <row r="9644" spans="15:15">
      <c r="O9644" s="4288"/>
    </row>
    <row r="9645" spans="15:15">
      <c r="O9645" s="4288"/>
    </row>
    <row r="9646" spans="15:15">
      <c r="O9646" s="4288"/>
    </row>
    <row r="9647" spans="15:15">
      <c r="O9647" s="4288"/>
    </row>
    <row r="9648" spans="15:15">
      <c r="O9648" s="4288"/>
    </row>
    <row r="9649" spans="15:15">
      <c r="O9649" s="4288"/>
    </row>
    <row r="9650" spans="15:15">
      <c r="O9650" s="4288"/>
    </row>
    <row r="9651" spans="15:15">
      <c r="O9651" s="4288"/>
    </row>
    <row r="9652" spans="15:15">
      <c r="O9652" s="4288"/>
    </row>
    <row r="9653" spans="15:15">
      <c r="O9653" s="4288"/>
    </row>
    <row r="9654" spans="15:15">
      <c r="O9654" s="4288"/>
    </row>
    <row r="9655" spans="15:15">
      <c r="O9655" s="4288"/>
    </row>
    <row r="9656" spans="15:15">
      <c r="O9656" s="4288"/>
    </row>
    <row r="9657" spans="15:15">
      <c r="O9657" s="4288"/>
    </row>
    <row r="9658" spans="15:15">
      <c r="O9658" s="4288"/>
    </row>
    <row r="9659" spans="15:15">
      <c r="O9659" s="4288"/>
    </row>
    <row r="9660" spans="15:15">
      <c r="O9660" s="4288"/>
    </row>
    <row r="9661" spans="15:15">
      <c r="O9661" s="4288"/>
    </row>
    <row r="9662" spans="15:15">
      <c r="O9662" s="4288"/>
    </row>
    <row r="9663" spans="15:15">
      <c r="O9663" s="4288"/>
    </row>
    <row r="9664" spans="15:15">
      <c r="O9664" s="4288"/>
    </row>
    <row r="9665" spans="15:15">
      <c r="O9665" s="4288"/>
    </row>
    <row r="9666" spans="15:15">
      <c r="O9666" s="4288"/>
    </row>
    <row r="9667" spans="15:15">
      <c r="O9667" s="4288"/>
    </row>
    <row r="9668" spans="15:15">
      <c r="O9668" s="4288"/>
    </row>
    <row r="9669" spans="15:15">
      <c r="O9669" s="4288"/>
    </row>
    <row r="9670" spans="15:15">
      <c r="O9670" s="4288"/>
    </row>
    <row r="9671" spans="15:15">
      <c r="O9671" s="4288"/>
    </row>
    <row r="9672" spans="15:15">
      <c r="O9672" s="4288"/>
    </row>
    <row r="9673" spans="15:15">
      <c r="O9673" s="4288"/>
    </row>
    <row r="9674" spans="15:15">
      <c r="O9674" s="4288"/>
    </row>
    <row r="9675" spans="15:15">
      <c r="O9675" s="4288"/>
    </row>
    <row r="9676" spans="15:15">
      <c r="O9676" s="4288"/>
    </row>
    <row r="9677" spans="15:15">
      <c r="O9677" s="4288"/>
    </row>
    <row r="9678" spans="15:15">
      <c r="O9678" s="4288"/>
    </row>
    <row r="9679" spans="15:15">
      <c r="O9679" s="4288"/>
    </row>
    <row r="9680" spans="15:15">
      <c r="O9680" s="4288"/>
    </row>
    <row r="9681" spans="15:15">
      <c r="O9681" s="4288"/>
    </row>
    <row r="9682" spans="15:15">
      <c r="O9682" s="4288"/>
    </row>
    <row r="9683" spans="15:15">
      <c r="O9683" s="4288"/>
    </row>
    <row r="9684" spans="15:15">
      <c r="O9684" s="4288"/>
    </row>
    <row r="9685" spans="15:15">
      <c r="O9685" s="4288"/>
    </row>
    <row r="9686" spans="15:15">
      <c r="O9686" s="4288"/>
    </row>
    <row r="9687" spans="15:15">
      <c r="O9687" s="4288"/>
    </row>
    <row r="9688" spans="15:15">
      <c r="O9688" s="4288"/>
    </row>
    <row r="9689" spans="15:15">
      <c r="O9689" s="4288"/>
    </row>
    <row r="9690" spans="15:15">
      <c r="O9690" s="4288"/>
    </row>
    <row r="9691" spans="15:15">
      <c r="O9691" s="4288"/>
    </row>
    <row r="9692" spans="15:15">
      <c r="O9692" s="4288"/>
    </row>
    <row r="9693" spans="15:15">
      <c r="O9693" s="4288"/>
    </row>
    <row r="9694" spans="15:15">
      <c r="O9694" s="4288"/>
    </row>
    <row r="9695" spans="15:15">
      <c r="O9695" s="4288"/>
    </row>
    <row r="9696" spans="15:15">
      <c r="O9696" s="4288"/>
    </row>
    <row r="9697" spans="15:15">
      <c r="O9697" s="4288"/>
    </row>
    <row r="9698" spans="15:15">
      <c r="O9698" s="4288"/>
    </row>
    <row r="9699" spans="15:15">
      <c r="O9699" s="4288"/>
    </row>
    <row r="9700" spans="15:15">
      <c r="O9700" s="4288"/>
    </row>
    <row r="9701" spans="15:15">
      <c r="O9701" s="4288"/>
    </row>
    <row r="9702" spans="15:15">
      <c r="O9702" s="4288"/>
    </row>
    <row r="9703" spans="15:15">
      <c r="O9703" s="4288"/>
    </row>
    <row r="9704" spans="15:15">
      <c r="O9704" s="4288"/>
    </row>
    <row r="9705" spans="15:15">
      <c r="O9705" s="4288"/>
    </row>
    <row r="9706" spans="15:15">
      <c r="O9706" s="4288"/>
    </row>
    <row r="9707" spans="15:15">
      <c r="O9707" s="4288"/>
    </row>
    <row r="9708" spans="15:15">
      <c r="O9708" s="4288"/>
    </row>
    <row r="9709" spans="15:15">
      <c r="O9709" s="4288"/>
    </row>
    <row r="9710" spans="15:15">
      <c r="O9710" s="4288"/>
    </row>
    <row r="9711" spans="15:15">
      <c r="O9711" s="4288"/>
    </row>
    <row r="9712" spans="15:15">
      <c r="O9712" s="4288"/>
    </row>
    <row r="9713" spans="15:15">
      <c r="O9713" s="4288"/>
    </row>
    <row r="9714" spans="15:15">
      <c r="O9714" s="4288"/>
    </row>
    <row r="9715" spans="15:15">
      <c r="O9715" s="4288"/>
    </row>
    <row r="9716" spans="15:15">
      <c r="O9716" s="4288"/>
    </row>
    <row r="9717" spans="15:15">
      <c r="O9717" s="4288"/>
    </row>
    <row r="9718" spans="15:15">
      <c r="O9718" s="4288"/>
    </row>
    <row r="9719" spans="15:15">
      <c r="O9719" s="4288"/>
    </row>
    <row r="9720" spans="15:15">
      <c r="O9720" s="4288"/>
    </row>
    <row r="9721" spans="15:15">
      <c r="O9721" s="4288"/>
    </row>
    <row r="9722" spans="15:15">
      <c r="O9722" s="4288"/>
    </row>
    <row r="9723" spans="15:15">
      <c r="O9723" s="4288"/>
    </row>
    <row r="9724" spans="15:15">
      <c r="O9724" s="4288"/>
    </row>
    <row r="9725" spans="15:15">
      <c r="O9725" s="4288"/>
    </row>
    <row r="9726" spans="15:15">
      <c r="O9726" s="4288"/>
    </row>
    <row r="9727" spans="15:15">
      <c r="O9727" s="4288"/>
    </row>
    <row r="9728" spans="15:15">
      <c r="O9728" s="4288"/>
    </row>
    <row r="9729" spans="15:15">
      <c r="O9729" s="4288"/>
    </row>
    <row r="9730" spans="15:15">
      <c r="O9730" s="4288"/>
    </row>
    <row r="9731" spans="15:15">
      <c r="O9731" s="4288"/>
    </row>
    <row r="9732" spans="15:15">
      <c r="O9732" s="4288"/>
    </row>
    <row r="9733" spans="15:15">
      <c r="O9733" s="4288"/>
    </row>
    <row r="9734" spans="15:15">
      <c r="O9734" s="4288"/>
    </row>
    <row r="9735" spans="15:15">
      <c r="O9735" s="4288"/>
    </row>
    <row r="9736" spans="15:15">
      <c r="O9736" s="4288"/>
    </row>
    <row r="9737" spans="15:15">
      <c r="O9737" s="4288"/>
    </row>
    <row r="9738" spans="15:15">
      <c r="O9738" s="4288"/>
    </row>
    <row r="9739" spans="15:15">
      <c r="O9739" s="4288"/>
    </row>
    <row r="9740" spans="15:15">
      <c r="O9740" s="4288"/>
    </row>
    <row r="9741" spans="15:15">
      <c r="O9741" s="4288"/>
    </row>
    <row r="9742" spans="15:15">
      <c r="O9742" s="4288"/>
    </row>
    <row r="9743" spans="15:15">
      <c r="O9743" s="4288"/>
    </row>
    <row r="9744" spans="15:15">
      <c r="O9744" s="4288"/>
    </row>
    <row r="9745" spans="15:15">
      <c r="O9745" s="4288"/>
    </row>
    <row r="9746" spans="15:15">
      <c r="O9746" s="4288"/>
    </row>
    <row r="9747" spans="15:15">
      <c r="O9747" s="4288"/>
    </row>
    <row r="9748" spans="15:15">
      <c r="O9748" s="4288"/>
    </row>
    <row r="9749" spans="15:15">
      <c r="O9749" s="4288"/>
    </row>
    <row r="9750" spans="15:15">
      <c r="O9750" s="4288"/>
    </row>
    <row r="9751" spans="15:15">
      <c r="O9751" s="4288"/>
    </row>
    <row r="9752" spans="15:15">
      <c r="O9752" s="4288"/>
    </row>
    <row r="9753" spans="15:15">
      <c r="O9753" s="4288"/>
    </row>
    <row r="9754" spans="15:15">
      <c r="O9754" s="4288"/>
    </row>
    <row r="9755" spans="15:15">
      <c r="O9755" s="4288"/>
    </row>
    <row r="9756" spans="15:15">
      <c r="O9756" s="4288"/>
    </row>
    <row r="9757" spans="15:15">
      <c r="O9757" s="4288"/>
    </row>
    <row r="9758" spans="15:15">
      <c r="O9758" s="4288"/>
    </row>
    <row r="9759" spans="15:15">
      <c r="O9759" s="4288"/>
    </row>
    <row r="9760" spans="15:15">
      <c r="O9760" s="4288"/>
    </row>
    <row r="9761" spans="15:15">
      <c r="O9761" s="4288"/>
    </row>
    <row r="9762" spans="15:15">
      <c r="O9762" s="4288"/>
    </row>
    <row r="9763" spans="15:15">
      <c r="O9763" s="4288"/>
    </row>
    <row r="9764" spans="15:15">
      <c r="O9764" s="4288"/>
    </row>
    <row r="9765" spans="15:15">
      <c r="O9765" s="4288"/>
    </row>
    <row r="9766" spans="15:15">
      <c r="O9766" s="4288"/>
    </row>
    <row r="9767" spans="15:15">
      <c r="O9767" s="4288"/>
    </row>
    <row r="9768" spans="15:15">
      <c r="O9768" s="4288"/>
    </row>
    <row r="9769" spans="15:15">
      <c r="O9769" s="4288"/>
    </row>
    <row r="9770" spans="15:15">
      <c r="O9770" s="4288"/>
    </row>
    <row r="9771" spans="15:15">
      <c r="O9771" s="4288"/>
    </row>
    <row r="9772" spans="15:15">
      <c r="O9772" s="4288"/>
    </row>
    <row r="9773" spans="15:15">
      <c r="O9773" s="4288"/>
    </row>
    <row r="9774" spans="15:15">
      <c r="O9774" s="4288"/>
    </row>
    <row r="9775" spans="15:15">
      <c r="O9775" s="4288"/>
    </row>
    <row r="9776" spans="15:15">
      <c r="O9776" s="4288"/>
    </row>
    <row r="9777" spans="15:15">
      <c r="O9777" s="4288"/>
    </row>
    <row r="9778" spans="15:15">
      <c r="O9778" s="4288"/>
    </row>
    <row r="9779" spans="15:15">
      <c r="O9779" s="4288"/>
    </row>
    <row r="9780" spans="15:15">
      <c r="O9780" s="4288"/>
    </row>
    <row r="9781" spans="15:15">
      <c r="O9781" s="4288"/>
    </row>
    <row r="9782" spans="15:15">
      <c r="O9782" s="4288"/>
    </row>
    <row r="9783" spans="15:15">
      <c r="O9783" s="4288"/>
    </row>
    <row r="9784" spans="15:15">
      <c r="O9784" s="4288"/>
    </row>
    <row r="9785" spans="15:15">
      <c r="O9785" s="4288"/>
    </row>
    <row r="9786" spans="15:15">
      <c r="O9786" s="4288"/>
    </row>
    <row r="9787" spans="15:15">
      <c r="O9787" s="4288"/>
    </row>
    <row r="9788" spans="15:15">
      <c r="O9788" s="4288"/>
    </row>
    <row r="9789" spans="15:15">
      <c r="O9789" s="4288"/>
    </row>
    <row r="9790" spans="15:15">
      <c r="O9790" s="4288"/>
    </row>
    <row r="9791" spans="15:15">
      <c r="O9791" s="4288"/>
    </row>
    <row r="9792" spans="15:15">
      <c r="O9792" s="4288"/>
    </row>
    <row r="9793" spans="15:15">
      <c r="O9793" s="4288"/>
    </row>
    <row r="9794" spans="15:15">
      <c r="O9794" s="4288"/>
    </row>
    <row r="9795" spans="15:15">
      <c r="O9795" s="4288"/>
    </row>
    <row r="9796" spans="15:15">
      <c r="O9796" s="4288"/>
    </row>
    <row r="9797" spans="15:15">
      <c r="O9797" s="4288"/>
    </row>
    <row r="9798" spans="15:15">
      <c r="O9798" s="4288"/>
    </row>
    <row r="9799" spans="15:15">
      <c r="O9799" s="4288"/>
    </row>
    <row r="9800" spans="15:15">
      <c r="O9800" s="4288"/>
    </row>
    <row r="9801" spans="15:15">
      <c r="O9801" s="4288"/>
    </row>
    <row r="9802" spans="15:15">
      <c r="O9802" s="4288"/>
    </row>
    <row r="9803" spans="15:15">
      <c r="O9803" s="4288"/>
    </row>
    <row r="9804" spans="15:15">
      <c r="O9804" s="4288"/>
    </row>
    <row r="9805" spans="15:15">
      <c r="O9805" s="4288"/>
    </row>
    <row r="9806" spans="15:15">
      <c r="O9806" s="4288"/>
    </row>
    <row r="9807" spans="15:15">
      <c r="O9807" s="4288"/>
    </row>
    <row r="9808" spans="15:15">
      <c r="O9808" s="4288"/>
    </row>
    <row r="9809" spans="15:15">
      <c r="O9809" s="4288"/>
    </row>
    <row r="9810" spans="15:15">
      <c r="O9810" s="4288"/>
    </row>
    <row r="9811" spans="15:15">
      <c r="O9811" s="4288"/>
    </row>
    <row r="9812" spans="15:15">
      <c r="O9812" s="4288"/>
    </row>
    <row r="9813" spans="15:15">
      <c r="O9813" s="4288"/>
    </row>
    <row r="9814" spans="15:15">
      <c r="O9814" s="4288"/>
    </row>
    <row r="9815" spans="15:15">
      <c r="O9815" s="4288"/>
    </row>
    <row r="9816" spans="15:15">
      <c r="O9816" s="4288"/>
    </row>
    <row r="9817" spans="15:15">
      <c r="O9817" s="4288"/>
    </row>
    <row r="9818" spans="15:15">
      <c r="O9818" s="4288"/>
    </row>
    <row r="9819" spans="15:15">
      <c r="O9819" s="4288"/>
    </row>
    <row r="9820" spans="15:15">
      <c r="O9820" s="4288"/>
    </row>
    <row r="9821" spans="15:15">
      <c r="O9821" s="4288"/>
    </row>
    <row r="9822" spans="15:15">
      <c r="O9822" s="4288"/>
    </row>
    <row r="9823" spans="15:15">
      <c r="O9823" s="4288"/>
    </row>
    <row r="9824" spans="15:15">
      <c r="O9824" s="4288"/>
    </row>
    <row r="9825" spans="15:15">
      <c r="O9825" s="4288"/>
    </row>
    <row r="9826" spans="15:15">
      <c r="O9826" s="4288"/>
    </row>
    <row r="9827" spans="15:15">
      <c r="O9827" s="4288"/>
    </row>
    <row r="9828" spans="15:15">
      <c r="O9828" s="4288"/>
    </row>
    <row r="9829" spans="15:15">
      <c r="O9829" s="4288"/>
    </row>
    <row r="9830" spans="15:15">
      <c r="O9830" s="4288"/>
    </row>
    <row r="9831" spans="15:15">
      <c r="O9831" s="4288"/>
    </row>
    <row r="9832" spans="15:15">
      <c r="O9832" s="4288"/>
    </row>
    <row r="9833" spans="15:15">
      <c r="O9833" s="4288"/>
    </row>
    <row r="9834" spans="15:15">
      <c r="O9834" s="4288"/>
    </row>
    <row r="9835" spans="15:15">
      <c r="O9835" s="4288"/>
    </row>
    <row r="9836" spans="15:15">
      <c r="O9836" s="4288"/>
    </row>
    <row r="9837" spans="15:15">
      <c r="O9837" s="4288"/>
    </row>
    <row r="9838" spans="15:15">
      <c r="O9838" s="4288"/>
    </row>
    <row r="9839" spans="15:15">
      <c r="O9839" s="4288"/>
    </row>
    <row r="9840" spans="15:15">
      <c r="O9840" s="4288"/>
    </row>
    <row r="9841" spans="15:15">
      <c r="O9841" s="4288"/>
    </row>
    <row r="9842" spans="15:15">
      <c r="O9842" s="4288"/>
    </row>
    <row r="9843" spans="15:15">
      <c r="O9843" s="4288"/>
    </row>
    <row r="9844" spans="15:15">
      <c r="O9844" s="4288"/>
    </row>
    <row r="9845" spans="15:15">
      <c r="O9845" s="4288"/>
    </row>
    <row r="9846" spans="15:15">
      <c r="O9846" s="4288"/>
    </row>
    <row r="9847" spans="15:15">
      <c r="O9847" s="4288"/>
    </row>
    <row r="9848" spans="15:15">
      <c r="O9848" s="4288"/>
    </row>
    <row r="9849" spans="15:15">
      <c r="O9849" s="4288"/>
    </row>
    <row r="9850" spans="15:15">
      <c r="O9850" s="4288"/>
    </row>
    <row r="9851" spans="15:15">
      <c r="O9851" s="4288"/>
    </row>
    <row r="9852" spans="15:15">
      <c r="O9852" s="4288"/>
    </row>
    <row r="9853" spans="15:15">
      <c r="O9853" s="4288"/>
    </row>
    <row r="9854" spans="15:15">
      <c r="O9854" s="4288"/>
    </row>
    <row r="9855" spans="15:15">
      <c r="O9855" s="4288"/>
    </row>
    <row r="9856" spans="15:15">
      <c r="O9856" s="4288"/>
    </row>
    <row r="9857" spans="15:15">
      <c r="O9857" s="4288"/>
    </row>
    <row r="9858" spans="15:15">
      <c r="O9858" s="4288"/>
    </row>
    <row r="9859" spans="15:15">
      <c r="O9859" s="4288"/>
    </row>
    <row r="9860" spans="15:15">
      <c r="O9860" s="4288"/>
    </row>
    <row r="9861" spans="15:15">
      <c r="O9861" s="4288"/>
    </row>
    <row r="9862" spans="15:15">
      <c r="O9862" s="4288"/>
    </row>
    <row r="9863" spans="15:15">
      <c r="O9863" s="4288"/>
    </row>
    <row r="9864" spans="15:15">
      <c r="O9864" s="4288"/>
    </row>
    <row r="9865" spans="15:15">
      <c r="O9865" s="4288"/>
    </row>
    <row r="9866" spans="15:15">
      <c r="O9866" s="4288"/>
    </row>
    <row r="9867" spans="15:15">
      <c r="O9867" s="4288"/>
    </row>
    <row r="9868" spans="15:15">
      <c r="O9868" s="4288"/>
    </row>
    <row r="9869" spans="15:15">
      <c r="O9869" s="4288"/>
    </row>
    <row r="9870" spans="15:15">
      <c r="O9870" s="4288"/>
    </row>
    <row r="9871" spans="15:15">
      <c r="O9871" s="4288"/>
    </row>
    <row r="9872" spans="15:15">
      <c r="O9872" s="4288"/>
    </row>
    <row r="9873" spans="15:15">
      <c r="O9873" s="4288"/>
    </row>
    <row r="9874" spans="15:15">
      <c r="O9874" s="4288"/>
    </row>
    <row r="9875" spans="15:15">
      <c r="O9875" s="4288"/>
    </row>
    <row r="9876" spans="15:15">
      <c r="O9876" s="4288"/>
    </row>
    <row r="9877" spans="15:15">
      <c r="O9877" s="4288"/>
    </row>
    <row r="9878" spans="15:15">
      <c r="O9878" s="4288"/>
    </row>
    <row r="9879" spans="15:15">
      <c r="O9879" s="4288"/>
    </row>
    <row r="9880" spans="15:15">
      <c r="O9880" s="4288"/>
    </row>
    <row r="9881" spans="15:15">
      <c r="O9881" s="4288"/>
    </row>
    <row r="9882" spans="15:15">
      <c r="O9882" s="4288"/>
    </row>
    <row r="9883" spans="15:15">
      <c r="O9883" s="4288"/>
    </row>
    <row r="9884" spans="15:15">
      <c r="O9884" s="4288"/>
    </row>
    <row r="9885" spans="15:15">
      <c r="O9885" s="4288"/>
    </row>
    <row r="9886" spans="15:15">
      <c r="O9886" s="4288"/>
    </row>
    <row r="9887" spans="15:15">
      <c r="O9887" s="4288"/>
    </row>
    <row r="9888" spans="15:15">
      <c r="O9888" s="4288"/>
    </row>
    <row r="9889" spans="15:15">
      <c r="O9889" s="4288"/>
    </row>
    <row r="9890" spans="15:15">
      <c r="O9890" s="4288"/>
    </row>
    <row r="9891" spans="15:15">
      <c r="O9891" s="4288"/>
    </row>
    <row r="9892" spans="15:15">
      <c r="O9892" s="4288"/>
    </row>
    <row r="9893" spans="15:15">
      <c r="O9893" s="4288"/>
    </row>
    <row r="9894" spans="15:15">
      <c r="O9894" s="4288"/>
    </row>
    <row r="9895" spans="15:15">
      <c r="O9895" s="4288"/>
    </row>
    <row r="9896" spans="15:15">
      <c r="O9896" s="4288"/>
    </row>
    <row r="9897" spans="15:15">
      <c r="O9897" s="4288"/>
    </row>
    <row r="9898" spans="15:15">
      <c r="O9898" s="4288"/>
    </row>
    <row r="9899" spans="15:15">
      <c r="O9899" s="4288"/>
    </row>
    <row r="9900" spans="15:15">
      <c r="O9900" s="4288"/>
    </row>
    <row r="9901" spans="15:15">
      <c r="O9901" s="4288"/>
    </row>
    <row r="9902" spans="15:15">
      <c r="O9902" s="4288"/>
    </row>
    <row r="9903" spans="15:15">
      <c r="O9903" s="4288"/>
    </row>
    <row r="9904" spans="15:15">
      <c r="O9904" s="4288"/>
    </row>
    <row r="9905" spans="15:15">
      <c r="O9905" s="4288"/>
    </row>
    <row r="9906" spans="15:15">
      <c r="O9906" s="4288"/>
    </row>
    <row r="9907" spans="15:15">
      <c r="O9907" s="4288"/>
    </row>
    <row r="9908" spans="15:15">
      <c r="O9908" s="4288"/>
    </row>
    <row r="9909" spans="15:15">
      <c r="O9909" s="4288"/>
    </row>
    <row r="9910" spans="15:15">
      <c r="O9910" s="4288"/>
    </row>
    <row r="9911" spans="15:15">
      <c r="O9911" s="4288"/>
    </row>
    <row r="9912" spans="15:15">
      <c r="O9912" s="4288"/>
    </row>
    <row r="9913" spans="15:15">
      <c r="O9913" s="4288"/>
    </row>
    <row r="9914" spans="15:15">
      <c r="O9914" s="4288"/>
    </row>
    <row r="9915" spans="15:15">
      <c r="O9915" s="4288"/>
    </row>
    <row r="9916" spans="15:15">
      <c r="O9916" s="4288"/>
    </row>
    <row r="9917" spans="15:15">
      <c r="O9917" s="4288"/>
    </row>
    <row r="9918" spans="15:15">
      <c r="O9918" s="4288"/>
    </row>
    <row r="9919" spans="15:15">
      <c r="O9919" s="4288"/>
    </row>
    <row r="9920" spans="15:15">
      <c r="O9920" s="4288"/>
    </row>
    <row r="9921" spans="15:15">
      <c r="O9921" s="4288"/>
    </row>
    <row r="9922" spans="15:15">
      <c r="O9922" s="4288"/>
    </row>
    <row r="9923" spans="15:15">
      <c r="O9923" s="4288"/>
    </row>
    <row r="9924" spans="15:15">
      <c r="O9924" s="4288"/>
    </row>
    <row r="9925" spans="15:15">
      <c r="O9925" s="4288"/>
    </row>
    <row r="9926" spans="15:15">
      <c r="O9926" s="4288"/>
    </row>
    <row r="9927" spans="15:15">
      <c r="O9927" s="4288"/>
    </row>
    <row r="9928" spans="15:15">
      <c r="O9928" s="4288"/>
    </row>
    <row r="9929" spans="15:15">
      <c r="O9929" s="4288"/>
    </row>
    <row r="9930" spans="15:15">
      <c r="O9930" s="4288"/>
    </row>
    <row r="9931" spans="15:15">
      <c r="O9931" s="4288"/>
    </row>
    <row r="9932" spans="15:15">
      <c r="O9932" s="4288"/>
    </row>
    <row r="9933" spans="15:15">
      <c r="O9933" s="4288"/>
    </row>
    <row r="9934" spans="15:15">
      <c r="O9934" s="4288"/>
    </row>
    <row r="9935" spans="15:15">
      <c r="O9935" s="4288"/>
    </row>
    <row r="9936" spans="15:15">
      <c r="O9936" s="4288"/>
    </row>
    <row r="9937" spans="15:15">
      <c r="O9937" s="4288"/>
    </row>
    <row r="9938" spans="15:15">
      <c r="O9938" s="4288"/>
    </row>
    <row r="9939" spans="15:15">
      <c r="O9939" s="4288"/>
    </row>
    <row r="9940" spans="15:15">
      <c r="O9940" s="4288"/>
    </row>
    <row r="9941" spans="15:15">
      <c r="O9941" s="4288"/>
    </row>
    <row r="9942" spans="15:15">
      <c r="O9942" s="4288"/>
    </row>
    <row r="9943" spans="15:15">
      <c r="O9943" s="4288"/>
    </row>
    <row r="9944" spans="15:15">
      <c r="O9944" s="4288"/>
    </row>
    <row r="9945" spans="15:15">
      <c r="O9945" s="4288"/>
    </row>
    <row r="9946" spans="15:15">
      <c r="O9946" s="4288"/>
    </row>
    <row r="9947" spans="15:15">
      <c r="O9947" s="4288"/>
    </row>
    <row r="9948" spans="15:15">
      <c r="O9948" s="4288"/>
    </row>
    <row r="9949" spans="15:15">
      <c r="O9949" s="4288"/>
    </row>
    <row r="9950" spans="15:15">
      <c r="O9950" s="4288"/>
    </row>
    <row r="9951" spans="15:15">
      <c r="O9951" s="4288"/>
    </row>
    <row r="9952" spans="15:15">
      <c r="O9952" s="4288"/>
    </row>
    <row r="9953" spans="15:15">
      <c r="O9953" s="4288"/>
    </row>
    <row r="9954" spans="15:15">
      <c r="O9954" s="4288"/>
    </row>
    <row r="9955" spans="15:15">
      <c r="O9955" s="4288"/>
    </row>
    <row r="9956" spans="15:15">
      <c r="O9956" s="4288"/>
    </row>
    <row r="9957" spans="15:15">
      <c r="O9957" s="4288"/>
    </row>
    <row r="9958" spans="15:15">
      <c r="O9958" s="4288"/>
    </row>
    <row r="9959" spans="15:15">
      <c r="O9959" s="4288"/>
    </row>
    <row r="9960" spans="15:15">
      <c r="O9960" s="4288"/>
    </row>
    <row r="9961" spans="15:15">
      <c r="O9961" s="4288"/>
    </row>
    <row r="9962" spans="15:15">
      <c r="O9962" s="4288"/>
    </row>
    <row r="9963" spans="15:15">
      <c r="O9963" s="4288"/>
    </row>
    <row r="9964" spans="15:15">
      <c r="O9964" s="4288"/>
    </row>
    <row r="9965" spans="15:15">
      <c r="O9965" s="4288"/>
    </row>
    <row r="9966" spans="15:15">
      <c r="O9966" s="4288"/>
    </row>
    <row r="9967" spans="15:15">
      <c r="O9967" s="4288"/>
    </row>
    <row r="9968" spans="15:15">
      <c r="O9968" s="4288"/>
    </row>
    <row r="9969" spans="15:15">
      <c r="O9969" s="4288"/>
    </row>
    <row r="9970" spans="15:15">
      <c r="O9970" s="4288"/>
    </row>
    <row r="9971" spans="15:15">
      <c r="O9971" s="4288"/>
    </row>
    <row r="9972" spans="15:15">
      <c r="O9972" s="4288"/>
    </row>
    <row r="9973" spans="15:15">
      <c r="O9973" s="4288"/>
    </row>
    <row r="9974" spans="15:15">
      <c r="O9974" s="4288"/>
    </row>
    <row r="9975" spans="15:15">
      <c r="O9975" s="4288"/>
    </row>
    <row r="9976" spans="15:15">
      <c r="O9976" s="4288"/>
    </row>
    <row r="9977" spans="15:15">
      <c r="O9977" s="4288"/>
    </row>
    <row r="9978" spans="15:15">
      <c r="O9978" s="4288"/>
    </row>
    <row r="9979" spans="15:15">
      <c r="O9979" s="4288"/>
    </row>
    <row r="9980" spans="15:15">
      <c r="O9980" s="4288"/>
    </row>
    <row r="9981" spans="15:15">
      <c r="O9981" s="4288"/>
    </row>
    <row r="9982" spans="15:15">
      <c r="O9982" s="4288"/>
    </row>
    <row r="9983" spans="15:15">
      <c r="O9983" s="4288"/>
    </row>
    <row r="9984" spans="15:15">
      <c r="O9984" s="4288"/>
    </row>
    <row r="9985" spans="15:15">
      <c r="O9985" s="4288"/>
    </row>
    <row r="9986" spans="15:15">
      <c r="O9986" s="4288"/>
    </row>
    <row r="9987" spans="15:15">
      <c r="O9987" s="4288"/>
    </row>
    <row r="9988" spans="15:15">
      <c r="O9988" s="4288"/>
    </row>
    <row r="9989" spans="15:15">
      <c r="O9989" s="4288"/>
    </row>
    <row r="9990" spans="15:15">
      <c r="O9990" s="4288"/>
    </row>
    <row r="9991" spans="15:15">
      <c r="O9991" s="4288"/>
    </row>
    <row r="9992" spans="15:15">
      <c r="O9992" s="4288"/>
    </row>
    <row r="9993" spans="15:15">
      <c r="O9993" s="4288"/>
    </row>
    <row r="9994" spans="15:15">
      <c r="O9994" s="4288"/>
    </row>
    <row r="9995" spans="15:15">
      <c r="O9995" s="4288"/>
    </row>
    <row r="9996" spans="15:15">
      <c r="O9996" s="4288"/>
    </row>
    <row r="9997" spans="15:15">
      <c r="O9997" s="4288"/>
    </row>
    <row r="9998" spans="15:15">
      <c r="O9998" s="4288"/>
    </row>
    <row r="9999" spans="15:15">
      <c r="O9999" s="4288"/>
    </row>
    <row r="10000" spans="15:15">
      <c r="O10000" s="4288"/>
    </row>
    <row r="10001" spans="15:15">
      <c r="O10001" s="4288"/>
    </row>
    <row r="10002" spans="15:15">
      <c r="O10002" s="4288"/>
    </row>
    <row r="10003" spans="15:15">
      <c r="O10003" s="4288"/>
    </row>
    <row r="10004" spans="15:15">
      <c r="O10004" s="4288"/>
    </row>
    <row r="10005" spans="15:15">
      <c r="O10005" s="4288"/>
    </row>
    <row r="10006" spans="15:15">
      <c r="O10006" s="4288"/>
    </row>
    <row r="10007" spans="15:15">
      <c r="O10007" s="4288"/>
    </row>
    <row r="10008" spans="15:15">
      <c r="O10008" s="4288"/>
    </row>
    <row r="10009" spans="15:15">
      <c r="O10009" s="4288"/>
    </row>
    <row r="10010" spans="15:15">
      <c r="O10010" s="4288"/>
    </row>
    <row r="10011" spans="15:15">
      <c r="O10011" s="4288"/>
    </row>
    <row r="10012" spans="15:15">
      <c r="O10012" s="4288"/>
    </row>
    <row r="10013" spans="15:15">
      <c r="O10013" s="4288"/>
    </row>
    <row r="10014" spans="15:15">
      <c r="O10014" s="4288"/>
    </row>
    <row r="10015" spans="15:15">
      <c r="O10015" s="4288"/>
    </row>
    <row r="10016" spans="15:15">
      <c r="O10016" s="4288"/>
    </row>
    <row r="10017" spans="15:15">
      <c r="O10017" s="4288"/>
    </row>
    <row r="10018" spans="15:15">
      <c r="O10018" s="4288"/>
    </row>
    <row r="10019" spans="15:15">
      <c r="O10019" s="4288"/>
    </row>
    <row r="10020" spans="15:15">
      <c r="O10020" s="4288"/>
    </row>
    <row r="10021" spans="15:15">
      <c r="O10021" s="4288"/>
    </row>
    <row r="10022" spans="15:15">
      <c r="O10022" s="4288"/>
    </row>
    <row r="10023" spans="15:15">
      <c r="O10023" s="4288"/>
    </row>
    <row r="10024" spans="15:15">
      <c r="O10024" s="4288"/>
    </row>
    <row r="10025" spans="15:15">
      <c r="O10025" s="4288"/>
    </row>
    <row r="10026" spans="15:15">
      <c r="O10026" s="4288"/>
    </row>
    <row r="10027" spans="15:15">
      <c r="O10027" s="4288"/>
    </row>
    <row r="10028" spans="15:15">
      <c r="O10028" s="4288"/>
    </row>
    <row r="10029" spans="15:15">
      <c r="O10029" s="4288"/>
    </row>
    <row r="10030" spans="15:15">
      <c r="O10030" s="4288"/>
    </row>
    <row r="10031" spans="15:15">
      <c r="O10031" s="4288"/>
    </row>
    <row r="10032" spans="15:15">
      <c r="O10032" s="4288"/>
    </row>
    <row r="10033" spans="15:15">
      <c r="O10033" s="4288"/>
    </row>
    <row r="10034" spans="15:15">
      <c r="O10034" s="4288"/>
    </row>
    <row r="10035" spans="15:15">
      <c r="O10035" s="4288"/>
    </row>
    <row r="10036" spans="15:15">
      <c r="O10036" s="4288"/>
    </row>
    <row r="10037" spans="15:15">
      <c r="O10037" s="4288"/>
    </row>
    <row r="10038" spans="15:15">
      <c r="O10038" s="4288"/>
    </row>
    <row r="10039" spans="15:15">
      <c r="O10039" s="4288"/>
    </row>
    <row r="10040" spans="15:15">
      <c r="O10040" s="4288"/>
    </row>
    <row r="10041" spans="15:15">
      <c r="O10041" s="4288"/>
    </row>
    <row r="10042" spans="15:15">
      <c r="O10042" s="4288"/>
    </row>
    <row r="10043" spans="15:15">
      <c r="O10043" s="4288"/>
    </row>
    <row r="10044" spans="15:15">
      <c r="O10044" s="4288"/>
    </row>
    <row r="10045" spans="15:15">
      <c r="O10045" s="4288"/>
    </row>
    <row r="10046" spans="15:15">
      <c r="O10046" s="4288"/>
    </row>
    <row r="10047" spans="15:15">
      <c r="O10047" s="4288"/>
    </row>
    <row r="10048" spans="15:15">
      <c r="O10048" s="4288"/>
    </row>
    <row r="10049" spans="15:15">
      <c r="O10049" s="4288"/>
    </row>
    <row r="10050" spans="15:15">
      <c r="O10050" s="4288"/>
    </row>
    <row r="10051" spans="15:15">
      <c r="O10051" s="4288"/>
    </row>
    <row r="10052" spans="15:15">
      <c r="O10052" s="4288"/>
    </row>
    <row r="10053" spans="15:15">
      <c r="O10053" s="4288"/>
    </row>
    <row r="10054" spans="15:15">
      <c r="O10054" s="4288"/>
    </row>
    <row r="10055" spans="15:15">
      <c r="O10055" s="4288"/>
    </row>
    <row r="10056" spans="15:15">
      <c r="O10056" s="4288"/>
    </row>
    <row r="10057" spans="15:15">
      <c r="O10057" s="4288"/>
    </row>
    <row r="10058" spans="15:15">
      <c r="O10058" s="4288"/>
    </row>
    <row r="10059" spans="15:15">
      <c r="O10059" s="4288"/>
    </row>
    <row r="10060" spans="15:15">
      <c r="O10060" s="4288"/>
    </row>
    <row r="10061" spans="15:15">
      <c r="O10061" s="4288"/>
    </row>
    <row r="10062" spans="15:15">
      <c r="O10062" s="4288"/>
    </row>
    <row r="10063" spans="15:15">
      <c r="O10063" s="4288"/>
    </row>
    <row r="10064" spans="15:15">
      <c r="O10064" s="4288"/>
    </row>
    <row r="10065" spans="15:15">
      <c r="O10065" s="4288"/>
    </row>
    <row r="10066" spans="15:15">
      <c r="O10066" s="4288"/>
    </row>
    <row r="10067" spans="15:15">
      <c r="O10067" s="4288"/>
    </row>
    <row r="10068" spans="15:15">
      <c r="O10068" s="4288"/>
    </row>
    <row r="10069" spans="15:15">
      <c r="O10069" s="4288"/>
    </row>
    <row r="10070" spans="15:15">
      <c r="O10070" s="4288"/>
    </row>
    <row r="10071" spans="15:15">
      <c r="O10071" s="4288"/>
    </row>
    <row r="10072" spans="15:15">
      <c r="O10072" s="4288"/>
    </row>
    <row r="10073" spans="15:15">
      <c r="O10073" s="4288"/>
    </row>
    <row r="10074" spans="15:15">
      <c r="O10074" s="4288"/>
    </row>
    <row r="10075" spans="15:15">
      <c r="O10075" s="4288"/>
    </row>
    <row r="10076" spans="15:15">
      <c r="O10076" s="4288"/>
    </row>
    <row r="10077" spans="15:15">
      <c r="O10077" s="4288"/>
    </row>
    <row r="10078" spans="15:15">
      <c r="O10078" s="4288"/>
    </row>
    <row r="10079" spans="15:15">
      <c r="O10079" s="4288"/>
    </row>
    <row r="10080" spans="15:15">
      <c r="O10080" s="4288"/>
    </row>
    <row r="10081" spans="15:15">
      <c r="O10081" s="4288"/>
    </row>
    <row r="10082" spans="15:15">
      <c r="O10082" s="4288"/>
    </row>
    <row r="10083" spans="15:15">
      <c r="O10083" s="4288"/>
    </row>
    <row r="10084" spans="15:15">
      <c r="O10084" s="4288"/>
    </row>
    <row r="10085" spans="15:15">
      <c r="O10085" s="4288"/>
    </row>
    <row r="10086" spans="15:15">
      <c r="O10086" s="4288"/>
    </row>
    <row r="10087" spans="15:15">
      <c r="O10087" s="4288"/>
    </row>
    <row r="10088" spans="15:15">
      <c r="O10088" s="4288"/>
    </row>
    <row r="10089" spans="15:15">
      <c r="O10089" s="4288"/>
    </row>
    <row r="10090" spans="15:15">
      <c r="O10090" s="4288"/>
    </row>
    <row r="10091" spans="15:15">
      <c r="O10091" s="4288"/>
    </row>
    <row r="10092" spans="15:15">
      <c r="O10092" s="4288"/>
    </row>
    <row r="10093" spans="15:15">
      <c r="O10093" s="4288"/>
    </row>
    <row r="10094" spans="15:15">
      <c r="O10094" s="4288"/>
    </row>
    <row r="10095" spans="15:15">
      <c r="O10095" s="4288"/>
    </row>
    <row r="10096" spans="15:15">
      <c r="O10096" s="4288"/>
    </row>
    <row r="10097" spans="15:15">
      <c r="O10097" s="4288"/>
    </row>
    <row r="10098" spans="15:15">
      <c r="O10098" s="4288"/>
    </row>
    <row r="10099" spans="15:15">
      <c r="O10099" s="4288"/>
    </row>
    <row r="10100" spans="15:15">
      <c r="O10100" s="4288"/>
    </row>
    <row r="10101" spans="15:15">
      <c r="O10101" s="4288"/>
    </row>
    <row r="10102" spans="15:15">
      <c r="O10102" s="4288"/>
    </row>
    <row r="10103" spans="15:15">
      <c r="O10103" s="4288"/>
    </row>
    <row r="10104" spans="15:15">
      <c r="O10104" s="4288"/>
    </row>
    <row r="10105" spans="15:15">
      <c r="O10105" s="4288"/>
    </row>
    <row r="10106" spans="15:15">
      <c r="O10106" s="4288"/>
    </row>
    <row r="10107" spans="15:15">
      <c r="O10107" s="4288"/>
    </row>
    <row r="10108" spans="15:15">
      <c r="O10108" s="4288"/>
    </row>
    <row r="10109" spans="15:15">
      <c r="O10109" s="4288"/>
    </row>
    <row r="10110" spans="15:15">
      <c r="O10110" s="4288"/>
    </row>
    <row r="10111" spans="15:15">
      <c r="O10111" s="4288"/>
    </row>
    <row r="10112" spans="15:15">
      <c r="O10112" s="4288"/>
    </row>
    <row r="10113" spans="15:15">
      <c r="O10113" s="4288"/>
    </row>
    <row r="10114" spans="15:15">
      <c r="O10114" s="4288"/>
    </row>
    <row r="10115" spans="15:15">
      <c r="O10115" s="4288"/>
    </row>
    <row r="10116" spans="15:15">
      <c r="O10116" s="4288"/>
    </row>
    <row r="10117" spans="15:15">
      <c r="O10117" s="4288"/>
    </row>
    <row r="10118" spans="15:15">
      <c r="O10118" s="4288"/>
    </row>
    <row r="10119" spans="15:15">
      <c r="O10119" s="4288"/>
    </row>
    <row r="10120" spans="15:15">
      <c r="O10120" s="4288"/>
    </row>
    <row r="10121" spans="15:15">
      <c r="O10121" s="4288"/>
    </row>
    <row r="10122" spans="15:15">
      <c r="O10122" s="4288"/>
    </row>
    <row r="10123" spans="15:15">
      <c r="O10123" s="4288"/>
    </row>
    <row r="10124" spans="15:15">
      <c r="O10124" s="4288"/>
    </row>
    <row r="10125" spans="15:15">
      <c r="O10125" s="4288"/>
    </row>
    <row r="10126" spans="15:15">
      <c r="O10126" s="4288"/>
    </row>
    <row r="10127" spans="15:15">
      <c r="O10127" s="4288"/>
    </row>
    <row r="10128" spans="15:15">
      <c r="O10128" s="4288"/>
    </row>
    <row r="10129" spans="15:15">
      <c r="O10129" s="4288"/>
    </row>
    <row r="10130" spans="15:15">
      <c r="O10130" s="4288"/>
    </row>
    <row r="10131" spans="15:15">
      <c r="O10131" s="4288"/>
    </row>
    <row r="10132" spans="15:15">
      <c r="O10132" s="4288"/>
    </row>
    <row r="10133" spans="15:15">
      <c r="O10133" s="4288"/>
    </row>
    <row r="10134" spans="15:15">
      <c r="O10134" s="4288"/>
    </row>
    <row r="10135" spans="15:15">
      <c r="O10135" s="4288"/>
    </row>
    <row r="10136" spans="15:15">
      <c r="O10136" s="4288"/>
    </row>
    <row r="10137" spans="15:15">
      <c r="O10137" s="4288"/>
    </row>
    <row r="10138" spans="15:15">
      <c r="O10138" s="4288"/>
    </row>
    <row r="10139" spans="15:15">
      <c r="O10139" s="4288"/>
    </row>
    <row r="10140" spans="15:15">
      <c r="O10140" s="4288"/>
    </row>
    <row r="10141" spans="15:15">
      <c r="O10141" s="4288"/>
    </row>
    <row r="10142" spans="15:15">
      <c r="O10142" s="4288"/>
    </row>
    <row r="10143" spans="15:15">
      <c r="O10143" s="4288"/>
    </row>
    <row r="10144" spans="15:15">
      <c r="O10144" s="4288"/>
    </row>
    <row r="10145" spans="15:15">
      <c r="O10145" s="4288"/>
    </row>
    <row r="10146" spans="15:15">
      <c r="O10146" s="4288"/>
    </row>
    <row r="10147" spans="15:15">
      <c r="O10147" s="4288"/>
    </row>
    <row r="10148" spans="15:15">
      <c r="O10148" s="4288"/>
    </row>
    <row r="10149" spans="15:15">
      <c r="O10149" s="4288"/>
    </row>
    <row r="10150" spans="15:15">
      <c r="O10150" s="4288"/>
    </row>
    <row r="10151" spans="15:15">
      <c r="O10151" s="4288"/>
    </row>
    <row r="10152" spans="15:15">
      <c r="O10152" s="4288"/>
    </row>
    <row r="10153" spans="15:15">
      <c r="O10153" s="4288"/>
    </row>
    <row r="10154" spans="15:15">
      <c r="O10154" s="4288"/>
    </row>
    <row r="10155" spans="15:15">
      <c r="O10155" s="4288"/>
    </row>
    <row r="10156" spans="15:15">
      <c r="O10156" s="4288"/>
    </row>
    <row r="10157" spans="15:15">
      <c r="O10157" s="4288"/>
    </row>
    <row r="10158" spans="15:15">
      <c r="O10158" s="4288"/>
    </row>
    <row r="10159" spans="15:15">
      <c r="O10159" s="4288"/>
    </row>
    <row r="10160" spans="15:15">
      <c r="O10160" s="4288"/>
    </row>
    <row r="10161" spans="15:15">
      <c r="O10161" s="4288"/>
    </row>
    <row r="10162" spans="15:15">
      <c r="O10162" s="4288"/>
    </row>
    <row r="10163" spans="15:15">
      <c r="O10163" s="4288"/>
    </row>
    <row r="10164" spans="15:15">
      <c r="O10164" s="4288"/>
    </row>
    <row r="10165" spans="15:15">
      <c r="O10165" s="4288"/>
    </row>
    <row r="10166" spans="15:15">
      <c r="O10166" s="4288"/>
    </row>
    <row r="10167" spans="15:15">
      <c r="O10167" s="4288"/>
    </row>
    <row r="10168" spans="15:15">
      <c r="O10168" s="4288"/>
    </row>
    <row r="10169" spans="15:15">
      <c r="O10169" s="4288"/>
    </row>
    <row r="10170" spans="15:15">
      <c r="O10170" s="4288"/>
    </row>
    <row r="10171" spans="15:15">
      <c r="O10171" s="4288"/>
    </row>
    <row r="10172" spans="15:15">
      <c r="O10172" s="4288"/>
    </row>
    <row r="10173" spans="15:15">
      <c r="O10173" s="4288"/>
    </row>
    <row r="10174" spans="15:15">
      <c r="O10174" s="4288"/>
    </row>
    <row r="10175" spans="15:15">
      <c r="O10175" s="4288"/>
    </row>
    <row r="10176" spans="15:15">
      <c r="O10176" s="4288"/>
    </row>
    <row r="10177" spans="15:15">
      <c r="O10177" s="4288"/>
    </row>
    <row r="10178" spans="15:15">
      <c r="O10178" s="4288"/>
    </row>
    <row r="10179" spans="15:15">
      <c r="O10179" s="4288"/>
    </row>
    <row r="10180" spans="15:15">
      <c r="O10180" s="4288"/>
    </row>
    <row r="10181" spans="15:15">
      <c r="O10181" s="4288"/>
    </row>
    <row r="10182" spans="15:15">
      <c r="O10182" s="4288"/>
    </row>
    <row r="10183" spans="15:15">
      <c r="O10183" s="4288"/>
    </row>
    <row r="10184" spans="15:15">
      <c r="O10184" s="4288"/>
    </row>
    <row r="10185" spans="15:15">
      <c r="O10185" s="4288"/>
    </row>
    <row r="10186" spans="15:15">
      <c r="O10186" s="4288"/>
    </row>
    <row r="10187" spans="15:15">
      <c r="O10187" s="4288"/>
    </row>
    <row r="10188" spans="15:15">
      <c r="O10188" s="4288"/>
    </row>
    <row r="10189" spans="15:15">
      <c r="O10189" s="4288"/>
    </row>
    <row r="10190" spans="15:15">
      <c r="O10190" s="4288"/>
    </row>
    <row r="10191" spans="15:15">
      <c r="O10191" s="4288"/>
    </row>
    <row r="10192" spans="15:15">
      <c r="O10192" s="4288"/>
    </row>
    <row r="10193" spans="15:15">
      <c r="O10193" s="4288"/>
    </row>
    <row r="10194" spans="15:15">
      <c r="O10194" s="4288"/>
    </row>
    <row r="10195" spans="15:15">
      <c r="O10195" s="4288"/>
    </row>
    <row r="10196" spans="15:15">
      <c r="O10196" s="4288"/>
    </row>
    <row r="10197" spans="15:15">
      <c r="O10197" s="4288"/>
    </row>
    <row r="10198" spans="15:15">
      <c r="O10198" s="4288"/>
    </row>
    <row r="10199" spans="15:15">
      <c r="O10199" s="4288"/>
    </row>
    <row r="10200" spans="15:15">
      <c r="O10200" s="4288"/>
    </row>
    <row r="10201" spans="15:15">
      <c r="O10201" s="4288"/>
    </row>
    <row r="10202" spans="15:15">
      <c r="O10202" s="4288"/>
    </row>
    <row r="10203" spans="15:15">
      <c r="O10203" s="4288"/>
    </row>
    <row r="10204" spans="15:15">
      <c r="O10204" s="4288"/>
    </row>
    <row r="10205" spans="15:15">
      <c r="O10205" s="4288"/>
    </row>
    <row r="10206" spans="15:15">
      <c r="O10206" s="4288"/>
    </row>
    <row r="10207" spans="15:15">
      <c r="O10207" s="4288"/>
    </row>
    <row r="10208" spans="15:15">
      <c r="O10208" s="4288"/>
    </row>
    <row r="10209" spans="15:15">
      <c r="O10209" s="4288"/>
    </row>
    <row r="10210" spans="15:15">
      <c r="O10210" s="4288"/>
    </row>
    <row r="10211" spans="15:15">
      <c r="O10211" s="4288"/>
    </row>
    <row r="10212" spans="15:15">
      <c r="O10212" s="4288"/>
    </row>
    <row r="10213" spans="15:15">
      <c r="O10213" s="4288"/>
    </row>
    <row r="10214" spans="15:15">
      <c r="O10214" s="4288"/>
    </row>
    <row r="10215" spans="15:15">
      <c r="O10215" s="4288"/>
    </row>
    <row r="10216" spans="15:15">
      <c r="O10216" s="4288"/>
    </row>
    <row r="10217" spans="15:15">
      <c r="O10217" s="4288"/>
    </row>
    <row r="10218" spans="15:15">
      <c r="O10218" s="4288"/>
    </row>
    <row r="10219" spans="15:15">
      <c r="O10219" s="4288"/>
    </row>
    <row r="10220" spans="15:15">
      <c r="O10220" s="4288"/>
    </row>
    <row r="10221" spans="15:15">
      <c r="O10221" s="4288"/>
    </row>
    <row r="10222" spans="15:15">
      <c r="O10222" s="4288"/>
    </row>
    <row r="10223" spans="15:15">
      <c r="O10223" s="4288"/>
    </row>
    <row r="10224" spans="15:15">
      <c r="O10224" s="4288"/>
    </row>
    <row r="10225" spans="15:15">
      <c r="O10225" s="4288"/>
    </row>
    <row r="10226" spans="15:15">
      <c r="O10226" s="4288"/>
    </row>
    <row r="10227" spans="15:15">
      <c r="O10227" s="4288"/>
    </row>
    <row r="10228" spans="15:15">
      <c r="O10228" s="4288"/>
    </row>
    <row r="10229" spans="15:15">
      <c r="O10229" s="4288"/>
    </row>
    <row r="10230" spans="15:15">
      <c r="O10230" s="4288"/>
    </row>
    <row r="10231" spans="15:15">
      <c r="O10231" s="4288"/>
    </row>
    <row r="10232" spans="15:15">
      <c r="O10232" s="4288"/>
    </row>
    <row r="10233" spans="15:15">
      <c r="O10233" s="4288"/>
    </row>
    <row r="10234" spans="15:15">
      <c r="O10234" s="4288"/>
    </row>
    <row r="10235" spans="15:15">
      <c r="O10235" s="4288"/>
    </row>
    <row r="10236" spans="15:15">
      <c r="O10236" s="4288"/>
    </row>
    <row r="10237" spans="15:15">
      <c r="O10237" s="4288"/>
    </row>
    <row r="10238" spans="15:15">
      <c r="O10238" s="4288"/>
    </row>
    <row r="10239" spans="15:15">
      <c r="O10239" s="4288"/>
    </row>
    <row r="10240" spans="15:15">
      <c r="O10240" s="4288"/>
    </row>
    <row r="10241" spans="15:15">
      <c r="O10241" s="4288"/>
    </row>
    <row r="10242" spans="15:15">
      <c r="O10242" s="4288"/>
    </row>
    <row r="10243" spans="15:15">
      <c r="O10243" s="4288"/>
    </row>
    <row r="10244" spans="15:15">
      <c r="O10244" s="4288"/>
    </row>
    <row r="10245" spans="15:15">
      <c r="O10245" s="4288"/>
    </row>
    <row r="10246" spans="15:15">
      <c r="O10246" s="4288"/>
    </row>
    <row r="10247" spans="15:15">
      <c r="O10247" s="4288"/>
    </row>
    <row r="10248" spans="15:15">
      <c r="O10248" s="4288"/>
    </row>
    <row r="10249" spans="15:15">
      <c r="O10249" s="4288"/>
    </row>
    <row r="10250" spans="15:15">
      <c r="O10250" s="4288"/>
    </row>
    <row r="10251" spans="15:15">
      <c r="O10251" s="4288"/>
    </row>
    <row r="10252" spans="15:15">
      <c r="O10252" s="4288"/>
    </row>
    <row r="10253" spans="15:15">
      <c r="O10253" s="4288"/>
    </row>
    <row r="10254" spans="15:15">
      <c r="O10254" s="4288"/>
    </row>
    <row r="10255" spans="15:15">
      <c r="O10255" s="4288"/>
    </row>
    <row r="10256" spans="15:15">
      <c r="O10256" s="4288"/>
    </row>
    <row r="10257" spans="15:15">
      <c r="O10257" s="4288"/>
    </row>
    <row r="10258" spans="15:15">
      <c r="O10258" s="4288"/>
    </row>
    <row r="10259" spans="15:15">
      <c r="O10259" s="4288"/>
    </row>
    <row r="10260" spans="15:15">
      <c r="O10260" s="4288"/>
    </row>
    <row r="10261" spans="15:15">
      <c r="O10261" s="4288"/>
    </row>
    <row r="10262" spans="15:15">
      <c r="O10262" s="4288"/>
    </row>
    <row r="10263" spans="15:15">
      <c r="O10263" s="4288"/>
    </row>
    <row r="10264" spans="15:15">
      <c r="O10264" s="4288"/>
    </row>
    <row r="10265" spans="15:15">
      <c r="O10265" s="4288"/>
    </row>
    <row r="10266" spans="15:15">
      <c r="O10266" s="4288"/>
    </row>
    <row r="10267" spans="15:15">
      <c r="O10267" s="4288"/>
    </row>
    <row r="10268" spans="15:15">
      <c r="O10268" s="4288"/>
    </row>
    <row r="10269" spans="15:15">
      <c r="O10269" s="4288"/>
    </row>
    <row r="10270" spans="15:15">
      <c r="O10270" s="4288"/>
    </row>
    <row r="10271" spans="15:15">
      <c r="O10271" s="4288"/>
    </row>
    <row r="10272" spans="15:15">
      <c r="O10272" s="4288"/>
    </row>
    <row r="10273" spans="15:15">
      <c r="O10273" s="4288"/>
    </row>
    <row r="10274" spans="15:15">
      <c r="O10274" s="4288"/>
    </row>
    <row r="10275" spans="15:15">
      <c r="O10275" s="4288"/>
    </row>
    <row r="10276" spans="15:15">
      <c r="O10276" s="4288"/>
    </row>
    <row r="10277" spans="15:15">
      <c r="O10277" s="4288"/>
    </row>
    <row r="10278" spans="15:15">
      <c r="O10278" s="4288"/>
    </row>
    <row r="10279" spans="15:15">
      <c r="O10279" s="4288"/>
    </row>
    <row r="10280" spans="15:15">
      <c r="O10280" s="4288"/>
    </row>
    <row r="10281" spans="15:15">
      <c r="O10281" s="4288"/>
    </row>
    <row r="10282" spans="15:15">
      <c r="O10282" s="4288"/>
    </row>
    <row r="10283" spans="15:15">
      <c r="O10283" s="4288"/>
    </row>
    <row r="10284" spans="15:15">
      <c r="O10284" s="4288"/>
    </row>
    <row r="10285" spans="15:15">
      <c r="O10285" s="4288"/>
    </row>
    <row r="10286" spans="15:15">
      <c r="O10286" s="4288"/>
    </row>
    <row r="10287" spans="15:15">
      <c r="O10287" s="4288"/>
    </row>
    <row r="10288" spans="15:15">
      <c r="O10288" s="4288"/>
    </row>
    <row r="10289" spans="15:15">
      <c r="O10289" s="4288"/>
    </row>
    <row r="10290" spans="15:15">
      <c r="O10290" s="4288"/>
    </row>
    <row r="10291" spans="15:15">
      <c r="O10291" s="4288"/>
    </row>
    <row r="10292" spans="15:15">
      <c r="O10292" s="4288"/>
    </row>
    <row r="10293" spans="15:15">
      <c r="O10293" s="4288"/>
    </row>
    <row r="10294" spans="15:15">
      <c r="O10294" s="4288"/>
    </row>
    <row r="10295" spans="15:15">
      <c r="O10295" s="4288"/>
    </row>
    <row r="10296" spans="15:15">
      <c r="O10296" s="4288"/>
    </row>
    <row r="10297" spans="15:15">
      <c r="O10297" s="4288"/>
    </row>
    <row r="10298" spans="15:15">
      <c r="O10298" s="4288"/>
    </row>
    <row r="10299" spans="15:15">
      <c r="O10299" s="4288"/>
    </row>
    <row r="10300" spans="15:15">
      <c r="O10300" s="4288"/>
    </row>
    <row r="10301" spans="15:15">
      <c r="O10301" s="4288"/>
    </row>
    <row r="10302" spans="15:15">
      <c r="O10302" s="4288"/>
    </row>
    <row r="10303" spans="15:15">
      <c r="O10303" s="4288"/>
    </row>
    <row r="10304" spans="15:15">
      <c r="O10304" s="4288"/>
    </row>
    <row r="10305" spans="15:15">
      <c r="O10305" s="4288"/>
    </row>
    <row r="10306" spans="15:15">
      <c r="O10306" s="4288"/>
    </row>
    <row r="10307" spans="15:15">
      <c r="O10307" s="4288"/>
    </row>
    <row r="10308" spans="15:15">
      <c r="O10308" s="4288"/>
    </row>
    <row r="10309" spans="15:15">
      <c r="O10309" s="4288"/>
    </row>
    <row r="10310" spans="15:15">
      <c r="O10310" s="4288"/>
    </row>
    <row r="10311" spans="15:15">
      <c r="O10311" s="4288"/>
    </row>
    <row r="10312" spans="15:15">
      <c r="O10312" s="4288"/>
    </row>
    <row r="10313" spans="15:15">
      <c r="O10313" s="4288"/>
    </row>
    <row r="10314" spans="15:15">
      <c r="O10314" s="4288"/>
    </row>
    <row r="10315" spans="15:15">
      <c r="O10315" s="4288"/>
    </row>
    <row r="10316" spans="15:15">
      <c r="O10316" s="4288"/>
    </row>
    <row r="10317" spans="15:15">
      <c r="O10317" s="4288"/>
    </row>
    <row r="10318" spans="15:15">
      <c r="O10318" s="4288"/>
    </row>
    <row r="10319" spans="15:15">
      <c r="O10319" s="4288"/>
    </row>
    <row r="10320" spans="15:15">
      <c r="O10320" s="4288"/>
    </row>
    <row r="10321" spans="15:15">
      <c r="O10321" s="4288"/>
    </row>
    <row r="10322" spans="15:15">
      <c r="O10322" s="4288"/>
    </row>
    <row r="10323" spans="15:15">
      <c r="O10323" s="4288"/>
    </row>
    <row r="10324" spans="15:15">
      <c r="O10324" s="4288"/>
    </row>
    <row r="10325" spans="15:15">
      <c r="O10325" s="4288"/>
    </row>
    <row r="10326" spans="15:15">
      <c r="O10326" s="4288"/>
    </row>
    <row r="10327" spans="15:15">
      <c r="O10327" s="4288"/>
    </row>
    <row r="10328" spans="15:15">
      <c r="O10328" s="4288"/>
    </row>
    <row r="10329" spans="15:15">
      <c r="O10329" s="4288"/>
    </row>
    <row r="10330" spans="15:15">
      <c r="O10330" s="4288"/>
    </row>
    <row r="10331" spans="15:15">
      <c r="O10331" s="4288"/>
    </row>
    <row r="10332" spans="15:15">
      <c r="O10332" s="4288"/>
    </row>
    <row r="10333" spans="15:15">
      <c r="O10333" s="4288"/>
    </row>
    <row r="10334" spans="15:15">
      <c r="O10334" s="4288"/>
    </row>
    <row r="10335" spans="15:15">
      <c r="O10335" s="4288"/>
    </row>
    <row r="10336" spans="15:15">
      <c r="O10336" s="4288"/>
    </row>
    <row r="10337" spans="15:15">
      <c r="O10337" s="4288"/>
    </row>
    <row r="10338" spans="15:15">
      <c r="O10338" s="4288"/>
    </row>
    <row r="10339" spans="15:15">
      <c r="O10339" s="4288"/>
    </row>
    <row r="10340" spans="15:15">
      <c r="O10340" s="4288"/>
    </row>
    <row r="10341" spans="15:15">
      <c r="O10341" s="4288"/>
    </row>
    <row r="10342" spans="15:15">
      <c r="O10342" s="4288"/>
    </row>
    <row r="10343" spans="15:15">
      <c r="O10343" s="4288"/>
    </row>
    <row r="10344" spans="15:15">
      <c r="O10344" s="4288"/>
    </row>
    <row r="10345" spans="15:15">
      <c r="O10345" s="4288"/>
    </row>
    <row r="10346" spans="15:15">
      <c r="O10346" s="4288"/>
    </row>
    <row r="10347" spans="15:15">
      <c r="O10347" s="4288"/>
    </row>
    <row r="10348" spans="15:15">
      <c r="O10348" s="4288"/>
    </row>
    <row r="10349" spans="15:15">
      <c r="O10349" s="4288"/>
    </row>
    <row r="10350" spans="15:15">
      <c r="O10350" s="4288"/>
    </row>
    <row r="10351" spans="15:15">
      <c r="O10351" s="4288"/>
    </row>
    <row r="10352" spans="15:15">
      <c r="O10352" s="4288"/>
    </row>
    <row r="10353" spans="15:15">
      <c r="O10353" s="4288"/>
    </row>
    <row r="10354" spans="15:15">
      <c r="O10354" s="4288"/>
    </row>
    <row r="10355" spans="15:15">
      <c r="O10355" s="4288"/>
    </row>
    <row r="10356" spans="15:15">
      <c r="O10356" s="4288"/>
    </row>
    <row r="10357" spans="15:15">
      <c r="O10357" s="4288"/>
    </row>
    <row r="10358" spans="15:15">
      <c r="O10358" s="4288"/>
    </row>
    <row r="10359" spans="15:15">
      <c r="O10359" s="4288"/>
    </row>
    <row r="10360" spans="15:15">
      <c r="O10360" s="4288"/>
    </row>
    <row r="10361" spans="15:15">
      <c r="O10361" s="4288"/>
    </row>
    <row r="10362" spans="15:15">
      <c r="O10362" s="4288"/>
    </row>
    <row r="10363" spans="15:15">
      <c r="O10363" s="4288"/>
    </row>
    <row r="10364" spans="15:15">
      <c r="O10364" s="4288"/>
    </row>
    <row r="10365" spans="15:15">
      <c r="O10365" s="4288"/>
    </row>
    <row r="10366" spans="15:15">
      <c r="O10366" s="4288"/>
    </row>
    <row r="10367" spans="15:15">
      <c r="O10367" s="4288"/>
    </row>
    <row r="10368" spans="15:15">
      <c r="O10368" s="4288"/>
    </row>
    <row r="10369" spans="15:15">
      <c r="O10369" s="4288"/>
    </row>
    <row r="10370" spans="15:15">
      <c r="O10370" s="4288"/>
    </row>
    <row r="10371" spans="15:15">
      <c r="O10371" s="4288"/>
    </row>
    <row r="10372" spans="15:15">
      <c r="O10372" s="4288"/>
    </row>
    <row r="10373" spans="15:15">
      <c r="O10373" s="4288"/>
    </row>
    <row r="10374" spans="15:15">
      <c r="O10374" s="4288"/>
    </row>
    <row r="10375" spans="15:15">
      <c r="O10375" s="4288"/>
    </row>
    <row r="10376" spans="15:15">
      <c r="O10376" s="4288"/>
    </row>
    <row r="10377" spans="15:15">
      <c r="O10377" s="4288"/>
    </row>
    <row r="10378" spans="15:15">
      <c r="O10378" s="4288"/>
    </row>
    <row r="10379" spans="15:15">
      <c r="O10379" s="4288"/>
    </row>
    <row r="10380" spans="15:15">
      <c r="O10380" s="4288"/>
    </row>
    <row r="10381" spans="15:15">
      <c r="O10381" s="4288"/>
    </row>
    <row r="10382" spans="15:15">
      <c r="O10382" s="4288"/>
    </row>
    <row r="10383" spans="15:15">
      <c r="O10383" s="4288"/>
    </row>
    <row r="10384" spans="15:15">
      <c r="O10384" s="4288"/>
    </row>
    <row r="10385" spans="15:15">
      <c r="O10385" s="4288"/>
    </row>
    <row r="10386" spans="15:15">
      <c r="O10386" s="4288"/>
    </row>
    <row r="10387" spans="15:15">
      <c r="O10387" s="4288"/>
    </row>
    <row r="10388" spans="15:15">
      <c r="O10388" s="4288"/>
    </row>
    <row r="10389" spans="15:15">
      <c r="O10389" s="4288"/>
    </row>
    <row r="10390" spans="15:15">
      <c r="O10390" s="4288"/>
    </row>
    <row r="10391" spans="15:15">
      <c r="O10391" s="4288"/>
    </row>
    <row r="10392" spans="15:15">
      <c r="O10392" s="4288"/>
    </row>
    <row r="10393" spans="15:15">
      <c r="O10393" s="4288"/>
    </row>
    <row r="10394" spans="15:15">
      <c r="O10394" s="4288"/>
    </row>
    <row r="10395" spans="15:15">
      <c r="O10395" s="4288"/>
    </row>
    <row r="10396" spans="15:15">
      <c r="O10396" s="4288"/>
    </row>
    <row r="10397" spans="15:15">
      <c r="O10397" s="4288"/>
    </row>
    <row r="10398" spans="15:15">
      <c r="O10398" s="4288"/>
    </row>
    <row r="10399" spans="15:15">
      <c r="O10399" s="4288"/>
    </row>
    <row r="10400" spans="15:15">
      <c r="O10400" s="4288"/>
    </row>
    <row r="10401" spans="15:15">
      <c r="O10401" s="4288"/>
    </row>
    <row r="10402" spans="15:15">
      <c r="O10402" s="4288"/>
    </row>
    <row r="10403" spans="15:15">
      <c r="O10403" s="4288"/>
    </row>
    <row r="10404" spans="15:15">
      <c r="O10404" s="4288"/>
    </row>
    <row r="10405" spans="15:15">
      <c r="O10405" s="4288"/>
    </row>
    <row r="10406" spans="15:15">
      <c r="O10406" s="4288"/>
    </row>
    <row r="10407" spans="15:15">
      <c r="O10407" s="4288"/>
    </row>
    <row r="10408" spans="15:15">
      <c r="O10408" s="4288"/>
    </row>
    <row r="10409" spans="15:15">
      <c r="O10409" s="4288"/>
    </row>
    <row r="10410" spans="15:15">
      <c r="O10410" s="4288"/>
    </row>
    <row r="10411" spans="15:15">
      <c r="O10411" s="4288"/>
    </row>
    <row r="10412" spans="15:15">
      <c r="O10412" s="4288"/>
    </row>
    <row r="10413" spans="15:15">
      <c r="O10413" s="4288"/>
    </row>
    <row r="10414" spans="15:15">
      <c r="O10414" s="4288"/>
    </row>
    <row r="10415" spans="15:15">
      <c r="O10415" s="4288"/>
    </row>
    <row r="10416" spans="15:15">
      <c r="O10416" s="4288"/>
    </row>
    <row r="10417" spans="15:15">
      <c r="O10417" s="4288"/>
    </row>
    <row r="10418" spans="15:15">
      <c r="O10418" s="4288"/>
    </row>
    <row r="10419" spans="15:15">
      <c r="O10419" s="4288"/>
    </row>
    <row r="10420" spans="15:15">
      <c r="O10420" s="4288"/>
    </row>
    <row r="10421" spans="15:15">
      <c r="O10421" s="4288"/>
    </row>
    <row r="10422" spans="15:15">
      <c r="O10422" s="4288"/>
    </row>
    <row r="10423" spans="15:15">
      <c r="O10423" s="4288"/>
    </row>
    <row r="10424" spans="15:15">
      <c r="O10424" s="4288"/>
    </row>
    <row r="10425" spans="15:15">
      <c r="O10425" s="4288"/>
    </row>
    <row r="10426" spans="15:15">
      <c r="O10426" s="4288"/>
    </row>
    <row r="10427" spans="15:15">
      <c r="O10427" s="4288"/>
    </row>
    <row r="10428" spans="15:15">
      <c r="O10428" s="4288"/>
    </row>
    <row r="10429" spans="15:15">
      <c r="O10429" s="4288"/>
    </row>
    <row r="10430" spans="15:15">
      <c r="O10430" s="4288"/>
    </row>
    <row r="10431" spans="15:15">
      <c r="O10431" s="4288"/>
    </row>
    <row r="10432" spans="15:15">
      <c r="O10432" s="4288"/>
    </row>
    <row r="10433" spans="15:15">
      <c r="O10433" s="4288"/>
    </row>
    <row r="10434" spans="15:15">
      <c r="O10434" s="4288"/>
    </row>
    <row r="10435" spans="15:15">
      <c r="O10435" s="4288"/>
    </row>
    <row r="10436" spans="15:15">
      <c r="O10436" s="4288"/>
    </row>
    <row r="10437" spans="15:15">
      <c r="O10437" s="4288"/>
    </row>
    <row r="10438" spans="15:15">
      <c r="O10438" s="4288"/>
    </row>
    <row r="10439" spans="15:15">
      <c r="O10439" s="4288"/>
    </row>
    <row r="10440" spans="15:15">
      <c r="O10440" s="4288"/>
    </row>
    <row r="10441" spans="15:15">
      <c r="O10441" s="4288"/>
    </row>
    <row r="10442" spans="15:15">
      <c r="O10442" s="4288"/>
    </row>
    <row r="10443" spans="15:15">
      <c r="O10443" s="4288"/>
    </row>
    <row r="10444" spans="15:15">
      <c r="O10444" s="4288"/>
    </row>
    <row r="10445" spans="15:15">
      <c r="O10445" s="4288"/>
    </row>
    <row r="10446" spans="15:15">
      <c r="O10446" s="4288"/>
    </row>
    <row r="10447" spans="15:15">
      <c r="O10447" s="4288"/>
    </row>
    <row r="10448" spans="15:15">
      <c r="O10448" s="4288"/>
    </row>
    <row r="10449" spans="15:15">
      <c r="O10449" s="4288"/>
    </row>
    <row r="10450" spans="15:15">
      <c r="O10450" s="4288"/>
    </row>
    <row r="10451" spans="15:15">
      <c r="O10451" s="4288"/>
    </row>
    <row r="10452" spans="15:15">
      <c r="O10452" s="4288"/>
    </row>
    <row r="10453" spans="15:15">
      <c r="O10453" s="4288"/>
    </row>
    <row r="10454" spans="15:15">
      <c r="O10454" s="4288"/>
    </row>
    <row r="10455" spans="15:15">
      <c r="O10455" s="4288"/>
    </row>
    <row r="10456" spans="15:15">
      <c r="O10456" s="4288"/>
    </row>
    <row r="10457" spans="15:15">
      <c r="O10457" s="4288"/>
    </row>
    <row r="10458" spans="15:15">
      <c r="O10458" s="4288"/>
    </row>
    <row r="10459" spans="15:15">
      <c r="O10459" s="4288"/>
    </row>
    <row r="10460" spans="15:15">
      <c r="O10460" s="4288"/>
    </row>
    <row r="10461" spans="15:15">
      <c r="O10461" s="4288"/>
    </row>
    <row r="10462" spans="15:15">
      <c r="O10462" s="4288"/>
    </row>
    <row r="10463" spans="15:15">
      <c r="O10463" s="4288"/>
    </row>
    <row r="10464" spans="15:15">
      <c r="O10464" s="4288"/>
    </row>
    <row r="10465" spans="15:15">
      <c r="O10465" s="4288"/>
    </row>
    <row r="10466" spans="15:15">
      <c r="O10466" s="4288"/>
    </row>
    <row r="10467" spans="15:15">
      <c r="O10467" s="4288"/>
    </row>
    <row r="10468" spans="15:15">
      <c r="O10468" s="4288"/>
    </row>
    <row r="10469" spans="15:15">
      <c r="O10469" s="4288"/>
    </row>
    <row r="10470" spans="15:15">
      <c r="O10470" s="4288"/>
    </row>
    <row r="10471" spans="15:15">
      <c r="O10471" s="4288"/>
    </row>
    <row r="10472" spans="15:15">
      <c r="O10472" s="4288"/>
    </row>
    <row r="10473" spans="15:15">
      <c r="O10473" s="4288"/>
    </row>
    <row r="10474" spans="15:15">
      <c r="O10474" s="4288"/>
    </row>
    <row r="10475" spans="15:15">
      <c r="O10475" s="4288"/>
    </row>
    <row r="10476" spans="15:15">
      <c r="O10476" s="4288"/>
    </row>
    <row r="10477" spans="15:15">
      <c r="O10477" s="4288"/>
    </row>
    <row r="10478" spans="15:15">
      <c r="O10478" s="4288"/>
    </row>
    <row r="10479" spans="15:15">
      <c r="O10479" s="4288"/>
    </row>
    <row r="10480" spans="15:15">
      <c r="O10480" s="4288"/>
    </row>
    <row r="10481" spans="15:15">
      <c r="O10481" s="4288"/>
    </row>
    <row r="10482" spans="15:15">
      <c r="O10482" s="4288"/>
    </row>
    <row r="10483" spans="15:15">
      <c r="O10483" s="4288"/>
    </row>
    <row r="10484" spans="15:15">
      <c r="O10484" s="4288"/>
    </row>
    <row r="10485" spans="15:15">
      <c r="O10485" s="4288"/>
    </row>
    <row r="10486" spans="15:15">
      <c r="O10486" s="4288"/>
    </row>
    <row r="10487" spans="15:15">
      <c r="O10487" s="4288"/>
    </row>
    <row r="10488" spans="15:15">
      <c r="O10488" s="4288"/>
    </row>
    <row r="10489" spans="15:15">
      <c r="O10489" s="4288"/>
    </row>
    <row r="10490" spans="15:15">
      <c r="O10490" s="4288"/>
    </row>
    <row r="10491" spans="15:15">
      <c r="O10491" s="4288"/>
    </row>
    <row r="10492" spans="15:15">
      <c r="O10492" s="4288"/>
    </row>
    <row r="10493" spans="15:15">
      <c r="O10493" s="4288"/>
    </row>
    <row r="10494" spans="15:15">
      <c r="O10494" s="4288"/>
    </row>
    <row r="10495" spans="15:15">
      <c r="O10495" s="4288"/>
    </row>
    <row r="10496" spans="15:15">
      <c r="O10496" s="4288"/>
    </row>
    <row r="10497" spans="15:15">
      <c r="O10497" s="4288"/>
    </row>
    <row r="10498" spans="15:15">
      <c r="O10498" s="4288"/>
    </row>
    <row r="10499" spans="15:15">
      <c r="O10499" s="4288"/>
    </row>
    <row r="10500" spans="15:15">
      <c r="O10500" s="4288"/>
    </row>
    <row r="10501" spans="15:15">
      <c r="O10501" s="4288"/>
    </row>
    <row r="10502" spans="15:15">
      <c r="O10502" s="4288"/>
    </row>
    <row r="10503" spans="15:15">
      <c r="O10503" s="4288"/>
    </row>
    <row r="10504" spans="15:15">
      <c r="O10504" s="4288"/>
    </row>
    <row r="10505" spans="15:15">
      <c r="O10505" s="4288"/>
    </row>
    <row r="10506" spans="15:15">
      <c r="O10506" s="4288"/>
    </row>
    <row r="10507" spans="15:15">
      <c r="O10507" s="4288"/>
    </row>
    <row r="10508" spans="15:15">
      <c r="O10508" s="4288"/>
    </row>
    <row r="10509" spans="15:15">
      <c r="O10509" s="4288"/>
    </row>
    <row r="10510" spans="15:15">
      <c r="O10510" s="4288"/>
    </row>
    <row r="10511" spans="15:15">
      <c r="O10511" s="4288"/>
    </row>
    <row r="10512" spans="15:15">
      <c r="O10512" s="4288"/>
    </row>
    <row r="10513" spans="15:15">
      <c r="O10513" s="4288"/>
    </row>
    <row r="10514" spans="15:15">
      <c r="O10514" s="4288"/>
    </row>
    <row r="10515" spans="15:15">
      <c r="O10515" s="4288"/>
    </row>
    <row r="10516" spans="15:15">
      <c r="O10516" s="4288"/>
    </row>
    <row r="10517" spans="15:15">
      <c r="O10517" s="4288"/>
    </row>
    <row r="10518" spans="15:15">
      <c r="O10518" s="4288"/>
    </row>
    <row r="10519" spans="15:15">
      <c r="O10519" s="4288"/>
    </row>
    <row r="10520" spans="15:15">
      <c r="O10520" s="4288"/>
    </row>
    <row r="10521" spans="15:15">
      <c r="O10521" s="4288"/>
    </row>
    <row r="10522" spans="15:15">
      <c r="O10522" s="4288"/>
    </row>
    <row r="10523" spans="15:15">
      <c r="O10523" s="4288"/>
    </row>
    <row r="10524" spans="15:15">
      <c r="O10524" s="4288"/>
    </row>
    <row r="10525" spans="15:15">
      <c r="O10525" s="4288"/>
    </row>
    <row r="10526" spans="15:15">
      <c r="O10526" s="4288"/>
    </row>
    <row r="10527" spans="15:15">
      <c r="O10527" s="4288"/>
    </row>
    <row r="10528" spans="15:15">
      <c r="O10528" s="4288"/>
    </row>
    <row r="10529" spans="15:15">
      <c r="O10529" s="4288"/>
    </row>
    <row r="10530" spans="15:15">
      <c r="O10530" s="4288"/>
    </row>
    <row r="10531" spans="15:15">
      <c r="O10531" s="4288"/>
    </row>
    <row r="10532" spans="15:15">
      <c r="O10532" s="4288"/>
    </row>
    <row r="10533" spans="15:15">
      <c r="O10533" s="4288"/>
    </row>
    <row r="10534" spans="15:15">
      <c r="O10534" s="4288"/>
    </row>
    <row r="10535" spans="15:15">
      <c r="O10535" s="4288"/>
    </row>
    <row r="10536" spans="15:15">
      <c r="O10536" s="4288"/>
    </row>
    <row r="10537" spans="15:15">
      <c r="O10537" s="4288"/>
    </row>
    <row r="10538" spans="15:15">
      <c r="O10538" s="4288"/>
    </row>
    <row r="10539" spans="15:15">
      <c r="O10539" s="4288"/>
    </row>
    <row r="10540" spans="15:15">
      <c r="O10540" s="4288"/>
    </row>
    <row r="10541" spans="15:15">
      <c r="O10541" s="4288"/>
    </row>
    <row r="10542" spans="15:15">
      <c r="O10542" s="4288"/>
    </row>
    <row r="10543" spans="15:15">
      <c r="O10543" s="4288"/>
    </row>
    <row r="10544" spans="15:15">
      <c r="O10544" s="4288"/>
    </row>
    <row r="10545" spans="15:15">
      <c r="O10545" s="4288"/>
    </row>
    <row r="10546" spans="15:15">
      <c r="O10546" s="4288"/>
    </row>
    <row r="10547" spans="15:15">
      <c r="O10547" s="4288"/>
    </row>
    <row r="10548" spans="15:15">
      <c r="O10548" s="4288"/>
    </row>
    <row r="10549" spans="15:15">
      <c r="O10549" s="4288"/>
    </row>
    <row r="10550" spans="15:15">
      <c r="O10550" s="4288"/>
    </row>
    <row r="10551" spans="15:15">
      <c r="O10551" s="4288"/>
    </row>
    <row r="10552" spans="15:15">
      <c r="O10552" s="4288"/>
    </row>
    <row r="10553" spans="15:15">
      <c r="O10553" s="4288"/>
    </row>
    <row r="10554" spans="15:15">
      <c r="O10554" s="4288"/>
    </row>
    <row r="10555" spans="15:15">
      <c r="O10555" s="4288"/>
    </row>
    <row r="10556" spans="15:15">
      <c r="O10556" s="4288"/>
    </row>
    <row r="10557" spans="15:15">
      <c r="O10557" s="4288"/>
    </row>
    <row r="10558" spans="15:15">
      <c r="O10558" s="4288"/>
    </row>
    <row r="10559" spans="15:15">
      <c r="O10559" s="4288"/>
    </row>
    <row r="10560" spans="15:15">
      <c r="O10560" s="4288"/>
    </row>
    <row r="10561" spans="15:15">
      <c r="O10561" s="4288"/>
    </row>
    <row r="10562" spans="15:15">
      <c r="O10562" s="4288"/>
    </row>
    <row r="10563" spans="15:15">
      <c r="O10563" s="4288"/>
    </row>
    <row r="10564" spans="15:15">
      <c r="O10564" s="4288"/>
    </row>
    <row r="10565" spans="15:15">
      <c r="O10565" s="4288"/>
    </row>
    <row r="10566" spans="15:15">
      <c r="O10566" s="4288"/>
    </row>
    <row r="10567" spans="15:15">
      <c r="O10567" s="4288"/>
    </row>
    <row r="10568" spans="15:15">
      <c r="O10568" s="4288"/>
    </row>
    <row r="10569" spans="15:15">
      <c r="O10569" s="4288"/>
    </row>
    <row r="10570" spans="15:15">
      <c r="O10570" s="4288"/>
    </row>
    <row r="10571" spans="15:15">
      <c r="O10571" s="4288"/>
    </row>
    <row r="10572" spans="15:15">
      <c r="O10572" s="4288"/>
    </row>
    <row r="10573" spans="15:15">
      <c r="O10573" s="4288"/>
    </row>
    <row r="10574" spans="15:15">
      <c r="O10574" s="4288"/>
    </row>
    <row r="10575" spans="15:15">
      <c r="O10575" s="4288"/>
    </row>
    <row r="10576" spans="15:15">
      <c r="O10576" s="4288"/>
    </row>
    <row r="10577" spans="15:15">
      <c r="O10577" s="4288"/>
    </row>
    <row r="10578" spans="15:15">
      <c r="O10578" s="4288"/>
    </row>
    <row r="10579" spans="15:15">
      <c r="O10579" s="4288"/>
    </row>
    <row r="10580" spans="15:15">
      <c r="O10580" s="4288"/>
    </row>
    <row r="10581" spans="15:15">
      <c r="O10581" s="4288"/>
    </row>
    <row r="10582" spans="15:15">
      <c r="O10582" s="4288"/>
    </row>
    <row r="10583" spans="15:15">
      <c r="O10583" s="4288"/>
    </row>
    <row r="10584" spans="15:15">
      <c r="O10584" s="4288"/>
    </row>
    <row r="10585" spans="15:15">
      <c r="O10585" s="4288"/>
    </row>
    <row r="10586" spans="15:15">
      <c r="O10586" s="4288"/>
    </row>
    <row r="10587" spans="15:15">
      <c r="O10587" s="4288"/>
    </row>
    <row r="10588" spans="15:15">
      <c r="O10588" s="4288"/>
    </row>
    <row r="10589" spans="15:15">
      <c r="O10589" s="4288"/>
    </row>
    <row r="10590" spans="15:15">
      <c r="O10590" s="4288"/>
    </row>
    <row r="10591" spans="15:15">
      <c r="O10591" s="4288"/>
    </row>
    <row r="10592" spans="15:15">
      <c r="O10592" s="4288"/>
    </row>
    <row r="10593" spans="15:15">
      <c r="O10593" s="4288"/>
    </row>
    <row r="10594" spans="15:15">
      <c r="O10594" s="4288"/>
    </row>
    <row r="10595" spans="15:15">
      <c r="O10595" s="4288"/>
    </row>
    <row r="10596" spans="15:15">
      <c r="O10596" s="4288"/>
    </row>
    <row r="10597" spans="15:15">
      <c r="O10597" s="4288"/>
    </row>
    <row r="10598" spans="15:15">
      <c r="O10598" s="4288"/>
    </row>
    <row r="10599" spans="15:15">
      <c r="O10599" s="4288"/>
    </row>
    <row r="10600" spans="15:15">
      <c r="O10600" s="4288"/>
    </row>
    <row r="10601" spans="15:15">
      <c r="O10601" s="4288"/>
    </row>
    <row r="10602" spans="15:15">
      <c r="O10602" s="4288"/>
    </row>
    <row r="10603" spans="15:15">
      <c r="O10603" s="4288"/>
    </row>
    <row r="10604" spans="15:15">
      <c r="O10604" s="4288"/>
    </row>
    <row r="10605" spans="15:15">
      <c r="O10605" s="4288"/>
    </row>
    <row r="10606" spans="15:15">
      <c r="O10606" s="4288"/>
    </row>
    <row r="10607" spans="15:15">
      <c r="O10607" s="4288"/>
    </row>
    <row r="10608" spans="15:15">
      <c r="O10608" s="4288"/>
    </row>
    <row r="10609" spans="15:15">
      <c r="O10609" s="4288"/>
    </row>
    <row r="10610" spans="15:15">
      <c r="O10610" s="4288"/>
    </row>
    <row r="10611" spans="15:15">
      <c r="O10611" s="4288"/>
    </row>
    <row r="10612" spans="15:15">
      <c r="O10612" s="4288"/>
    </row>
    <row r="10613" spans="15:15">
      <c r="O10613" s="4288"/>
    </row>
    <row r="10614" spans="15:15">
      <c r="O10614" s="4288"/>
    </row>
    <row r="10615" spans="15:15">
      <c r="O10615" s="4288"/>
    </row>
    <row r="10616" spans="15:15">
      <c r="O10616" s="4288"/>
    </row>
    <row r="10617" spans="15:15">
      <c r="O10617" s="4288"/>
    </row>
    <row r="10618" spans="15:15">
      <c r="O10618" s="4288"/>
    </row>
    <row r="10619" spans="15:15">
      <c r="O10619" s="4288"/>
    </row>
    <row r="10620" spans="15:15">
      <c r="O10620" s="4288"/>
    </row>
    <row r="10621" spans="15:15">
      <c r="O10621" s="4288"/>
    </row>
    <row r="10622" spans="15:15">
      <c r="O10622" s="4288"/>
    </row>
    <row r="10623" spans="15:15">
      <c r="O10623" s="4288"/>
    </row>
    <row r="10624" spans="15:15">
      <c r="O10624" s="4288"/>
    </row>
    <row r="10625" spans="15:15">
      <c r="O10625" s="4288"/>
    </row>
    <row r="10626" spans="15:15">
      <c r="O10626" s="4288"/>
    </row>
    <row r="10627" spans="15:15">
      <c r="O10627" s="4288"/>
    </row>
    <row r="10628" spans="15:15">
      <c r="O10628" s="4288"/>
    </row>
    <row r="10629" spans="15:15">
      <c r="O10629" s="4288"/>
    </row>
    <row r="10630" spans="15:15">
      <c r="O10630" s="4288"/>
    </row>
    <row r="10631" spans="15:15">
      <c r="O10631" s="4288"/>
    </row>
    <row r="10632" spans="15:15">
      <c r="O10632" s="4288"/>
    </row>
    <row r="10633" spans="15:15">
      <c r="O10633" s="4288"/>
    </row>
    <row r="10634" spans="15:15">
      <c r="O10634" s="4288"/>
    </row>
    <row r="10635" spans="15:15">
      <c r="O10635" s="4288"/>
    </row>
    <row r="10636" spans="15:15">
      <c r="O10636" s="4288"/>
    </row>
    <row r="10637" spans="15:15">
      <c r="O10637" s="4288"/>
    </row>
    <row r="10638" spans="15:15">
      <c r="O10638" s="4288"/>
    </row>
    <row r="10639" spans="15:15">
      <c r="O10639" s="4288"/>
    </row>
    <row r="10640" spans="15:15">
      <c r="O10640" s="4288"/>
    </row>
    <row r="10641" spans="15:15">
      <c r="O10641" s="4288"/>
    </row>
    <row r="10642" spans="15:15">
      <c r="O10642" s="4288"/>
    </row>
    <row r="10643" spans="15:15">
      <c r="O10643" s="4288"/>
    </row>
    <row r="10644" spans="15:15">
      <c r="O10644" s="4288"/>
    </row>
    <row r="10645" spans="15:15">
      <c r="O10645" s="4288"/>
    </row>
    <row r="10646" spans="15:15">
      <c r="O10646" s="4288"/>
    </row>
    <row r="10647" spans="15:15">
      <c r="O10647" s="4288"/>
    </row>
    <row r="10648" spans="15:15">
      <c r="O10648" s="4288"/>
    </row>
    <row r="10649" spans="15:15">
      <c r="O10649" s="4288"/>
    </row>
    <row r="10650" spans="15:15">
      <c r="O10650" s="4288"/>
    </row>
    <row r="10651" spans="15:15">
      <c r="O10651" s="4288"/>
    </row>
    <row r="10652" spans="15:15">
      <c r="O10652" s="4288"/>
    </row>
    <row r="10653" spans="15:15">
      <c r="O10653" s="4288"/>
    </row>
    <row r="10654" spans="15:15">
      <c r="O10654" s="4288"/>
    </row>
    <row r="10655" spans="15:15">
      <c r="O10655" s="4288"/>
    </row>
    <row r="10656" spans="15:15">
      <c r="O10656" s="4288"/>
    </row>
    <row r="10657" spans="15:15">
      <c r="O10657" s="4288"/>
    </row>
    <row r="10658" spans="15:15">
      <c r="O10658" s="4288"/>
    </row>
    <row r="10659" spans="15:15">
      <c r="O10659" s="4288"/>
    </row>
    <row r="10660" spans="15:15">
      <c r="O10660" s="4288"/>
    </row>
    <row r="10661" spans="15:15">
      <c r="O10661" s="4288"/>
    </row>
    <row r="10662" spans="15:15">
      <c r="O10662" s="4288"/>
    </row>
    <row r="10663" spans="15:15">
      <c r="O10663" s="4288"/>
    </row>
    <row r="10664" spans="15:15">
      <c r="O10664" s="4288"/>
    </row>
    <row r="10665" spans="15:15">
      <c r="O10665" s="4288"/>
    </row>
    <row r="10666" spans="15:15">
      <c r="O10666" s="4288"/>
    </row>
    <row r="10667" spans="15:15">
      <c r="O10667" s="4288"/>
    </row>
    <row r="10668" spans="15:15">
      <c r="O10668" s="4288"/>
    </row>
    <row r="10669" spans="15:15">
      <c r="O10669" s="4288"/>
    </row>
    <row r="10670" spans="15:15">
      <c r="O10670" s="4288"/>
    </row>
    <row r="10671" spans="15:15">
      <c r="O10671" s="4288"/>
    </row>
    <row r="10672" spans="15:15">
      <c r="O10672" s="4288"/>
    </row>
    <row r="10673" spans="15:15">
      <c r="O10673" s="4288"/>
    </row>
    <row r="10674" spans="15:15">
      <c r="O10674" s="4288"/>
    </row>
    <row r="10675" spans="15:15">
      <c r="O10675" s="4288"/>
    </row>
    <row r="10676" spans="15:15">
      <c r="O10676" s="4288"/>
    </row>
    <row r="10677" spans="15:15">
      <c r="O10677" s="4288"/>
    </row>
    <row r="10678" spans="15:15">
      <c r="O10678" s="4288"/>
    </row>
    <row r="10679" spans="15:15">
      <c r="O10679" s="4288"/>
    </row>
    <row r="10680" spans="15:15">
      <c r="O10680" s="4288"/>
    </row>
    <row r="10681" spans="15:15">
      <c r="O10681" s="4288"/>
    </row>
    <row r="10682" spans="15:15">
      <c r="O10682" s="4288"/>
    </row>
    <row r="10683" spans="15:15">
      <c r="O10683" s="4288"/>
    </row>
    <row r="10684" spans="15:15">
      <c r="O10684" s="4288"/>
    </row>
    <row r="10685" spans="15:15">
      <c r="O10685" s="4288"/>
    </row>
    <row r="10686" spans="15:15">
      <c r="O10686" s="4288"/>
    </row>
    <row r="10687" spans="15:15">
      <c r="O10687" s="4288"/>
    </row>
    <row r="10688" spans="15:15">
      <c r="O10688" s="4288"/>
    </row>
    <row r="10689" spans="15:15">
      <c r="O10689" s="4288"/>
    </row>
    <row r="10690" spans="15:15">
      <c r="O10690" s="4288"/>
    </row>
    <row r="10691" spans="15:15">
      <c r="O10691" s="4288"/>
    </row>
    <row r="10692" spans="15:15">
      <c r="O10692" s="4288"/>
    </row>
    <row r="10693" spans="15:15">
      <c r="O10693" s="4288"/>
    </row>
    <row r="10694" spans="15:15">
      <c r="O10694" s="4288"/>
    </row>
    <row r="10695" spans="15:15">
      <c r="O10695" s="4288"/>
    </row>
    <row r="10696" spans="15:15">
      <c r="O10696" s="4288"/>
    </row>
    <row r="10697" spans="15:15">
      <c r="O10697" s="4288"/>
    </row>
    <row r="10698" spans="15:15">
      <c r="O10698" s="4288"/>
    </row>
    <row r="10699" spans="15:15">
      <c r="O10699" s="4288"/>
    </row>
    <row r="10700" spans="15:15">
      <c r="O10700" s="4288"/>
    </row>
    <row r="10701" spans="15:15">
      <c r="O10701" s="4288"/>
    </row>
    <row r="10702" spans="15:15">
      <c r="O10702" s="4288"/>
    </row>
    <row r="10703" spans="15:15">
      <c r="O10703" s="4288"/>
    </row>
    <row r="10704" spans="15:15">
      <c r="O10704" s="4288"/>
    </row>
    <row r="10705" spans="15:15">
      <c r="O10705" s="4288"/>
    </row>
    <row r="10706" spans="15:15">
      <c r="O10706" s="4288"/>
    </row>
    <row r="10707" spans="15:15">
      <c r="O10707" s="4288"/>
    </row>
    <row r="10708" spans="15:15">
      <c r="O10708" s="4288"/>
    </row>
    <row r="10709" spans="15:15">
      <c r="O10709" s="4288"/>
    </row>
    <row r="10710" spans="15:15">
      <c r="O10710" s="4288"/>
    </row>
    <row r="10711" spans="15:15">
      <c r="O10711" s="4288"/>
    </row>
    <row r="10712" spans="15:15">
      <c r="O10712" s="4288"/>
    </row>
    <row r="10713" spans="15:15">
      <c r="O10713" s="4288"/>
    </row>
    <row r="10714" spans="15:15">
      <c r="O10714" s="4288"/>
    </row>
    <row r="10715" spans="15:15">
      <c r="O10715" s="4288"/>
    </row>
    <row r="10716" spans="15:15">
      <c r="O10716" s="4288"/>
    </row>
    <row r="10717" spans="15:15">
      <c r="O10717" s="4288"/>
    </row>
    <row r="10718" spans="15:15">
      <c r="O10718" s="4288"/>
    </row>
    <row r="10719" spans="15:15">
      <c r="O10719" s="4288"/>
    </row>
    <row r="10720" spans="15:15">
      <c r="O10720" s="4288"/>
    </row>
    <row r="10721" spans="15:15">
      <c r="O10721" s="4288"/>
    </row>
    <row r="10722" spans="15:15">
      <c r="O10722" s="4288"/>
    </row>
    <row r="10723" spans="15:15">
      <c r="O10723" s="4288"/>
    </row>
    <row r="10724" spans="15:15">
      <c r="O10724" s="4288"/>
    </row>
    <row r="10725" spans="15:15">
      <c r="O10725" s="4288"/>
    </row>
    <row r="10726" spans="15:15">
      <c r="O10726" s="4288"/>
    </row>
    <row r="10727" spans="15:15">
      <c r="O10727" s="4288"/>
    </row>
    <row r="10728" spans="15:15">
      <c r="O10728" s="4288"/>
    </row>
    <row r="10729" spans="15:15">
      <c r="O10729" s="4288"/>
    </row>
    <row r="10730" spans="15:15">
      <c r="O10730" s="4288"/>
    </row>
    <row r="10731" spans="15:15">
      <c r="O10731" s="4288"/>
    </row>
    <row r="10732" spans="15:15">
      <c r="O10732" s="4288"/>
    </row>
    <row r="10733" spans="15:15">
      <c r="O10733" s="4288"/>
    </row>
    <row r="10734" spans="15:15">
      <c r="O10734" s="4288"/>
    </row>
    <row r="10735" spans="15:15">
      <c r="O10735" s="4288"/>
    </row>
    <row r="10736" spans="15:15">
      <c r="O10736" s="4288"/>
    </row>
    <row r="10737" spans="15:15">
      <c r="O10737" s="4288"/>
    </row>
    <row r="10738" spans="15:15">
      <c r="O10738" s="4288"/>
    </row>
    <row r="10739" spans="15:15">
      <c r="O10739" s="4288"/>
    </row>
    <row r="10740" spans="15:15">
      <c r="O10740" s="4288"/>
    </row>
    <row r="10741" spans="15:15">
      <c r="O10741" s="4288"/>
    </row>
    <row r="10742" spans="15:15">
      <c r="O10742" s="4288"/>
    </row>
    <row r="10743" spans="15:15">
      <c r="O10743" s="4288"/>
    </row>
    <row r="10744" spans="15:15">
      <c r="O10744" s="4288"/>
    </row>
    <row r="10745" spans="15:15">
      <c r="O10745" s="4288"/>
    </row>
    <row r="10746" spans="15:15">
      <c r="O10746" s="4288"/>
    </row>
    <row r="10747" spans="15:15">
      <c r="O10747" s="4288"/>
    </row>
    <row r="10748" spans="15:15">
      <c r="O10748" s="4288"/>
    </row>
    <row r="10749" spans="15:15">
      <c r="O10749" s="4288"/>
    </row>
    <row r="10750" spans="15:15">
      <c r="O10750" s="4288"/>
    </row>
    <row r="10751" spans="15:15">
      <c r="O10751" s="4288"/>
    </row>
    <row r="10752" spans="15:15">
      <c r="O10752" s="4288"/>
    </row>
    <row r="10753" spans="15:15">
      <c r="O10753" s="4288"/>
    </row>
    <row r="10754" spans="15:15">
      <c r="O10754" s="4288"/>
    </row>
    <row r="10755" spans="15:15">
      <c r="O10755" s="4288"/>
    </row>
    <row r="10756" spans="15:15">
      <c r="O10756" s="4288"/>
    </row>
    <row r="10757" spans="15:15">
      <c r="O10757" s="4288"/>
    </row>
    <row r="10758" spans="15:15">
      <c r="O10758" s="4288"/>
    </row>
    <row r="10759" spans="15:15">
      <c r="O10759" s="4288"/>
    </row>
    <row r="10760" spans="15:15">
      <c r="O10760" s="4288"/>
    </row>
    <row r="10761" spans="15:15">
      <c r="O10761" s="4288"/>
    </row>
    <row r="10762" spans="15:15">
      <c r="O10762" s="4288"/>
    </row>
    <row r="10763" spans="15:15">
      <c r="O10763" s="4288"/>
    </row>
    <row r="10764" spans="15:15">
      <c r="O10764" s="4288"/>
    </row>
    <row r="10765" spans="15:15">
      <c r="O10765" s="4288"/>
    </row>
    <row r="10766" spans="15:15">
      <c r="O10766" s="4288"/>
    </row>
    <row r="10767" spans="15:15">
      <c r="O10767" s="4288"/>
    </row>
    <row r="10768" spans="15:15">
      <c r="O10768" s="4288"/>
    </row>
    <row r="10769" spans="15:15">
      <c r="O10769" s="4288"/>
    </row>
    <row r="10770" spans="15:15">
      <c r="O10770" s="4288"/>
    </row>
    <row r="10771" spans="15:15">
      <c r="O10771" s="4288"/>
    </row>
    <row r="10772" spans="15:15">
      <c r="O10772" s="4288"/>
    </row>
    <row r="10773" spans="15:15">
      <c r="O10773" s="4288"/>
    </row>
    <row r="10774" spans="15:15">
      <c r="O10774" s="4288"/>
    </row>
    <row r="10775" spans="15:15">
      <c r="O10775" s="4288"/>
    </row>
    <row r="10776" spans="15:15">
      <c r="O10776" s="4288"/>
    </row>
    <row r="10777" spans="15:15">
      <c r="O10777" s="4288"/>
    </row>
    <row r="10778" spans="15:15">
      <c r="O10778" s="4288"/>
    </row>
    <row r="10779" spans="15:15">
      <c r="O10779" s="4288"/>
    </row>
    <row r="10780" spans="15:15">
      <c r="O10780" s="4288"/>
    </row>
    <row r="10781" spans="15:15">
      <c r="O10781" s="4288"/>
    </row>
    <row r="10782" spans="15:15">
      <c r="O10782" s="4288"/>
    </row>
    <row r="10783" spans="15:15">
      <c r="O10783" s="4288"/>
    </row>
    <row r="10784" spans="15:15">
      <c r="O10784" s="4288"/>
    </row>
    <row r="10785" spans="15:15">
      <c r="O10785" s="4288"/>
    </row>
    <row r="10786" spans="15:15">
      <c r="O10786" s="4288"/>
    </row>
    <row r="10787" spans="15:15">
      <c r="O10787" s="4288"/>
    </row>
    <row r="10788" spans="15:15">
      <c r="O10788" s="4288"/>
    </row>
    <row r="10789" spans="15:15">
      <c r="O10789" s="4288"/>
    </row>
    <row r="10790" spans="15:15">
      <c r="O10790" s="4288"/>
    </row>
    <row r="10791" spans="15:15">
      <c r="O10791" s="4288"/>
    </row>
    <row r="10792" spans="15:15">
      <c r="O10792" s="4288"/>
    </row>
    <row r="10793" spans="15:15">
      <c r="O10793" s="4288"/>
    </row>
    <row r="10794" spans="15:15">
      <c r="O10794" s="4288"/>
    </row>
    <row r="10795" spans="15:15">
      <c r="O10795" s="4288"/>
    </row>
    <row r="10796" spans="15:15">
      <c r="O10796" s="4288"/>
    </row>
    <row r="10797" spans="15:15">
      <c r="O10797" s="4288"/>
    </row>
    <row r="10798" spans="15:15">
      <c r="O10798" s="4288"/>
    </row>
    <row r="10799" spans="15:15">
      <c r="O10799" s="4288"/>
    </row>
    <row r="10800" spans="15:15">
      <c r="O10800" s="4288"/>
    </row>
    <row r="10801" spans="15:15">
      <c r="O10801" s="4288"/>
    </row>
    <row r="10802" spans="15:15">
      <c r="O10802" s="4288"/>
    </row>
    <row r="10803" spans="15:15">
      <c r="O10803" s="4288"/>
    </row>
    <row r="10804" spans="15:15">
      <c r="O10804" s="4288"/>
    </row>
    <row r="10805" spans="15:15">
      <c r="O10805" s="4288"/>
    </row>
    <row r="10806" spans="15:15">
      <c r="O10806" s="4288"/>
    </row>
    <row r="10807" spans="15:15">
      <c r="O10807" s="4288"/>
    </row>
    <row r="10808" spans="15:15">
      <c r="O10808" s="4288"/>
    </row>
    <row r="10809" spans="15:15">
      <c r="O10809" s="4288"/>
    </row>
    <row r="10810" spans="15:15">
      <c r="O10810" s="4288"/>
    </row>
    <row r="10811" spans="15:15">
      <c r="O10811" s="4288"/>
    </row>
    <row r="10812" spans="15:15">
      <c r="O10812" s="4288"/>
    </row>
    <row r="10813" spans="15:15">
      <c r="O10813" s="4288"/>
    </row>
    <row r="10814" spans="15:15">
      <c r="O10814" s="4288"/>
    </row>
    <row r="10815" spans="15:15">
      <c r="O10815" s="4288"/>
    </row>
    <row r="10816" spans="15:15">
      <c r="O10816" s="4288"/>
    </row>
    <row r="10817" spans="15:15">
      <c r="O10817" s="4288"/>
    </row>
    <row r="10818" spans="15:15">
      <c r="O10818" s="4288"/>
    </row>
    <row r="10819" spans="15:15">
      <c r="O10819" s="4288"/>
    </row>
    <row r="10820" spans="15:15">
      <c r="O10820" s="4288"/>
    </row>
    <row r="10821" spans="15:15">
      <c r="O10821" s="4288"/>
    </row>
    <row r="10822" spans="15:15">
      <c r="O10822" s="4288"/>
    </row>
    <row r="10823" spans="15:15">
      <c r="O10823" s="4288"/>
    </row>
    <row r="10824" spans="15:15">
      <c r="O10824" s="4288"/>
    </row>
    <row r="10825" spans="15:15">
      <c r="O10825" s="4288"/>
    </row>
    <row r="10826" spans="15:15">
      <c r="O10826" s="4288"/>
    </row>
    <row r="10827" spans="15:15">
      <c r="O10827" s="4288"/>
    </row>
    <row r="10828" spans="15:15">
      <c r="O10828" s="4288"/>
    </row>
    <row r="10829" spans="15:15">
      <c r="O10829" s="4288"/>
    </row>
    <row r="10830" spans="15:15">
      <c r="O10830" s="4288"/>
    </row>
    <row r="10831" spans="15:15">
      <c r="O10831" s="4288"/>
    </row>
    <row r="10832" spans="15:15">
      <c r="O10832" s="4288"/>
    </row>
    <row r="10833" spans="15:15">
      <c r="O10833" s="4288"/>
    </row>
    <row r="10834" spans="15:15">
      <c r="O10834" s="4288"/>
    </row>
    <row r="10835" spans="15:15">
      <c r="O10835" s="4288"/>
    </row>
    <row r="10836" spans="15:15">
      <c r="O10836" s="4288"/>
    </row>
    <row r="10837" spans="15:15">
      <c r="O10837" s="4288"/>
    </row>
    <row r="10838" spans="15:15">
      <c r="O10838" s="4288"/>
    </row>
    <row r="10839" spans="15:15">
      <c r="O10839" s="4288"/>
    </row>
    <row r="10840" spans="15:15">
      <c r="O10840" s="4288"/>
    </row>
    <row r="10841" spans="15:15">
      <c r="O10841" s="4288"/>
    </row>
    <row r="10842" spans="15:15">
      <c r="O10842" s="4288"/>
    </row>
    <row r="10843" spans="15:15">
      <c r="O10843" s="4288"/>
    </row>
    <row r="10844" spans="15:15">
      <c r="O10844" s="4288"/>
    </row>
    <row r="10845" spans="15:15">
      <c r="O10845" s="4288"/>
    </row>
    <row r="10846" spans="15:15">
      <c r="O10846" s="4288"/>
    </row>
    <row r="10847" spans="15:15">
      <c r="O10847" s="4288"/>
    </row>
    <row r="10848" spans="15:15">
      <c r="O10848" s="4288"/>
    </row>
    <row r="10849" spans="15:15">
      <c r="O10849" s="4288"/>
    </row>
    <row r="10850" spans="15:15">
      <c r="O10850" s="4288"/>
    </row>
    <row r="10851" spans="15:15">
      <c r="O10851" s="4288"/>
    </row>
    <row r="10852" spans="15:15">
      <c r="O10852" s="4288"/>
    </row>
    <row r="10853" spans="15:15">
      <c r="O10853" s="4288"/>
    </row>
    <row r="10854" spans="15:15">
      <c r="O10854" s="4288"/>
    </row>
    <row r="10855" spans="15:15">
      <c r="O10855" s="4288"/>
    </row>
    <row r="10856" spans="15:15">
      <c r="O10856" s="4288"/>
    </row>
    <row r="10857" spans="15:15">
      <c r="O10857" s="4288"/>
    </row>
    <row r="10858" spans="15:15">
      <c r="O10858" s="4288"/>
    </row>
    <row r="10859" spans="15:15">
      <c r="O10859" s="4288"/>
    </row>
    <row r="10860" spans="15:15">
      <c r="O10860" s="4288"/>
    </row>
    <row r="10861" spans="15:15">
      <c r="O10861" s="4288"/>
    </row>
    <row r="10862" spans="15:15">
      <c r="O10862" s="4288"/>
    </row>
    <row r="10863" spans="15:15">
      <c r="O10863" s="4288"/>
    </row>
    <row r="10864" spans="15:15">
      <c r="O10864" s="4288"/>
    </row>
    <row r="10865" spans="15:15">
      <c r="O10865" s="4288"/>
    </row>
    <row r="10866" spans="15:15">
      <c r="O10866" s="4288"/>
    </row>
    <row r="10867" spans="15:15">
      <c r="O10867" s="4288"/>
    </row>
    <row r="10868" spans="15:15">
      <c r="O10868" s="4288"/>
    </row>
    <row r="10869" spans="15:15">
      <c r="O10869" s="4288"/>
    </row>
    <row r="10870" spans="15:15">
      <c r="O10870" s="4288"/>
    </row>
    <row r="10871" spans="15:15">
      <c r="O10871" s="4288"/>
    </row>
    <row r="10872" spans="15:15">
      <c r="O10872" s="4288"/>
    </row>
    <row r="10873" spans="15:15">
      <c r="O10873" s="4288"/>
    </row>
    <row r="10874" spans="15:15">
      <c r="O10874" s="4288"/>
    </row>
    <row r="10875" spans="15:15">
      <c r="O10875" s="4288"/>
    </row>
    <row r="10876" spans="15:15">
      <c r="O10876" s="4288"/>
    </row>
    <row r="10877" spans="15:15">
      <c r="O10877" s="4288"/>
    </row>
    <row r="10878" spans="15:15">
      <c r="O10878" s="4288"/>
    </row>
    <row r="10879" spans="15:15">
      <c r="O10879" s="4288"/>
    </row>
    <row r="10880" spans="15:15">
      <c r="O10880" s="4288"/>
    </row>
    <row r="10881" spans="15:15">
      <c r="O10881" s="4288"/>
    </row>
    <row r="10882" spans="15:15">
      <c r="O10882" s="4288"/>
    </row>
    <row r="10883" spans="15:15">
      <c r="O10883" s="4288"/>
    </row>
    <row r="10884" spans="15:15">
      <c r="O10884" s="4288"/>
    </row>
    <row r="10885" spans="15:15">
      <c r="O10885" s="4288"/>
    </row>
    <row r="10886" spans="15:15">
      <c r="O10886" s="4288"/>
    </row>
    <row r="10887" spans="15:15">
      <c r="O10887" s="4288"/>
    </row>
    <row r="10888" spans="15:15">
      <c r="O10888" s="4288"/>
    </row>
    <row r="10889" spans="15:15">
      <c r="O10889" s="4288"/>
    </row>
    <row r="10890" spans="15:15">
      <c r="O10890" s="4288"/>
    </row>
    <row r="10891" spans="15:15">
      <c r="O10891" s="4288"/>
    </row>
    <row r="10892" spans="15:15">
      <c r="O10892" s="4288"/>
    </row>
    <row r="10893" spans="15:15">
      <c r="O10893" s="4288"/>
    </row>
    <row r="10894" spans="15:15">
      <c r="O10894" s="4288"/>
    </row>
    <row r="10895" spans="15:15">
      <c r="O10895" s="4288"/>
    </row>
    <row r="10896" spans="15:15">
      <c r="O10896" s="4288"/>
    </row>
    <row r="10897" spans="15:15">
      <c r="O10897" s="4288"/>
    </row>
    <row r="10898" spans="15:15">
      <c r="O10898" s="4288"/>
    </row>
    <row r="10899" spans="15:15">
      <c r="O10899" s="4288"/>
    </row>
    <row r="10900" spans="15:15">
      <c r="O10900" s="4288"/>
    </row>
    <row r="10901" spans="15:15">
      <c r="O10901" s="4288"/>
    </row>
    <row r="10902" spans="15:15">
      <c r="O10902" s="4288"/>
    </row>
    <row r="10903" spans="15:15">
      <c r="O10903" s="4288"/>
    </row>
    <row r="10904" spans="15:15">
      <c r="O10904" s="4288"/>
    </row>
    <row r="10905" spans="15:15">
      <c r="O10905" s="4288"/>
    </row>
    <row r="10906" spans="15:15">
      <c r="O10906" s="4288"/>
    </row>
    <row r="10907" spans="15:15">
      <c r="O10907" s="4288"/>
    </row>
    <row r="10908" spans="15:15">
      <c r="O10908" s="4288"/>
    </row>
    <row r="10909" spans="15:15">
      <c r="O10909" s="4288"/>
    </row>
    <row r="10910" spans="15:15">
      <c r="O10910" s="4288"/>
    </row>
    <row r="10911" spans="15:15">
      <c r="O10911" s="4288"/>
    </row>
    <row r="10912" spans="15:15">
      <c r="O10912" s="4288"/>
    </row>
    <row r="10913" spans="15:15">
      <c r="O10913" s="4288"/>
    </row>
    <row r="10914" spans="15:15">
      <c r="O10914" s="4288"/>
    </row>
    <row r="10915" spans="15:15">
      <c r="O10915" s="4288"/>
    </row>
    <row r="10916" spans="15:15">
      <c r="O10916" s="4288"/>
    </row>
    <row r="10917" spans="15:15">
      <c r="O10917" s="4288"/>
    </row>
    <row r="10918" spans="15:15">
      <c r="O10918" s="4288"/>
    </row>
    <row r="10919" spans="15:15">
      <c r="O10919" s="4288"/>
    </row>
    <row r="10920" spans="15:15">
      <c r="O10920" s="4288"/>
    </row>
    <row r="10921" spans="15:15">
      <c r="O10921" s="4288"/>
    </row>
    <row r="10922" spans="15:15">
      <c r="O10922" s="4288"/>
    </row>
    <row r="10923" spans="15:15">
      <c r="O10923" s="4288"/>
    </row>
    <row r="10924" spans="15:15">
      <c r="O10924" s="4288"/>
    </row>
    <row r="10925" spans="15:15">
      <c r="O10925" s="4288"/>
    </row>
    <row r="10926" spans="15:15">
      <c r="O10926" s="4288"/>
    </row>
    <row r="10927" spans="15:15">
      <c r="O10927" s="4288"/>
    </row>
    <row r="10928" spans="15:15">
      <c r="O10928" s="4288"/>
    </row>
    <row r="10929" spans="15:15">
      <c r="O10929" s="4288"/>
    </row>
    <row r="10930" spans="15:15">
      <c r="O10930" s="4288"/>
    </row>
    <row r="10931" spans="15:15">
      <c r="O10931" s="4288"/>
    </row>
    <row r="10932" spans="15:15">
      <c r="O10932" s="4288"/>
    </row>
    <row r="10933" spans="15:15">
      <c r="O10933" s="4288"/>
    </row>
    <row r="10934" spans="15:15">
      <c r="O10934" s="4288"/>
    </row>
    <row r="10935" spans="15:15">
      <c r="O10935" s="4288"/>
    </row>
    <row r="10936" spans="15:15">
      <c r="O10936" s="4288"/>
    </row>
    <row r="10937" spans="15:15">
      <c r="O10937" s="4288"/>
    </row>
    <row r="10938" spans="15:15">
      <c r="O10938" s="4288"/>
    </row>
    <row r="10939" spans="15:15">
      <c r="O10939" s="4288"/>
    </row>
    <row r="10940" spans="15:15">
      <c r="O10940" s="4288"/>
    </row>
    <row r="10941" spans="15:15">
      <c r="O10941" s="4288"/>
    </row>
    <row r="10942" spans="15:15">
      <c r="O10942" s="4288"/>
    </row>
    <row r="10943" spans="15:15">
      <c r="O10943" s="4288"/>
    </row>
    <row r="10944" spans="15:15">
      <c r="O10944" s="4288"/>
    </row>
    <row r="10945" spans="15:15">
      <c r="O10945" s="4288"/>
    </row>
    <row r="10946" spans="15:15">
      <c r="O10946" s="4288"/>
    </row>
    <row r="10947" spans="15:15">
      <c r="O10947" s="4288"/>
    </row>
    <row r="10948" spans="15:15">
      <c r="O10948" s="4288"/>
    </row>
    <row r="10949" spans="15:15">
      <c r="O10949" s="4288"/>
    </row>
    <row r="10950" spans="15:15">
      <c r="O10950" s="4288"/>
    </row>
    <row r="10951" spans="15:15">
      <c r="O10951" s="4288"/>
    </row>
    <row r="10952" spans="15:15">
      <c r="O10952" s="4288"/>
    </row>
    <row r="10953" spans="15:15">
      <c r="O10953" s="4288"/>
    </row>
    <row r="10954" spans="15:15">
      <c r="O10954" s="4288"/>
    </row>
    <row r="10955" spans="15:15">
      <c r="O10955" s="4288"/>
    </row>
    <row r="10956" spans="15:15">
      <c r="O10956" s="4288"/>
    </row>
    <row r="10957" spans="15:15">
      <c r="O10957" s="4288"/>
    </row>
    <row r="10958" spans="15:15">
      <c r="O10958" s="4288"/>
    </row>
    <row r="10959" spans="15:15">
      <c r="O10959" s="4288"/>
    </row>
    <row r="10960" spans="15:15">
      <c r="O10960" s="4288"/>
    </row>
    <row r="10961" spans="15:15">
      <c r="O10961" s="4288"/>
    </row>
    <row r="10962" spans="15:15">
      <c r="O10962" s="4288"/>
    </row>
    <row r="10963" spans="15:15">
      <c r="O10963" s="4288"/>
    </row>
    <row r="10964" spans="15:15">
      <c r="O10964" s="4288"/>
    </row>
    <row r="10965" spans="15:15">
      <c r="O10965" s="4288"/>
    </row>
    <row r="10966" spans="15:15">
      <c r="O10966" s="4288"/>
    </row>
    <row r="10967" spans="15:15">
      <c r="O10967" s="4288"/>
    </row>
    <row r="10968" spans="15:15">
      <c r="O10968" s="4288"/>
    </row>
    <row r="10969" spans="15:15">
      <c r="O10969" s="4288"/>
    </row>
    <row r="10970" spans="15:15">
      <c r="O10970" s="4288"/>
    </row>
    <row r="10971" spans="15:15">
      <c r="O10971" s="4288"/>
    </row>
    <row r="10972" spans="15:15">
      <c r="O10972" s="4288"/>
    </row>
    <row r="10973" spans="15:15">
      <c r="O10973" s="4288"/>
    </row>
    <row r="10974" spans="15:15">
      <c r="O10974" s="4288"/>
    </row>
    <row r="10975" spans="15:15">
      <c r="O10975" s="4288"/>
    </row>
    <row r="10976" spans="15:15">
      <c r="O10976" s="4288"/>
    </row>
    <row r="10977" spans="15:15">
      <c r="O10977" s="4288"/>
    </row>
    <row r="10978" spans="15:15">
      <c r="O10978" s="4288"/>
    </row>
    <row r="10979" spans="15:15">
      <c r="O10979" s="4288"/>
    </row>
    <row r="10980" spans="15:15">
      <c r="O10980" s="4288"/>
    </row>
    <row r="10981" spans="15:15">
      <c r="O10981" s="4288"/>
    </row>
    <row r="10982" spans="15:15">
      <c r="O10982" s="4288"/>
    </row>
    <row r="10983" spans="15:15">
      <c r="O10983" s="4288"/>
    </row>
    <row r="10984" spans="15:15">
      <c r="O10984" s="4288"/>
    </row>
    <row r="10985" spans="15:15">
      <c r="O10985" s="4288"/>
    </row>
    <row r="10986" spans="15:15">
      <c r="O10986" s="4288"/>
    </row>
    <row r="10987" spans="15:15">
      <c r="O10987" s="4288"/>
    </row>
    <row r="10988" spans="15:15">
      <c r="O10988" s="4288"/>
    </row>
    <row r="10989" spans="15:15">
      <c r="O10989" s="4288"/>
    </row>
    <row r="10990" spans="15:15">
      <c r="O10990" s="4288"/>
    </row>
    <row r="10991" spans="15:15">
      <c r="O10991" s="4288"/>
    </row>
    <row r="10992" spans="15:15">
      <c r="O10992" s="4288"/>
    </row>
    <row r="10993" spans="15:15">
      <c r="O10993" s="4288"/>
    </row>
    <row r="10994" spans="15:15">
      <c r="O10994" s="4288"/>
    </row>
    <row r="10995" spans="15:15">
      <c r="O10995" s="4288"/>
    </row>
    <row r="10996" spans="15:15">
      <c r="O10996" s="4288"/>
    </row>
    <row r="10997" spans="15:15">
      <c r="O10997" s="4288"/>
    </row>
    <row r="10998" spans="15:15">
      <c r="O10998" s="4288"/>
    </row>
    <row r="10999" spans="15:15">
      <c r="O10999" s="4288"/>
    </row>
    <row r="11000" spans="15:15">
      <c r="O11000" s="4288"/>
    </row>
    <row r="11001" spans="15:15">
      <c r="O11001" s="4288"/>
    </row>
    <row r="11002" spans="15:15">
      <c r="O11002" s="4288"/>
    </row>
    <row r="11003" spans="15:15">
      <c r="O11003" s="4288"/>
    </row>
    <row r="11004" spans="15:15">
      <c r="O11004" s="4288"/>
    </row>
    <row r="11005" spans="15:15">
      <c r="O11005" s="4288"/>
    </row>
    <row r="11006" spans="15:15">
      <c r="O11006" s="4288"/>
    </row>
    <row r="11007" spans="15:15">
      <c r="O11007" s="4288"/>
    </row>
    <row r="11008" spans="15:15">
      <c r="O11008" s="4288"/>
    </row>
    <row r="11009" spans="15:15">
      <c r="O11009" s="4288"/>
    </row>
    <row r="11010" spans="15:15">
      <c r="O11010" s="4288"/>
    </row>
    <row r="11011" spans="15:15">
      <c r="O11011" s="4288"/>
    </row>
    <row r="11012" spans="15:15">
      <c r="O11012" s="4288"/>
    </row>
    <row r="11013" spans="15:15">
      <c r="O11013" s="4288"/>
    </row>
    <row r="11014" spans="15:15">
      <c r="O11014" s="4288"/>
    </row>
    <row r="11015" spans="15:15">
      <c r="O11015" s="4288"/>
    </row>
    <row r="11016" spans="15:15">
      <c r="O11016" s="4288"/>
    </row>
    <row r="11017" spans="15:15">
      <c r="O11017" s="4288"/>
    </row>
    <row r="11018" spans="15:15">
      <c r="O11018" s="4288"/>
    </row>
    <row r="11019" spans="15:15">
      <c r="O11019" s="4288"/>
    </row>
    <row r="11020" spans="15:15">
      <c r="O11020" s="4288"/>
    </row>
    <row r="11021" spans="15:15">
      <c r="O11021" s="4288"/>
    </row>
    <row r="11022" spans="15:15">
      <c r="O11022" s="4288"/>
    </row>
    <row r="11023" spans="15:15">
      <c r="O11023" s="4288"/>
    </row>
    <row r="11024" spans="15:15">
      <c r="O11024" s="4288"/>
    </row>
    <row r="11025" spans="15:15">
      <c r="O11025" s="4288"/>
    </row>
    <row r="11026" spans="15:15">
      <c r="O11026" s="4288"/>
    </row>
    <row r="11027" spans="15:15">
      <c r="O11027" s="4288"/>
    </row>
    <row r="11028" spans="15:15">
      <c r="O11028" s="4288"/>
    </row>
    <row r="11029" spans="15:15">
      <c r="O11029" s="4288"/>
    </row>
    <row r="11030" spans="15:15">
      <c r="O11030" s="4288"/>
    </row>
    <row r="11031" spans="15:15">
      <c r="O11031" s="4288"/>
    </row>
    <row r="11032" spans="15:15">
      <c r="O11032" s="4288"/>
    </row>
    <row r="11033" spans="15:15">
      <c r="O11033" s="4288"/>
    </row>
    <row r="11034" spans="15:15">
      <c r="O11034" s="4288"/>
    </row>
    <row r="11035" spans="15:15">
      <c r="O11035" s="4288"/>
    </row>
    <row r="11036" spans="15:15">
      <c r="O11036" s="4288"/>
    </row>
    <row r="11037" spans="15:15">
      <c r="O11037" s="4288"/>
    </row>
    <row r="11038" spans="15:15">
      <c r="O11038" s="4288"/>
    </row>
    <row r="11039" spans="15:15">
      <c r="O11039" s="4288"/>
    </row>
    <row r="11040" spans="15:15">
      <c r="O11040" s="4288"/>
    </row>
    <row r="11041" spans="15:15">
      <c r="O11041" s="4288"/>
    </row>
    <row r="11042" spans="15:15">
      <c r="O11042" s="4288"/>
    </row>
    <row r="11043" spans="15:15">
      <c r="O11043" s="4288"/>
    </row>
    <row r="11044" spans="15:15">
      <c r="O11044" s="4288"/>
    </row>
    <row r="11045" spans="15:15">
      <c r="O11045" s="4288"/>
    </row>
    <row r="11046" spans="15:15">
      <c r="O11046" s="4288"/>
    </row>
    <row r="11047" spans="15:15">
      <c r="O11047" s="4288"/>
    </row>
    <row r="11048" spans="15:15">
      <c r="O11048" s="4288"/>
    </row>
    <row r="11049" spans="15:15">
      <c r="O11049" s="4288"/>
    </row>
    <row r="11050" spans="15:15">
      <c r="O11050" s="4288"/>
    </row>
    <row r="11051" spans="15:15">
      <c r="O11051" s="4288"/>
    </row>
    <row r="11052" spans="15:15">
      <c r="O11052" s="4288"/>
    </row>
    <row r="11053" spans="15:15">
      <c r="O11053" s="4288"/>
    </row>
    <row r="11054" spans="15:15">
      <c r="O11054" s="4288"/>
    </row>
    <row r="11055" spans="15:15">
      <c r="O11055" s="4288"/>
    </row>
    <row r="11056" spans="15:15">
      <c r="O11056" s="4288"/>
    </row>
    <row r="11057" spans="15:15">
      <c r="O11057" s="4288"/>
    </row>
    <row r="11058" spans="15:15">
      <c r="O11058" s="4288"/>
    </row>
    <row r="11059" spans="15:15">
      <c r="O11059" s="4288"/>
    </row>
    <row r="11060" spans="15:15">
      <c r="O11060" s="4288"/>
    </row>
    <row r="11061" spans="15:15">
      <c r="O11061" s="4288"/>
    </row>
    <row r="11062" spans="15:15">
      <c r="O11062" s="4288"/>
    </row>
    <row r="11063" spans="15:15">
      <c r="O11063" s="4288"/>
    </row>
    <row r="11064" spans="15:15">
      <c r="O11064" s="4288"/>
    </row>
    <row r="11065" spans="15:15">
      <c r="O11065" s="4288"/>
    </row>
    <row r="11066" spans="15:15">
      <c r="O11066" s="4288"/>
    </row>
    <row r="11067" spans="15:15">
      <c r="O11067" s="4288"/>
    </row>
    <row r="11068" spans="15:15">
      <c r="O11068" s="4288"/>
    </row>
    <row r="11069" spans="15:15">
      <c r="O11069" s="4288"/>
    </row>
    <row r="11070" spans="15:15">
      <c r="O11070" s="4288"/>
    </row>
    <row r="11071" spans="15:15">
      <c r="O11071" s="4288"/>
    </row>
    <row r="11072" spans="15:15">
      <c r="O11072" s="4288"/>
    </row>
    <row r="11073" spans="15:15">
      <c r="O11073" s="4288"/>
    </row>
    <row r="11074" spans="15:15">
      <c r="O11074" s="4288"/>
    </row>
    <row r="11075" spans="15:15">
      <c r="O11075" s="4288"/>
    </row>
    <row r="11076" spans="15:15">
      <c r="O11076" s="4288"/>
    </row>
    <row r="11077" spans="15:15">
      <c r="O11077" s="4288"/>
    </row>
    <row r="11078" spans="15:15">
      <c r="O11078" s="4288"/>
    </row>
    <row r="11079" spans="15:15">
      <c r="O11079" s="4288"/>
    </row>
    <row r="11080" spans="15:15">
      <c r="O11080" s="4288"/>
    </row>
    <row r="11081" spans="15:15">
      <c r="O11081" s="4288"/>
    </row>
    <row r="11082" spans="15:15">
      <c r="O11082" s="4288"/>
    </row>
    <row r="11083" spans="15:15">
      <c r="O11083" s="4288"/>
    </row>
    <row r="11084" spans="15:15">
      <c r="O11084" s="4288"/>
    </row>
    <row r="11085" spans="15:15">
      <c r="O11085" s="4288"/>
    </row>
    <row r="11086" spans="15:15">
      <c r="O11086" s="4288"/>
    </row>
    <row r="11087" spans="15:15">
      <c r="O11087" s="4288"/>
    </row>
    <row r="11088" spans="15:15">
      <c r="O11088" s="4288"/>
    </row>
    <row r="11089" spans="15:15">
      <c r="O11089" s="4288"/>
    </row>
    <row r="11090" spans="15:15">
      <c r="O11090" s="4288"/>
    </row>
    <row r="11091" spans="15:15">
      <c r="O11091" s="4288"/>
    </row>
    <row r="11092" spans="15:15">
      <c r="O11092" s="4288"/>
    </row>
    <row r="11093" spans="15:15">
      <c r="O11093" s="4288"/>
    </row>
    <row r="11094" spans="15:15">
      <c r="O11094" s="4288"/>
    </row>
    <row r="11095" spans="15:15">
      <c r="O11095" s="4288"/>
    </row>
    <row r="11096" spans="15:15">
      <c r="O11096" s="4288"/>
    </row>
    <row r="11097" spans="15:15">
      <c r="O11097" s="4288"/>
    </row>
    <row r="11098" spans="15:15">
      <c r="O11098" s="4288"/>
    </row>
    <row r="11099" spans="15:15">
      <c r="O11099" s="4288"/>
    </row>
    <row r="11100" spans="15:15">
      <c r="O11100" s="4288"/>
    </row>
    <row r="11101" spans="15:15">
      <c r="O11101" s="4288"/>
    </row>
    <row r="11102" spans="15:15">
      <c r="O11102" s="4288"/>
    </row>
    <row r="11103" spans="15:15">
      <c r="O11103" s="4288"/>
    </row>
    <row r="11104" spans="15:15">
      <c r="O11104" s="4288"/>
    </row>
    <row r="11105" spans="15:15">
      <c r="O11105" s="4288"/>
    </row>
    <row r="11106" spans="15:15">
      <c r="O11106" s="4288"/>
    </row>
    <row r="11107" spans="15:15">
      <c r="O11107" s="4288"/>
    </row>
    <row r="11108" spans="15:15">
      <c r="O11108" s="4288"/>
    </row>
    <row r="11109" spans="15:15">
      <c r="O11109" s="4288"/>
    </row>
    <row r="11110" spans="15:15">
      <c r="O11110" s="4288"/>
    </row>
    <row r="11111" spans="15:15">
      <c r="O11111" s="4288"/>
    </row>
    <row r="11112" spans="15:15">
      <c r="O11112" s="4288"/>
    </row>
    <row r="11113" spans="15:15">
      <c r="O11113" s="4288"/>
    </row>
    <row r="11114" spans="15:15">
      <c r="O11114" s="4288"/>
    </row>
    <row r="11115" spans="15:15">
      <c r="O11115" s="4288"/>
    </row>
    <row r="11116" spans="15:15">
      <c r="O11116" s="4288"/>
    </row>
    <row r="11117" spans="15:15">
      <c r="O11117" s="4288"/>
    </row>
    <row r="11118" spans="15:15">
      <c r="O11118" s="4288"/>
    </row>
    <row r="11119" spans="15:15">
      <c r="O11119" s="4288"/>
    </row>
    <row r="11120" spans="15:15">
      <c r="O11120" s="4288"/>
    </row>
    <row r="11121" spans="15:15">
      <c r="O11121" s="4288"/>
    </row>
    <row r="11122" spans="15:15">
      <c r="O11122" s="4288"/>
    </row>
    <row r="11123" spans="15:15">
      <c r="O11123" s="4288"/>
    </row>
    <row r="11124" spans="15:15">
      <c r="O11124" s="4288"/>
    </row>
    <row r="11125" spans="15:15">
      <c r="O11125" s="4288"/>
    </row>
    <row r="11126" spans="15:15">
      <c r="O11126" s="4288"/>
    </row>
    <row r="11127" spans="15:15">
      <c r="O11127" s="4288"/>
    </row>
    <row r="11128" spans="15:15">
      <c r="O11128" s="4288"/>
    </row>
    <row r="11129" spans="15:15">
      <c r="O11129" s="4288"/>
    </row>
    <row r="11130" spans="15:15">
      <c r="O11130" s="4288"/>
    </row>
    <row r="11131" spans="15:15">
      <c r="O11131" s="4288"/>
    </row>
    <row r="11132" spans="15:15">
      <c r="O11132" s="4288"/>
    </row>
    <row r="11133" spans="15:15">
      <c r="O11133" s="4288"/>
    </row>
    <row r="11134" spans="15:15">
      <c r="O11134" s="4288"/>
    </row>
    <row r="11135" spans="15:15">
      <c r="O11135" s="4288"/>
    </row>
    <row r="11136" spans="15:15">
      <c r="O11136" s="4288"/>
    </row>
    <row r="11137" spans="15:15">
      <c r="O11137" s="4288"/>
    </row>
    <row r="11138" spans="15:15">
      <c r="O11138" s="4288"/>
    </row>
    <row r="11139" spans="15:15">
      <c r="O11139" s="4288"/>
    </row>
    <row r="11140" spans="15:15">
      <c r="O11140" s="4288"/>
    </row>
    <row r="11141" spans="15:15">
      <c r="O11141" s="4288"/>
    </row>
    <row r="11142" spans="15:15">
      <c r="O11142" s="4288"/>
    </row>
    <row r="11143" spans="15:15">
      <c r="O11143" s="4288"/>
    </row>
    <row r="11144" spans="15:15">
      <c r="O11144" s="4288"/>
    </row>
    <row r="11145" spans="15:15">
      <c r="O11145" s="4288"/>
    </row>
    <row r="11146" spans="15:15">
      <c r="O11146" s="4288"/>
    </row>
    <row r="11147" spans="15:15">
      <c r="O11147" s="4288"/>
    </row>
    <row r="11148" spans="15:15">
      <c r="O11148" s="4288"/>
    </row>
    <row r="11149" spans="15:15">
      <c r="O11149" s="4288"/>
    </row>
    <row r="11150" spans="15:15">
      <c r="O11150" s="4288"/>
    </row>
    <row r="11151" spans="15:15">
      <c r="O11151" s="4288"/>
    </row>
    <row r="11152" spans="15:15">
      <c r="O11152" s="4288"/>
    </row>
    <row r="11153" spans="15:15">
      <c r="O11153" s="4288"/>
    </row>
    <row r="11154" spans="15:15">
      <c r="O11154" s="4288"/>
    </row>
    <row r="11155" spans="15:15">
      <c r="O11155" s="4288"/>
    </row>
    <row r="11156" spans="15:15">
      <c r="O11156" s="4288"/>
    </row>
    <row r="11157" spans="15:15">
      <c r="O11157" s="4288"/>
    </row>
    <row r="11158" spans="15:15">
      <c r="O11158" s="4288"/>
    </row>
    <row r="11159" spans="15:15">
      <c r="O11159" s="4288"/>
    </row>
    <row r="11160" spans="15:15">
      <c r="O11160" s="4288"/>
    </row>
    <row r="11161" spans="15:15">
      <c r="O11161" s="4288"/>
    </row>
    <row r="11162" spans="15:15">
      <c r="O11162" s="4288"/>
    </row>
    <row r="11163" spans="15:15">
      <c r="O11163" s="4288"/>
    </row>
    <row r="11164" spans="15:15">
      <c r="O11164" s="4288"/>
    </row>
    <row r="11165" spans="15:15">
      <c r="O11165" s="4288"/>
    </row>
    <row r="11166" spans="15:15">
      <c r="O11166" s="4288"/>
    </row>
    <row r="11167" spans="15:15">
      <c r="O11167" s="4288"/>
    </row>
    <row r="11168" spans="15:15">
      <c r="O11168" s="4288"/>
    </row>
    <row r="11169" spans="15:15">
      <c r="O11169" s="4288"/>
    </row>
    <row r="11170" spans="15:15">
      <c r="O11170" s="4288"/>
    </row>
    <row r="11171" spans="15:15">
      <c r="O11171" s="4288"/>
    </row>
    <row r="11172" spans="15:15">
      <c r="O11172" s="4288"/>
    </row>
    <row r="11173" spans="15:15">
      <c r="O11173" s="4288"/>
    </row>
    <row r="11174" spans="15:15">
      <c r="O11174" s="4288"/>
    </row>
    <row r="11175" spans="15:15">
      <c r="O11175" s="4288"/>
    </row>
    <row r="11176" spans="15:15">
      <c r="O11176" s="4288"/>
    </row>
    <row r="11177" spans="15:15">
      <c r="O11177" s="4288"/>
    </row>
    <row r="11178" spans="15:15">
      <c r="O11178" s="4288"/>
    </row>
    <row r="11179" spans="15:15">
      <c r="O11179" s="4288"/>
    </row>
    <row r="11180" spans="15:15">
      <c r="O11180" s="4288"/>
    </row>
    <row r="11181" spans="15:15">
      <c r="O11181" s="4288"/>
    </row>
    <row r="11182" spans="15:15">
      <c r="O11182" s="4288"/>
    </row>
    <row r="11183" spans="15:15">
      <c r="O11183" s="4288"/>
    </row>
    <row r="11184" spans="15:15">
      <c r="O11184" s="4288"/>
    </row>
    <row r="11185" spans="15:15">
      <c r="O11185" s="4288"/>
    </row>
    <row r="11186" spans="15:15">
      <c r="O11186" s="4288"/>
    </row>
    <row r="11187" spans="15:15">
      <c r="O11187" s="4288"/>
    </row>
    <row r="11188" spans="15:15">
      <c r="O11188" s="4288"/>
    </row>
    <row r="11189" spans="15:15">
      <c r="O11189" s="4288"/>
    </row>
    <row r="11190" spans="15:15">
      <c r="O11190" s="4288"/>
    </row>
    <row r="11191" spans="15:15">
      <c r="O11191" s="4288"/>
    </row>
    <row r="11192" spans="15:15">
      <c r="O11192" s="4288"/>
    </row>
    <row r="11193" spans="15:15">
      <c r="O11193" s="4288"/>
    </row>
    <row r="11194" spans="15:15">
      <c r="O11194" s="4288"/>
    </row>
    <row r="11195" spans="15:15">
      <c r="O11195" s="4288"/>
    </row>
    <row r="11196" spans="15:15">
      <c r="O11196" s="4288"/>
    </row>
    <row r="11197" spans="15:15">
      <c r="O11197" s="4288"/>
    </row>
    <row r="11198" spans="15:15">
      <c r="O11198" s="4288"/>
    </row>
    <row r="11199" spans="15:15">
      <c r="O11199" s="4288"/>
    </row>
    <row r="11200" spans="15:15">
      <c r="O11200" s="4288"/>
    </row>
    <row r="11201" spans="15:15">
      <c r="O11201" s="4288"/>
    </row>
    <row r="11202" spans="15:15">
      <c r="O11202" s="4288"/>
    </row>
    <row r="11203" spans="15:15">
      <c r="O11203" s="4288"/>
    </row>
    <row r="11204" spans="15:15">
      <c r="O11204" s="4288"/>
    </row>
    <row r="11205" spans="15:15">
      <c r="O11205" s="4288"/>
    </row>
    <row r="11206" spans="15:15">
      <c r="O11206" s="4288"/>
    </row>
    <row r="11207" spans="15:15">
      <c r="O11207" s="4288"/>
    </row>
    <row r="11208" spans="15:15">
      <c r="O11208" s="4288"/>
    </row>
    <row r="11209" spans="15:15">
      <c r="O11209" s="4288"/>
    </row>
    <row r="11210" spans="15:15">
      <c r="O11210" s="4288"/>
    </row>
    <row r="11211" spans="15:15">
      <c r="O11211" s="4288"/>
    </row>
    <row r="11212" spans="15:15">
      <c r="O11212" s="4288"/>
    </row>
    <row r="11213" spans="15:15">
      <c r="O11213" s="4288"/>
    </row>
    <row r="11214" spans="15:15">
      <c r="O11214" s="4288"/>
    </row>
    <row r="11215" spans="15:15">
      <c r="O11215" s="4288"/>
    </row>
    <row r="11216" spans="15:15">
      <c r="O11216" s="4288"/>
    </row>
    <row r="11217" spans="15:15">
      <c r="O11217" s="4288"/>
    </row>
    <row r="11218" spans="15:15">
      <c r="O11218" s="4288"/>
    </row>
    <row r="11219" spans="15:15">
      <c r="O11219" s="4288"/>
    </row>
    <row r="11220" spans="15:15">
      <c r="O11220" s="4288"/>
    </row>
    <row r="11221" spans="15:15">
      <c r="O11221" s="4288"/>
    </row>
    <row r="11222" spans="15:15">
      <c r="O11222" s="4288"/>
    </row>
    <row r="11223" spans="15:15">
      <c r="O11223" s="4288"/>
    </row>
    <row r="11224" spans="15:15">
      <c r="O11224" s="4288"/>
    </row>
    <row r="11225" spans="15:15">
      <c r="O11225" s="4288"/>
    </row>
    <row r="11226" spans="15:15">
      <c r="O11226" s="4288"/>
    </row>
    <row r="11227" spans="15:15">
      <c r="O11227" s="4288"/>
    </row>
    <row r="11228" spans="15:15">
      <c r="O11228" s="4288"/>
    </row>
    <row r="11229" spans="15:15">
      <c r="O11229" s="4288"/>
    </row>
    <row r="11230" spans="15:15">
      <c r="O11230" s="4288"/>
    </row>
    <row r="11231" spans="15:15">
      <c r="O11231" s="4288"/>
    </row>
    <row r="11232" spans="15:15">
      <c r="O11232" s="4288"/>
    </row>
    <row r="11233" spans="15:15">
      <c r="O11233" s="4288"/>
    </row>
    <row r="11234" spans="15:15">
      <c r="O11234" s="4288"/>
    </row>
    <row r="11235" spans="15:15">
      <c r="O11235" s="4288"/>
    </row>
    <row r="11236" spans="15:15">
      <c r="O11236" s="4288"/>
    </row>
    <row r="11237" spans="15:15">
      <c r="O11237" s="4288"/>
    </row>
    <row r="11238" spans="15:15">
      <c r="O11238" s="4288"/>
    </row>
    <row r="11239" spans="15:15">
      <c r="O11239" s="4288"/>
    </row>
    <row r="11240" spans="15:15">
      <c r="O11240" s="4288"/>
    </row>
    <row r="11241" spans="15:15">
      <c r="O11241" s="4288"/>
    </row>
    <row r="11242" spans="15:15">
      <c r="O11242" s="4288"/>
    </row>
    <row r="11243" spans="15:15">
      <c r="O11243" s="4288"/>
    </row>
    <row r="11244" spans="15:15">
      <c r="O11244" s="4288"/>
    </row>
    <row r="11245" spans="15:15">
      <c r="O11245" s="4288"/>
    </row>
    <row r="11246" spans="15:15">
      <c r="O11246" s="4288"/>
    </row>
    <row r="11247" spans="15:15">
      <c r="O11247" s="4288"/>
    </row>
    <row r="11248" spans="15:15">
      <c r="O11248" s="4288"/>
    </row>
    <row r="11249" spans="15:15">
      <c r="O11249" s="4288"/>
    </row>
    <row r="11250" spans="15:15">
      <c r="O11250" s="4288"/>
    </row>
    <row r="11251" spans="15:15">
      <c r="O11251" s="4288"/>
    </row>
    <row r="11252" spans="15:15">
      <c r="O11252" s="4288"/>
    </row>
    <row r="11253" spans="15:15">
      <c r="O11253" s="4288"/>
    </row>
    <row r="11254" spans="15:15">
      <c r="O11254" s="4288"/>
    </row>
    <row r="11255" spans="15:15">
      <c r="O11255" s="4288"/>
    </row>
    <row r="11256" spans="15:15">
      <c r="O11256" s="4288"/>
    </row>
    <row r="11257" spans="15:15">
      <c r="O11257" s="4288"/>
    </row>
    <row r="11258" spans="15:15">
      <c r="O11258" s="4288"/>
    </row>
    <row r="11259" spans="15:15">
      <c r="O11259" s="4288"/>
    </row>
    <row r="11260" spans="15:15">
      <c r="O11260" s="4288"/>
    </row>
    <row r="11261" spans="15:15">
      <c r="O11261" s="4288"/>
    </row>
    <row r="11262" spans="15:15">
      <c r="O11262" s="4288"/>
    </row>
    <row r="11263" spans="15:15">
      <c r="O11263" s="4288"/>
    </row>
    <row r="11264" spans="15:15">
      <c r="O11264" s="4288"/>
    </row>
    <row r="11265" spans="15:15">
      <c r="O11265" s="4288"/>
    </row>
    <row r="11266" spans="15:15">
      <c r="O11266" s="4288"/>
    </row>
    <row r="11267" spans="15:15">
      <c r="O11267" s="4288"/>
    </row>
    <row r="11268" spans="15:15">
      <c r="O11268" s="4288"/>
    </row>
    <row r="11269" spans="15:15">
      <c r="O11269" s="4288"/>
    </row>
    <row r="11270" spans="15:15">
      <c r="O11270" s="4288"/>
    </row>
    <row r="11271" spans="15:15">
      <c r="O11271" s="4288"/>
    </row>
    <row r="11272" spans="15:15">
      <c r="O11272" s="4288"/>
    </row>
    <row r="11273" spans="15:15">
      <c r="O11273" s="4288"/>
    </row>
    <row r="11274" spans="15:15">
      <c r="O11274" s="4288"/>
    </row>
    <row r="11275" spans="15:15">
      <c r="O11275" s="4288"/>
    </row>
    <row r="11276" spans="15:15">
      <c r="O11276" s="4288"/>
    </row>
    <row r="11277" spans="15:15">
      <c r="O11277" s="4288"/>
    </row>
    <row r="11278" spans="15:15">
      <c r="O11278" s="4288"/>
    </row>
    <row r="11279" spans="15:15">
      <c r="O11279" s="4288"/>
    </row>
    <row r="11280" spans="15:15">
      <c r="O11280" s="4288"/>
    </row>
    <row r="11281" spans="15:15">
      <c r="O11281" s="4288"/>
    </row>
    <row r="11282" spans="15:15">
      <c r="O11282" s="4288"/>
    </row>
    <row r="11283" spans="15:15">
      <c r="O11283" s="4288"/>
    </row>
    <row r="11284" spans="15:15">
      <c r="O11284" s="4288"/>
    </row>
    <row r="11285" spans="15:15">
      <c r="O11285" s="4288"/>
    </row>
    <row r="11286" spans="15:15">
      <c r="O11286" s="4288"/>
    </row>
    <row r="11287" spans="15:15">
      <c r="O11287" s="4288"/>
    </row>
    <row r="11288" spans="15:15">
      <c r="O11288" s="4288"/>
    </row>
    <row r="11289" spans="15:15">
      <c r="O11289" s="4288"/>
    </row>
    <row r="11290" spans="15:15">
      <c r="O11290" s="4288"/>
    </row>
    <row r="11291" spans="15:15">
      <c r="O11291" s="4288"/>
    </row>
    <row r="11292" spans="15:15">
      <c r="O11292" s="4288"/>
    </row>
    <row r="11293" spans="15:15">
      <c r="O11293" s="4288"/>
    </row>
    <row r="11294" spans="15:15">
      <c r="O11294" s="4288"/>
    </row>
    <row r="11295" spans="15:15">
      <c r="O11295" s="4288"/>
    </row>
    <row r="11296" spans="15:15">
      <c r="O11296" s="4288"/>
    </row>
    <row r="11297" spans="15:15">
      <c r="O11297" s="4288"/>
    </row>
    <row r="11298" spans="15:15">
      <c r="O11298" s="4288"/>
    </row>
    <row r="11299" spans="15:15">
      <c r="O11299" s="4288"/>
    </row>
    <row r="11300" spans="15:15">
      <c r="O11300" s="4288"/>
    </row>
    <row r="11301" spans="15:15">
      <c r="O11301" s="4288"/>
    </row>
    <row r="11302" spans="15:15">
      <c r="O11302" s="4288"/>
    </row>
    <row r="11303" spans="15:15">
      <c r="O11303" s="4288"/>
    </row>
    <row r="11304" spans="15:15">
      <c r="O11304" s="4288"/>
    </row>
    <row r="11305" spans="15:15">
      <c r="O11305" s="4288"/>
    </row>
    <row r="11306" spans="15:15">
      <c r="O11306" s="4288"/>
    </row>
    <row r="11307" spans="15:15">
      <c r="O11307" s="4288"/>
    </row>
    <row r="11308" spans="15:15">
      <c r="O11308" s="4288"/>
    </row>
    <row r="11309" spans="15:15">
      <c r="O11309" s="4288"/>
    </row>
    <row r="11310" spans="15:15">
      <c r="O11310" s="4288"/>
    </row>
    <row r="11311" spans="15:15">
      <c r="O11311" s="4288"/>
    </row>
    <row r="11312" spans="15:15">
      <c r="O11312" s="4288"/>
    </row>
    <row r="11313" spans="15:15">
      <c r="O11313" s="4288"/>
    </row>
    <row r="11314" spans="15:15">
      <c r="O11314" s="4288"/>
    </row>
    <row r="11315" spans="15:15">
      <c r="O11315" s="4288"/>
    </row>
    <row r="11316" spans="15:15">
      <c r="O11316" s="4288"/>
    </row>
    <row r="11317" spans="15:15">
      <c r="O11317" s="4288"/>
    </row>
    <row r="11318" spans="15:15">
      <c r="O11318" s="4288"/>
    </row>
    <row r="11319" spans="15:15">
      <c r="O11319" s="4288"/>
    </row>
    <row r="11320" spans="15:15">
      <c r="O11320" s="4288"/>
    </row>
    <row r="11321" spans="15:15">
      <c r="O11321" s="4288"/>
    </row>
    <row r="11322" spans="15:15">
      <c r="O11322" s="4288"/>
    </row>
    <row r="11323" spans="15:15">
      <c r="O11323" s="4288"/>
    </row>
    <row r="11324" spans="15:15">
      <c r="O11324" s="4288"/>
    </row>
    <row r="11325" spans="15:15">
      <c r="O11325" s="4288"/>
    </row>
    <row r="11326" spans="15:15">
      <c r="O11326" s="4288"/>
    </row>
    <row r="11327" spans="15:15">
      <c r="O11327" s="4288"/>
    </row>
    <row r="11328" spans="15:15">
      <c r="O11328" s="4288"/>
    </row>
    <row r="11329" spans="15:15">
      <c r="O11329" s="4288"/>
    </row>
    <row r="11330" spans="15:15">
      <c r="O11330" s="4288"/>
    </row>
    <row r="11331" spans="15:15">
      <c r="O11331" s="4288"/>
    </row>
    <row r="11332" spans="15:15">
      <c r="O11332" s="4288"/>
    </row>
    <row r="11333" spans="15:15">
      <c r="O11333" s="4288"/>
    </row>
    <row r="11334" spans="15:15">
      <c r="O11334" s="4288"/>
    </row>
    <row r="11335" spans="15:15">
      <c r="O11335" s="4288"/>
    </row>
    <row r="11336" spans="15:15">
      <c r="O11336" s="4288"/>
    </row>
    <row r="11337" spans="15:15">
      <c r="O11337" s="4288"/>
    </row>
    <row r="11338" spans="15:15">
      <c r="O11338" s="4288"/>
    </row>
    <row r="11339" spans="15:15">
      <c r="O11339" s="4288"/>
    </row>
    <row r="11340" spans="15:15">
      <c r="O11340" s="4288"/>
    </row>
    <row r="11341" spans="15:15">
      <c r="O11341" s="4288"/>
    </row>
    <row r="11342" spans="15:15">
      <c r="O11342" s="4288"/>
    </row>
    <row r="11343" spans="15:15">
      <c r="O11343" s="4288"/>
    </row>
    <row r="11344" spans="15:15">
      <c r="O11344" s="4288"/>
    </row>
    <row r="11345" spans="15:15">
      <c r="O11345" s="4288"/>
    </row>
    <row r="11346" spans="15:15">
      <c r="O11346" s="4288"/>
    </row>
    <row r="11347" spans="15:15">
      <c r="O11347" s="4288"/>
    </row>
    <row r="11348" spans="15:15">
      <c r="O11348" s="4288"/>
    </row>
    <row r="11349" spans="15:15">
      <c r="O11349" s="4288"/>
    </row>
    <row r="11350" spans="15:15">
      <c r="O11350" s="4288"/>
    </row>
    <row r="11351" spans="15:15">
      <c r="O11351" s="4288"/>
    </row>
    <row r="11352" spans="15:15">
      <c r="O11352" s="4288"/>
    </row>
    <row r="11353" spans="15:15">
      <c r="O11353" s="4288"/>
    </row>
    <row r="11354" spans="15:15">
      <c r="O11354" s="4288"/>
    </row>
    <row r="11355" spans="15:15">
      <c r="O11355" s="4288"/>
    </row>
    <row r="11356" spans="15:15">
      <c r="O11356" s="4288"/>
    </row>
    <row r="11357" spans="15:15">
      <c r="O11357" s="4288"/>
    </row>
    <row r="11358" spans="15:15">
      <c r="O11358" s="4288"/>
    </row>
    <row r="11359" spans="15:15">
      <c r="O11359" s="4288"/>
    </row>
    <row r="11360" spans="15:15">
      <c r="O11360" s="4288"/>
    </row>
    <row r="11361" spans="15:15">
      <c r="O11361" s="4288"/>
    </row>
    <row r="11362" spans="15:15">
      <c r="O11362" s="4288"/>
    </row>
    <row r="11363" spans="15:15">
      <c r="O11363" s="4288"/>
    </row>
    <row r="11364" spans="15:15">
      <c r="O11364" s="4288"/>
    </row>
    <row r="11365" spans="15:15">
      <c r="O11365" s="4288"/>
    </row>
    <row r="11366" spans="15:15">
      <c r="O11366" s="4288"/>
    </row>
    <row r="11367" spans="15:15">
      <c r="O11367" s="4288"/>
    </row>
    <row r="11368" spans="15:15">
      <c r="O11368" s="4288"/>
    </row>
    <row r="11369" spans="15:15">
      <c r="O11369" s="4288"/>
    </row>
    <row r="11370" spans="15:15">
      <c r="O11370" s="4288"/>
    </row>
    <row r="11371" spans="15:15">
      <c r="O11371" s="4288"/>
    </row>
    <row r="11372" spans="15:15">
      <c r="O11372" s="4288"/>
    </row>
    <row r="11373" spans="15:15">
      <c r="O11373" s="4288"/>
    </row>
    <row r="11374" spans="15:15">
      <c r="O11374" s="4288"/>
    </row>
    <row r="11375" spans="15:15">
      <c r="O11375" s="4288"/>
    </row>
    <row r="11376" spans="15:15">
      <c r="O11376" s="4288"/>
    </row>
    <row r="11377" spans="15:15">
      <c r="O11377" s="4288"/>
    </row>
    <row r="11378" spans="15:15">
      <c r="O11378" s="4288"/>
    </row>
    <row r="11379" spans="15:15">
      <c r="O11379" s="4288"/>
    </row>
    <row r="11380" spans="15:15">
      <c r="O11380" s="4288"/>
    </row>
    <row r="11381" spans="15:15">
      <c r="O11381" s="4288"/>
    </row>
    <row r="11382" spans="15:15">
      <c r="O11382" s="4288"/>
    </row>
    <row r="11383" spans="15:15">
      <c r="O11383" s="4288"/>
    </row>
    <row r="11384" spans="15:15">
      <c r="O11384" s="4288"/>
    </row>
    <row r="11385" spans="15:15">
      <c r="O11385" s="4288"/>
    </row>
    <row r="11386" spans="15:15">
      <c r="O11386" s="4288"/>
    </row>
    <row r="11387" spans="15:15">
      <c r="O11387" s="4288"/>
    </row>
    <row r="11388" spans="15:15">
      <c r="O11388" s="4288"/>
    </row>
    <row r="11389" spans="15:15">
      <c r="O11389" s="4288"/>
    </row>
    <row r="11390" spans="15:15">
      <c r="O11390" s="4288"/>
    </row>
    <row r="11391" spans="15:15">
      <c r="O11391" s="4288"/>
    </row>
    <row r="11392" spans="15:15">
      <c r="O11392" s="4288"/>
    </row>
    <row r="11393" spans="15:15">
      <c r="O11393" s="4288"/>
    </row>
    <row r="11394" spans="15:15">
      <c r="O11394" s="4288"/>
    </row>
    <row r="11395" spans="15:15">
      <c r="O11395" s="4288"/>
    </row>
    <row r="11396" spans="15:15">
      <c r="O11396" s="4288"/>
    </row>
    <row r="11397" spans="15:15">
      <c r="O11397" s="4288"/>
    </row>
    <row r="11398" spans="15:15">
      <c r="O11398" s="4288"/>
    </row>
    <row r="11399" spans="15:15">
      <c r="O11399" s="4288"/>
    </row>
    <row r="11400" spans="15:15">
      <c r="O11400" s="4288"/>
    </row>
    <row r="11401" spans="15:15">
      <c r="O11401" s="4288"/>
    </row>
    <row r="11402" spans="15:15">
      <c r="O11402" s="4288"/>
    </row>
    <row r="11403" spans="15:15">
      <c r="O11403" s="4288"/>
    </row>
    <row r="11404" spans="15:15">
      <c r="O11404" s="4288"/>
    </row>
    <row r="11405" spans="15:15">
      <c r="O11405" s="4288"/>
    </row>
    <row r="11406" spans="15:15">
      <c r="O11406" s="4288"/>
    </row>
    <row r="11407" spans="15:15">
      <c r="O11407" s="4288"/>
    </row>
    <row r="11408" spans="15:15">
      <c r="O11408" s="4288"/>
    </row>
    <row r="11409" spans="15:15">
      <c r="O11409" s="4288"/>
    </row>
    <row r="11410" spans="15:15">
      <c r="O11410" s="4288"/>
    </row>
    <row r="11411" spans="15:15">
      <c r="O11411" s="4288"/>
    </row>
    <row r="11412" spans="15:15">
      <c r="O11412" s="4288"/>
    </row>
    <row r="11413" spans="15:15">
      <c r="O11413" s="4288"/>
    </row>
    <row r="11414" spans="15:15">
      <c r="O11414" s="4288"/>
    </row>
    <row r="11415" spans="15:15">
      <c r="O11415" s="4288"/>
    </row>
    <row r="11416" spans="15:15">
      <c r="O11416" s="4288"/>
    </row>
    <row r="11417" spans="15:15">
      <c r="O11417" s="4288"/>
    </row>
    <row r="11418" spans="15:15">
      <c r="O11418" s="4288"/>
    </row>
    <row r="11419" spans="15:15">
      <c r="O11419" s="4288"/>
    </row>
    <row r="11420" spans="15:15">
      <c r="O11420" s="4288"/>
    </row>
    <row r="11421" spans="15:15">
      <c r="O11421" s="4288"/>
    </row>
    <row r="11422" spans="15:15">
      <c r="O11422" s="4288"/>
    </row>
    <row r="11423" spans="15:15">
      <c r="O11423" s="4288"/>
    </row>
    <row r="11424" spans="15:15">
      <c r="O11424" s="4288"/>
    </row>
    <row r="11425" spans="15:15">
      <c r="O11425" s="4288"/>
    </row>
    <row r="11426" spans="15:15">
      <c r="O11426" s="4288"/>
    </row>
    <row r="11427" spans="15:15">
      <c r="O11427" s="4288"/>
    </row>
    <row r="11428" spans="15:15">
      <c r="O11428" s="4288"/>
    </row>
    <row r="11429" spans="15:15">
      <c r="O11429" s="4288"/>
    </row>
    <row r="11430" spans="15:15">
      <c r="O11430" s="4288"/>
    </row>
    <row r="11431" spans="15:15">
      <c r="O11431" s="4288"/>
    </row>
    <row r="11432" spans="15:15">
      <c r="O11432" s="4288"/>
    </row>
    <row r="11433" spans="15:15">
      <c r="O11433" s="4288"/>
    </row>
    <row r="11434" spans="15:15">
      <c r="O11434" s="4288"/>
    </row>
    <row r="11435" spans="15:15">
      <c r="O11435" s="4288"/>
    </row>
    <row r="11436" spans="15:15">
      <c r="O11436" s="4288"/>
    </row>
    <row r="11437" spans="15:15">
      <c r="O11437" s="4288"/>
    </row>
    <row r="11438" spans="15:15">
      <c r="O11438" s="4288"/>
    </row>
    <row r="11439" spans="15:15">
      <c r="O11439" s="4288"/>
    </row>
    <row r="11440" spans="15:15">
      <c r="O11440" s="4288"/>
    </row>
    <row r="11441" spans="15:15">
      <c r="O11441" s="4288"/>
    </row>
    <row r="11442" spans="15:15">
      <c r="O11442" s="4288"/>
    </row>
    <row r="11443" spans="15:15">
      <c r="O11443" s="4288"/>
    </row>
    <row r="11444" spans="15:15">
      <c r="O11444" s="4288"/>
    </row>
    <row r="11445" spans="15:15">
      <c r="O11445" s="4288"/>
    </row>
    <row r="11446" spans="15:15">
      <c r="O11446" s="4288"/>
    </row>
    <row r="11447" spans="15:15">
      <c r="O11447" s="4288"/>
    </row>
    <row r="11448" spans="15:15">
      <c r="O11448" s="4288"/>
    </row>
    <row r="11449" spans="15:15">
      <c r="O11449" s="4288"/>
    </row>
    <row r="11450" spans="15:15">
      <c r="O11450" s="4288"/>
    </row>
    <row r="11451" spans="15:15">
      <c r="O11451" s="4288"/>
    </row>
    <row r="11452" spans="15:15">
      <c r="O11452" s="4288"/>
    </row>
    <row r="11453" spans="15:15">
      <c r="O11453" s="4288"/>
    </row>
    <row r="11454" spans="15:15">
      <c r="O11454" s="4288"/>
    </row>
    <row r="11455" spans="15:15">
      <c r="O11455" s="4288"/>
    </row>
    <row r="11456" spans="15:15">
      <c r="O11456" s="4288"/>
    </row>
    <row r="11457" spans="15:15">
      <c r="O11457" s="4288"/>
    </row>
    <row r="11458" spans="15:15">
      <c r="O11458" s="4288"/>
    </row>
    <row r="11459" spans="15:15">
      <c r="O11459" s="4288"/>
    </row>
    <row r="11460" spans="15:15">
      <c r="O11460" s="4288"/>
    </row>
    <row r="11461" spans="15:15">
      <c r="O11461" s="4288"/>
    </row>
    <row r="11462" spans="15:15">
      <c r="O11462" s="4288"/>
    </row>
    <row r="11463" spans="15:15">
      <c r="O11463" s="4288"/>
    </row>
    <row r="11464" spans="15:15">
      <c r="O11464" s="4288"/>
    </row>
    <row r="11465" spans="15:15">
      <c r="O11465" s="4288"/>
    </row>
    <row r="11466" spans="15:15">
      <c r="O11466" s="4288"/>
    </row>
    <row r="11467" spans="15:15">
      <c r="O11467" s="4288"/>
    </row>
    <row r="11468" spans="15:15">
      <c r="O11468" s="4288"/>
    </row>
    <row r="11469" spans="15:15">
      <c r="O11469" s="4288"/>
    </row>
    <row r="11470" spans="15:15">
      <c r="O11470" s="4288"/>
    </row>
    <row r="11471" spans="15:15">
      <c r="O11471" s="4288"/>
    </row>
    <row r="11472" spans="15:15">
      <c r="O11472" s="4288"/>
    </row>
    <row r="11473" spans="15:15">
      <c r="O11473" s="4288"/>
    </row>
    <row r="11474" spans="15:15">
      <c r="O11474" s="4288"/>
    </row>
    <row r="11475" spans="15:15">
      <c r="O11475" s="4288"/>
    </row>
    <row r="11476" spans="15:15">
      <c r="O11476" s="4288"/>
    </row>
    <row r="11477" spans="15:15">
      <c r="O11477" s="4288"/>
    </row>
    <row r="11478" spans="15:15">
      <c r="O11478" s="4288"/>
    </row>
    <row r="11479" spans="15:15">
      <c r="O11479" s="4288"/>
    </row>
    <row r="11480" spans="15:15">
      <c r="O11480" s="4288"/>
    </row>
    <row r="11481" spans="15:15">
      <c r="O11481" s="4288"/>
    </row>
    <row r="11482" spans="15:15">
      <c r="O11482" s="4288"/>
    </row>
    <row r="11483" spans="15:15">
      <c r="O11483" s="4288"/>
    </row>
    <row r="11484" spans="15:15">
      <c r="O11484" s="4288"/>
    </row>
    <row r="11485" spans="15:15">
      <c r="O11485" s="4288"/>
    </row>
    <row r="11486" spans="15:15">
      <c r="O11486" s="4288"/>
    </row>
    <row r="11487" spans="15:15">
      <c r="O11487" s="4288"/>
    </row>
    <row r="11488" spans="15:15">
      <c r="O11488" s="4288"/>
    </row>
    <row r="11489" spans="15:15">
      <c r="O11489" s="4288"/>
    </row>
    <row r="11490" spans="15:15">
      <c r="O11490" s="4288"/>
    </row>
    <row r="11491" spans="15:15">
      <c r="O11491" s="4288"/>
    </row>
    <row r="11492" spans="15:15">
      <c r="O11492" s="4288"/>
    </row>
    <row r="11493" spans="15:15">
      <c r="O11493" s="4288"/>
    </row>
    <row r="11494" spans="15:15">
      <c r="O11494" s="4288"/>
    </row>
    <row r="11495" spans="15:15">
      <c r="O11495" s="4288"/>
    </row>
    <row r="11496" spans="15:15">
      <c r="O11496" s="4288"/>
    </row>
    <row r="11497" spans="15:15">
      <c r="O11497" s="4288"/>
    </row>
    <row r="11498" spans="15:15">
      <c r="O11498" s="4288"/>
    </row>
    <row r="11499" spans="15:15">
      <c r="O11499" s="4288"/>
    </row>
    <row r="11500" spans="15:15">
      <c r="O11500" s="4288"/>
    </row>
    <row r="11501" spans="15:15">
      <c r="O11501" s="4288"/>
    </row>
    <row r="11502" spans="15:15">
      <c r="O11502" s="4288"/>
    </row>
    <row r="11503" spans="15:15">
      <c r="O11503" s="4288"/>
    </row>
    <row r="11504" spans="15:15">
      <c r="O11504" s="4288"/>
    </row>
    <row r="11505" spans="15:15">
      <c r="O11505" s="4288"/>
    </row>
    <row r="11506" spans="15:15">
      <c r="O11506" s="4288"/>
    </row>
    <row r="11507" spans="15:15">
      <c r="O11507" s="4288"/>
    </row>
    <row r="11508" spans="15:15">
      <c r="O11508" s="4288"/>
    </row>
    <row r="11509" spans="15:15">
      <c r="O11509" s="4288"/>
    </row>
    <row r="11510" spans="15:15">
      <c r="O11510" s="4288"/>
    </row>
    <row r="11511" spans="15:15">
      <c r="O11511" s="4288"/>
    </row>
    <row r="11512" spans="15:15">
      <c r="O11512" s="4288"/>
    </row>
    <row r="11513" spans="15:15">
      <c r="O11513" s="4288"/>
    </row>
    <row r="11514" spans="15:15">
      <c r="O11514" s="4288"/>
    </row>
    <row r="11515" spans="15:15">
      <c r="O11515" s="4288"/>
    </row>
    <row r="11516" spans="15:15">
      <c r="O11516" s="4288"/>
    </row>
    <row r="11517" spans="15:15">
      <c r="O11517" s="4288"/>
    </row>
    <row r="11518" spans="15:15">
      <c r="O11518" s="4288"/>
    </row>
    <row r="11519" spans="15:15">
      <c r="O11519" s="4288"/>
    </row>
    <row r="11520" spans="15:15">
      <c r="O11520" s="4288"/>
    </row>
    <row r="11521" spans="15:15">
      <c r="O11521" s="4288"/>
    </row>
    <row r="11522" spans="15:15">
      <c r="O11522" s="4288"/>
    </row>
    <row r="11523" spans="15:15">
      <c r="O11523" s="4288"/>
    </row>
    <row r="11524" spans="15:15">
      <c r="O11524" s="4288"/>
    </row>
    <row r="11525" spans="15:15">
      <c r="O11525" s="4288"/>
    </row>
    <row r="11526" spans="15:15">
      <c r="O11526" s="4288"/>
    </row>
    <row r="11527" spans="15:15">
      <c r="O11527" s="4288"/>
    </row>
    <row r="11528" spans="15:15">
      <c r="O11528" s="4288"/>
    </row>
    <row r="11529" spans="15:15">
      <c r="O11529" s="4288"/>
    </row>
    <row r="11530" spans="15:15">
      <c r="O11530" s="4288"/>
    </row>
    <row r="11531" spans="15:15">
      <c r="O11531" s="4288"/>
    </row>
    <row r="11532" spans="15:15">
      <c r="O11532" s="4288"/>
    </row>
    <row r="11533" spans="15:15">
      <c r="O11533" s="4288"/>
    </row>
    <row r="11534" spans="15:15">
      <c r="O11534" s="4288"/>
    </row>
    <row r="11535" spans="15:15">
      <c r="O11535" s="4288"/>
    </row>
    <row r="11536" spans="15:15">
      <c r="O11536" s="4288"/>
    </row>
    <row r="11537" spans="15:15">
      <c r="O11537" s="4288"/>
    </row>
    <row r="11538" spans="15:15">
      <c r="O11538" s="4288"/>
    </row>
    <row r="11539" spans="15:15">
      <c r="O11539" s="4288"/>
    </row>
    <row r="11540" spans="15:15">
      <c r="O11540" s="4288"/>
    </row>
    <row r="11541" spans="15:15">
      <c r="O11541" s="4288"/>
    </row>
    <row r="11542" spans="15:15">
      <c r="O11542" s="4288"/>
    </row>
    <row r="11543" spans="15:15">
      <c r="O11543" s="4288"/>
    </row>
    <row r="11544" spans="15:15">
      <c r="O11544" s="4288"/>
    </row>
    <row r="11545" spans="15:15">
      <c r="O11545" s="4288"/>
    </row>
    <row r="11546" spans="15:15">
      <c r="O11546" s="4288"/>
    </row>
    <row r="11547" spans="15:15">
      <c r="O11547" s="4288"/>
    </row>
    <row r="11548" spans="15:15">
      <c r="O11548" s="4288"/>
    </row>
    <row r="11549" spans="15:15">
      <c r="O11549" s="4288"/>
    </row>
    <row r="11550" spans="15:15">
      <c r="O11550" s="4288"/>
    </row>
    <row r="11551" spans="15:15">
      <c r="O11551" s="4288"/>
    </row>
    <row r="11552" spans="15:15">
      <c r="O11552" s="4288"/>
    </row>
    <row r="11553" spans="15:15">
      <c r="O11553" s="4288"/>
    </row>
    <row r="11554" spans="15:15">
      <c r="O11554" s="4288"/>
    </row>
    <row r="11555" spans="15:15">
      <c r="O11555" s="4288"/>
    </row>
    <row r="11556" spans="15:15">
      <c r="O11556" s="4288"/>
    </row>
    <row r="11557" spans="15:15">
      <c r="O11557" s="4288"/>
    </row>
    <row r="11558" spans="15:15">
      <c r="O11558" s="4288"/>
    </row>
    <row r="11559" spans="15:15">
      <c r="O11559" s="4288"/>
    </row>
    <row r="11560" spans="15:15">
      <c r="O11560" s="4288"/>
    </row>
    <row r="11561" spans="15:15">
      <c r="O11561" s="4288"/>
    </row>
    <row r="11562" spans="15:15">
      <c r="O11562" s="4288"/>
    </row>
    <row r="11563" spans="15:15">
      <c r="O11563" s="4288"/>
    </row>
    <row r="11564" spans="15:15">
      <c r="O11564" s="4288"/>
    </row>
    <row r="11565" spans="15:15">
      <c r="O11565" s="4288"/>
    </row>
    <row r="11566" spans="15:15">
      <c r="O11566" s="4288"/>
    </row>
    <row r="11567" spans="15:15">
      <c r="O11567" s="4288"/>
    </row>
    <row r="11568" spans="15:15">
      <c r="O11568" s="4288"/>
    </row>
    <row r="11569" spans="15:15">
      <c r="O11569" s="4288"/>
    </row>
    <row r="11570" spans="15:15">
      <c r="O11570" s="4288"/>
    </row>
    <row r="11571" spans="15:15">
      <c r="O11571" s="4288"/>
    </row>
    <row r="11572" spans="15:15">
      <c r="O11572" s="4288"/>
    </row>
    <row r="11573" spans="15:15">
      <c r="O11573" s="4288"/>
    </row>
    <row r="11574" spans="15:15">
      <c r="O11574" s="4288"/>
    </row>
    <row r="11575" spans="15:15">
      <c r="O11575" s="4288"/>
    </row>
    <row r="11576" spans="15:15">
      <c r="O11576" s="4288"/>
    </row>
    <row r="11577" spans="15:15">
      <c r="O11577" s="4288"/>
    </row>
    <row r="11578" spans="15:15">
      <c r="O11578" s="4288"/>
    </row>
    <row r="11579" spans="15:15">
      <c r="O11579" s="4288"/>
    </row>
    <row r="11580" spans="15:15">
      <c r="O11580" s="4288"/>
    </row>
    <row r="11581" spans="15:15">
      <c r="O11581" s="4288"/>
    </row>
    <row r="11582" spans="15:15">
      <c r="O11582" s="4288"/>
    </row>
    <row r="11583" spans="15:15">
      <c r="O11583" s="4288"/>
    </row>
    <row r="11584" spans="15:15">
      <c r="O11584" s="4288"/>
    </row>
    <row r="11585" spans="15:15">
      <c r="O11585" s="4288"/>
    </row>
    <row r="11586" spans="15:15">
      <c r="O11586" s="4288"/>
    </row>
    <row r="11587" spans="15:15">
      <c r="O11587" s="4288"/>
    </row>
    <row r="11588" spans="15:15">
      <c r="O11588" s="4288"/>
    </row>
    <row r="11589" spans="15:15">
      <c r="O11589" s="4288"/>
    </row>
    <row r="11590" spans="15:15">
      <c r="O11590" s="4288"/>
    </row>
    <row r="11591" spans="15:15">
      <c r="O11591" s="4288"/>
    </row>
    <row r="11592" spans="15:15">
      <c r="O11592" s="4288"/>
    </row>
    <row r="11593" spans="15:15">
      <c r="O11593" s="4288"/>
    </row>
    <row r="11594" spans="15:15">
      <c r="O11594" s="4288"/>
    </row>
    <row r="11595" spans="15:15">
      <c r="O11595" s="4288"/>
    </row>
    <row r="11596" spans="15:15">
      <c r="O11596" s="4288"/>
    </row>
    <row r="11597" spans="15:15">
      <c r="O11597" s="4288"/>
    </row>
    <row r="11598" spans="15:15">
      <c r="O11598" s="4288"/>
    </row>
    <row r="11599" spans="15:15">
      <c r="O11599" s="4288"/>
    </row>
    <row r="11600" spans="15:15">
      <c r="O11600" s="4288"/>
    </row>
    <row r="11601" spans="15:15">
      <c r="O11601" s="4288"/>
    </row>
    <row r="11602" spans="15:15">
      <c r="O11602" s="4288"/>
    </row>
    <row r="11603" spans="15:15">
      <c r="O11603" s="4288"/>
    </row>
    <row r="11604" spans="15:15">
      <c r="O11604" s="4288"/>
    </row>
    <row r="11605" spans="15:15">
      <c r="O11605" s="4288"/>
    </row>
    <row r="11606" spans="15:15">
      <c r="O11606" s="4288"/>
    </row>
    <row r="11607" spans="15:15">
      <c r="O11607" s="4288"/>
    </row>
    <row r="11608" spans="15:15">
      <c r="O11608" s="4288"/>
    </row>
    <row r="11609" spans="15:15">
      <c r="O11609" s="4288"/>
    </row>
    <row r="11610" spans="15:15">
      <c r="O11610" s="4288"/>
    </row>
    <row r="11611" spans="15:15">
      <c r="O11611" s="4288"/>
    </row>
    <row r="11612" spans="15:15">
      <c r="O11612" s="4288"/>
    </row>
    <row r="11613" spans="15:15">
      <c r="O11613" s="4288"/>
    </row>
    <row r="11614" spans="15:15">
      <c r="O11614" s="4288"/>
    </row>
    <row r="11615" spans="15:15">
      <c r="O11615" s="4288"/>
    </row>
    <row r="11616" spans="15:15">
      <c r="O11616" s="4288"/>
    </row>
    <row r="11617" spans="15:15">
      <c r="O11617" s="4288"/>
    </row>
    <row r="11618" spans="15:15">
      <c r="O11618" s="4288"/>
    </row>
    <row r="11619" spans="15:15">
      <c r="O11619" s="4288"/>
    </row>
    <row r="11620" spans="15:15">
      <c r="O11620" s="4288"/>
    </row>
    <row r="11621" spans="15:15">
      <c r="O11621" s="4288"/>
    </row>
    <row r="11622" spans="15:15">
      <c r="O11622" s="4288"/>
    </row>
    <row r="11623" spans="15:15">
      <c r="O11623" s="4288"/>
    </row>
    <row r="11624" spans="15:15">
      <c r="O11624" s="4288"/>
    </row>
    <row r="11625" spans="15:15">
      <c r="O11625" s="4288"/>
    </row>
    <row r="11626" spans="15:15">
      <c r="O11626" s="4288"/>
    </row>
    <row r="11627" spans="15:15">
      <c r="O11627" s="4288"/>
    </row>
    <row r="11628" spans="15:15">
      <c r="O11628" s="4288"/>
    </row>
    <row r="11629" spans="15:15">
      <c r="O11629" s="4288"/>
    </row>
    <row r="11630" spans="15:15">
      <c r="O11630" s="4288"/>
    </row>
    <row r="11631" spans="15:15">
      <c r="O11631" s="4288"/>
    </row>
    <row r="11632" spans="15:15">
      <c r="O11632" s="4288"/>
    </row>
    <row r="11633" spans="15:15">
      <c r="O11633" s="4288"/>
    </row>
    <row r="11634" spans="15:15">
      <c r="O11634" s="4288"/>
    </row>
    <row r="11635" spans="15:15">
      <c r="O11635" s="4288"/>
    </row>
    <row r="11636" spans="15:15">
      <c r="O11636" s="4288"/>
    </row>
    <row r="11637" spans="15:15">
      <c r="O11637" s="4288"/>
    </row>
    <row r="11638" spans="15:15">
      <c r="O11638" s="4288"/>
    </row>
    <row r="11639" spans="15:15">
      <c r="O11639" s="4288"/>
    </row>
    <row r="11640" spans="15:15">
      <c r="O11640" s="4288"/>
    </row>
    <row r="11641" spans="15:15">
      <c r="O11641" s="4288"/>
    </row>
    <row r="11642" spans="15:15">
      <c r="O11642" s="4288"/>
    </row>
    <row r="11643" spans="15:15">
      <c r="O11643" s="4288"/>
    </row>
    <row r="11644" spans="15:15">
      <c r="O11644" s="4288"/>
    </row>
    <row r="11645" spans="15:15">
      <c r="O11645" s="4288"/>
    </row>
    <row r="11646" spans="15:15">
      <c r="O11646" s="4288"/>
    </row>
    <row r="11647" spans="15:15">
      <c r="O11647" s="4288"/>
    </row>
    <row r="11648" spans="15:15">
      <c r="O11648" s="4288"/>
    </row>
    <row r="11649" spans="15:15">
      <c r="O11649" s="4288"/>
    </row>
    <row r="11650" spans="15:15">
      <c r="O11650" s="4288"/>
    </row>
    <row r="11651" spans="15:15">
      <c r="O11651" s="4288"/>
    </row>
    <row r="11652" spans="15:15">
      <c r="O11652" s="4288"/>
    </row>
    <row r="11653" spans="15:15">
      <c r="O11653" s="4288"/>
    </row>
    <row r="11654" spans="15:15">
      <c r="O11654" s="4288"/>
    </row>
    <row r="11655" spans="15:15">
      <c r="O11655" s="4288"/>
    </row>
    <row r="11656" spans="15:15">
      <c r="O11656" s="4288"/>
    </row>
    <row r="11657" spans="15:15">
      <c r="O11657" s="4288"/>
    </row>
    <row r="11658" spans="15:15">
      <c r="O11658" s="4288"/>
    </row>
    <row r="11659" spans="15:15">
      <c r="O11659" s="4288"/>
    </row>
    <row r="11660" spans="15:15">
      <c r="O11660" s="4288"/>
    </row>
    <row r="11661" spans="15:15">
      <c r="O11661" s="4288"/>
    </row>
    <row r="11662" spans="15:15">
      <c r="O11662" s="4288"/>
    </row>
    <row r="11663" spans="15:15">
      <c r="O11663" s="4288"/>
    </row>
    <row r="11664" spans="15:15">
      <c r="O11664" s="4288"/>
    </row>
    <row r="11665" spans="15:15">
      <c r="O11665" s="4288"/>
    </row>
    <row r="11666" spans="15:15">
      <c r="O11666" s="4288"/>
    </row>
    <row r="11667" spans="15:15">
      <c r="O11667" s="4288"/>
    </row>
    <row r="11668" spans="15:15">
      <c r="O11668" s="4288"/>
    </row>
    <row r="11669" spans="15:15">
      <c r="O11669" s="4288"/>
    </row>
    <row r="11670" spans="15:15">
      <c r="O11670" s="4288"/>
    </row>
    <row r="11671" spans="15:15">
      <c r="O11671" s="4288"/>
    </row>
    <row r="11672" spans="15:15">
      <c r="O11672" s="4288"/>
    </row>
    <row r="11673" spans="15:15">
      <c r="O11673" s="4288"/>
    </row>
    <row r="11674" spans="15:15">
      <c r="O11674" s="4288"/>
    </row>
    <row r="11675" spans="15:15">
      <c r="O11675" s="4288"/>
    </row>
    <row r="11676" spans="15:15">
      <c r="O11676" s="4288"/>
    </row>
    <row r="11677" spans="15:15">
      <c r="O11677" s="4288"/>
    </row>
    <row r="11678" spans="15:15">
      <c r="O11678" s="4288"/>
    </row>
    <row r="11679" spans="15:15">
      <c r="O11679" s="4288"/>
    </row>
    <row r="11680" spans="15:15">
      <c r="O11680" s="4288"/>
    </row>
    <row r="11681" spans="15:15">
      <c r="O11681" s="4288"/>
    </row>
    <row r="11682" spans="15:15">
      <c r="O11682" s="4288"/>
    </row>
    <row r="11683" spans="15:15">
      <c r="O11683" s="4288"/>
    </row>
    <row r="11684" spans="15:15">
      <c r="O11684" s="4288"/>
    </row>
    <row r="11685" spans="15:15">
      <c r="O11685" s="4288"/>
    </row>
    <row r="11686" spans="15:15">
      <c r="O11686" s="4288"/>
    </row>
    <row r="11687" spans="15:15">
      <c r="O11687" s="4288"/>
    </row>
    <row r="11688" spans="15:15">
      <c r="O11688" s="4288"/>
    </row>
    <row r="11689" spans="15:15">
      <c r="O11689" s="4288"/>
    </row>
    <row r="11690" spans="15:15">
      <c r="O11690" s="4288"/>
    </row>
    <row r="11691" spans="15:15">
      <c r="O11691" s="4288"/>
    </row>
    <row r="11692" spans="15:15">
      <c r="O11692" s="4288"/>
    </row>
    <row r="11693" spans="15:15">
      <c r="O11693" s="4288"/>
    </row>
    <row r="11694" spans="15:15">
      <c r="O11694" s="4288"/>
    </row>
    <row r="11695" spans="15:15">
      <c r="O11695" s="4288"/>
    </row>
    <row r="11696" spans="15:15">
      <c r="O11696" s="4288"/>
    </row>
    <row r="11697" spans="15:15">
      <c r="O11697" s="4288"/>
    </row>
    <row r="11698" spans="15:15">
      <c r="O11698" s="4288"/>
    </row>
    <row r="11699" spans="15:15">
      <c r="O11699" s="4288"/>
    </row>
    <row r="11700" spans="15:15">
      <c r="O11700" s="4288"/>
    </row>
    <row r="11701" spans="15:15">
      <c r="O11701" s="4288"/>
    </row>
    <row r="11702" spans="15:15">
      <c r="O11702" s="4288"/>
    </row>
    <row r="11703" spans="15:15">
      <c r="O11703" s="4288"/>
    </row>
    <row r="11704" spans="15:15">
      <c r="O11704" s="4288"/>
    </row>
    <row r="11705" spans="15:15">
      <c r="O11705" s="4288"/>
    </row>
    <row r="11706" spans="15:15">
      <c r="O11706" s="4288"/>
    </row>
    <row r="11707" spans="15:15">
      <c r="O11707" s="4288"/>
    </row>
    <row r="11708" spans="15:15">
      <c r="O11708" s="4288"/>
    </row>
    <row r="11709" spans="15:15">
      <c r="O11709" s="4288"/>
    </row>
    <row r="11710" spans="15:15">
      <c r="O11710" s="4288"/>
    </row>
    <row r="11711" spans="15:15">
      <c r="O11711" s="4288"/>
    </row>
    <row r="11712" spans="15:15">
      <c r="O11712" s="4288"/>
    </row>
    <row r="11713" spans="15:15">
      <c r="O11713" s="4288"/>
    </row>
    <row r="11714" spans="15:15">
      <c r="O11714" s="4288"/>
    </row>
    <row r="11715" spans="15:15">
      <c r="O11715" s="4288"/>
    </row>
    <row r="11716" spans="15:15">
      <c r="O11716" s="4288"/>
    </row>
    <row r="11717" spans="15:15">
      <c r="O11717" s="4288"/>
    </row>
    <row r="11718" spans="15:15">
      <c r="O11718" s="4288"/>
    </row>
    <row r="11719" spans="15:15">
      <c r="O11719" s="4288"/>
    </row>
    <row r="11720" spans="15:15">
      <c r="O11720" s="4288"/>
    </row>
    <row r="11721" spans="15:15">
      <c r="O11721" s="4288"/>
    </row>
    <row r="11722" spans="15:15">
      <c r="O11722" s="4288"/>
    </row>
    <row r="11723" spans="15:15">
      <c r="O11723" s="4288"/>
    </row>
    <row r="11724" spans="15:15">
      <c r="O11724" s="4288"/>
    </row>
    <row r="11725" spans="15:15">
      <c r="O11725" s="4288"/>
    </row>
    <row r="11726" spans="15:15">
      <c r="O11726" s="4288"/>
    </row>
    <row r="11727" spans="15:15">
      <c r="O11727" s="4288"/>
    </row>
    <row r="11728" spans="15:15">
      <c r="O11728" s="4288"/>
    </row>
    <row r="11729" spans="15:15">
      <c r="O11729" s="4288"/>
    </row>
    <row r="11730" spans="15:15">
      <c r="O11730" s="4288"/>
    </row>
    <row r="11731" spans="15:15">
      <c r="O11731" s="4288"/>
    </row>
    <row r="11732" spans="15:15">
      <c r="O11732" s="4288"/>
    </row>
    <row r="11733" spans="15:15">
      <c r="O11733" s="4288"/>
    </row>
    <row r="11734" spans="15:15">
      <c r="O11734" s="4288"/>
    </row>
    <row r="11735" spans="15:15">
      <c r="O11735" s="4288"/>
    </row>
    <row r="11736" spans="15:15">
      <c r="O11736" s="4288"/>
    </row>
    <row r="11737" spans="15:15">
      <c r="O11737" s="4288"/>
    </row>
    <row r="11738" spans="15:15">
      <c r="O11738" s="4288"/>
    </row>
    <row r="11739" spans="15:15">
      <c r="O11739" s="4288"/>
    </row>
    <row r="11740" spans="15:15">
      <c r="O11740" s="4288"/>
    </row>
    <row r="11741" spans="15:15">
      <c r="O11741" s="4288"/>
    </row>
    <row r="11742" spans="15:15">
      <c r="O11742" s="4288"/>
    </row>
    <row r="11743" spans="15:15">
      <c r="O11743" s="4288"/>
    </row>
    <row r="11744" spans="15:15">
      <c r="O11744" s="4288"/>
    </row>
    <row r="11745" spans="15:15">
      <c r="O11745" s="4288"/>
    </row>
    <row r="11746" spans="15:15">
      <c r="O11746" s="4288"/>
    </row>
    <row r="11747" spans="15:15">
      <c r="O11747" s="4288"/>
    </row>
    <row r="11748" spans="15:15">
      <c r="O11748" s="4288"/>
    </row>
    <row r="11749" spans="15:15">
      <c r="O11749" s="4288"/>
    </row>
    <row r="11750" spans="15:15">
      <c r="O11750" s="4288"/>
    </row>
    <row r="11751" spans="15:15">
      <c r="O11751" s="4288"/>
    </row>
    <row r="11752" spans="15:15">
      <c r="O11752" s="4288"/>
    </row>
    <row r="11753" spans="15:15">
      <c r="O11753" s="4288"/>
    </row>
    <row r="11754" spans="15:15">
      <c r="O11754" s="4288"/>
    </row>
    <row r="11755" spans="15:15">
      <c r="O11755" s="4288"/>
    </row>
    <row r="11756" spans="15:15">
      <c r="O11756" s="4288"/>
    </row>
    <row r="11757" spans="15:15">
      <c r="O11757" s="4288"/>
    </row>
    <row r="11758" spans="15:15">
      <c r="O11758" s="4288"/>
    </row>
    <row r="11759" spans="15:15">
      <c r="O11759" s="4288"/>
    </row>
    <row r="11760" spans="15:15">
      <c r="O11760" s="4288"/>
    </row>
    <row r="11761" spans="15:15">
      <c r="O11761" s="4288"/>
    </row>
    <row r="11762" spans="15:15">
      <c r="O11762" s="4288"/>
    </row>
    <row r="11763" spans="15:15">
      <c r="O11763" s="4288"/>
    </row>
    <row r="11764" spans="15:15">
      <c r="O11764" s="4288"/>
    </row>
    <row r="11765" spans="15:15">
      <c r="O11765" s="4288"/>
    </row>
    <row r="11766" spans="15:15">
      <c r="O11766" s="4288"/>
    </row>
    <row r="11767" spans="15:15">
      <c r="O11767" s="4288"/>
    </row>
    <row r="11768" spans="15:15">
      <c r="O11768" s="4288"/>
    </row>
    <row r="11769" spans="15:15">
      <c r="O11769" s="4288"/>
    </row>
    <row r="11770" spans="15:15">
      <c r="O11770" s="4288"/>
    </row>
    <row r="11771" spans="15:15">
      <c r="O11771" s="4288"/>
    </row>
    <row r="11772" spans="15:15">
      <c r="O11772" s="4288"/>
    </row>
    <row r="11773" spans="15:15">
      <c r="O11773" s="4288"/>
    </row>
    <row r="11774" spans="15:15">
      <c r="O11774" s="4288"/>
    </row>
    <row r="11775" spans="15:15">
      <c r="O11775" s="4288"/>
    </row>
    <row r="11776" spans="15:15">
      <c r="O11776" s="4288"/>
    </row>
    <row r="11777" spans="15:15">
      <c r="O11777" s="4288"/>
    </row>
    <row r="11778" spans="15:15">
      <c r="O11778" s="4288"/>
    </row>
    <row r="11779" spans="15:15">
      <c r="O11779" s="4288"/>
    </row>
    <row r="11780" spans="15:15">
      <c r="O11780" s="4288"/>
    </row>
    <row r="11781" spans="15:15">
      <c r="O11781" s="4288"/>
    </row>
    <row r="11782" spans="15:15">
      <c r="O11782" s="4288"/>
    </row>
    <row r="11783" spans="15:15">
      <c r="O11783" s="4288"/>
    </row>
    <row r="11784" spans="15:15">
      <c r="O11784" s="4288"/>
    </row>
    <row r="11785" spans="15:15">
      <c r="O11785" s="4288"/>
    </row>
    <row r="11786" spans="15:15">
      <c r="O11786" s="4288"/>
    </row>
    <row r="11787" spans="15:15">
      <c r="O11787" s="4288"/>
    </row>
    <row r="11788" spans="15:15">
      <c r="O11788" s="4288"/>
    </row>
    <row r="11789" spans="15:15">
      <c r="O11789" s="4288"/>
    </row>
    <row r="11790" spans="15:15">
      <c r="O11790" s="4288"/>
    </row>
    <row r="11791" spans="15:15">
      <c r="O11791" s="4288"/>
    </row>
    <row r="11792" spans="15:15">
      <c r="O11792" s="4288"/>
    </row>
    <row r="11793" spans="15:15">
      <c r="O11793" s="4288"/>
    </row>
    <row r="11794" spans="15:15">
      <c r="O11794" s="4288"/>
    </row>
    <row r="11795" spans="15:15">
      <c r="O11795" s="4288"/>
    </row>
    <row r="11796" spans="15:15">
      <c r="O11796" s="4288"/>
    </row>
    <row r="11797" spans="15:15">
      <c r="O11797" s="4288"/>
    </row>
    <row r="11798" spans="15:15">
      <c r="O11798" s="4288"/>
    </row>
    <row r="11799" spans="15:15">
      <c r="O11799" s="4288"/>
    </row>
    <row r="11800" spans="15:15">
      <c r="O11800" s="4288"/>
    </row>
    <row r="11801" spans="15:15">
      <c r="O11801" s="4288"/>
    </row>
    <row r="11802" spans="15:15">
      <c r="O11802" s="4288"/>
    </row>
    <row r="11803" spans="15:15">
      <c r="O11803" s="4288"/>
    </row>
    <row r="11804" spans="15:15">
      <c r="O11804" s="4288"/>
    </row>
    <row r="11805" spans="15:15">
      <c r="O11805" s="4288"/>
    </row>
    <row r="11806" spans="15:15">
      <c r="O11806" s="4288"/>
    </row>
    <row r="11807" spans="15:15">
      <c r="O11807" s="4288"/>
    </row>
    <row r="11808" spans="15:15">
      <c r="O11808" s="4288"/>
    </row>
    <row r="11809" spans="15:15">
      <c r="O11809" s="4288"/>
    </row>
    <row r="11810" spans="15:15">
      <c r="O11810" s="4288"/>
    </row>
    <row r="11811" spans="15:15">
      <c r="O11811" s="4288"/>
    </row>
    <row r="11812" spans="15:15">
      <c r="O11812" s="4288"/>
    </row>
    <row r="11813" spans="15:15">
      <c r="O11813" s="4288"/>
    </row>
    <row r="11814" spans="15:15">
      <c r="O11814" s="4288"/>
    </row>
    <row r="11815" spans="15:15">
      <c r="O11815" s="4288"/>
    </row>
    <row r="11816" spans="15:15">
      <c r="O11816" s="4288"/>
    </row>
    <row r="11817" spans="15:15">
      <c r="O11817" s="4288"/>
    </row>
    <row r="11818" spans="15:15">
      <c r="O11818" s="4288"/>
    </row>
    <row r="11819" spans="15:15">
      <c r="O11819" s="4288"/>
    </row>
    <row r="11820" spans="15:15">
      <c r="O11820" s="4288"/>
    </row>
    <row r="11821" spans="15:15">
      <c r="O11821" s="4288"/>
    </row>
    <row r="11822" spans="15:15">
      <c r="O11822" s="4288"/>
    </row>
    <row r="11823" spans="15:15">
      <c r="O11823" s="4288"/>
    </row>
    <row r="11824" spans="15:15">
      <c r="O11824" s="4288"/>
    </row>
    <row r="11825" spans="15:15">
      <c r="O11825" s="4288"/>
    </row>
    <row r="11826" spans="15:15">
      <c r="O11826" s="4288"/>
    </row>
    <row r="11827" spans="15:15">
      <c r="O11827" s="4288"/>
    </row>
    <row r="11828" spans="15:15">
      <c r="O11828" s="4288"/>
    </row>
    <row r="11829" spans="15:15">
      <c r="O11829" s="4288"/>
    </row>
    <row r="11830" spans="15:15">
      <c r="O11830" s="4288"/>
    </row>
    <row r="11831" spans="15:15">
      <c r="O11831" s="4288"/>
    </row>
    <row r="11832" spans="15:15">
      <c r="O11832" s="4288"/>
    </row>
    <row r="11833" spans="15:15">
      <c r="O11833" s="4288"/>
    </row>
    <row r="11834" spans="15:15">
      <c r="O11834" s="4288"/>
    </row>
    <row r="11835" spans="15:15">
      <c r="O11835" s="4288"/>
    </row>
    <row r="11836" spans="15:15">
      <c r="O11836" s="4288"/>
    </row>
    <row r="11837" spans="15:15">
      <c r="O11837" s="4288"/>
    </row>
    <row r="11838" spans="15:15">
      <c r="O11838" s="4288"/>
    </row>
    <row r="11839" spans="15:15">
      <c r="O11839" s="4288"/>
    </row>
    <row r="11840" spans="15:15">
      <c r="O11840" s="4288"/>
    </row>
    <row r="11841" spans="15:15">
      <c r="O11841" s="4288"/>
    </row>
    <row r="11842" spans="15:15">
      <c r="O11842" s="4288"/>
    </row>
    <row r="11843" spans="15:15">
      <c r="O11843" s="4288"/>
    </row>
    <row r="11844" spans="15:15">
      <c r="O11844" s="4288"/>
    </row>
    <row r="11845" spans="15:15">
      <c r="O11845" s="4288"/>
    </row>
    <row r="11846" spans="15:15">
      <c r="O11846" s="4288"/>
    </row>
    <row r="11847" spans="15:15">
      <c r="O11847" s="4288"/>
    </row>
    <row r="11848" spans="15:15">
      <c r="O11848" s="4288"/>
    </row>
    <row r="11849" spans="15:15">
      <c r="O11849" s="4288"/>
    </row>
    <row r="11850" spans="15:15">
      <c r="O11850" s="4288"/>
    </row>
    <row r="11851" spans="15:15">
      <c r="O11851" s="4288"/>
    </row>
    <row r="11852" spans="15:15">
      <c r="O11852" s="4288"/>
    </row>
    <row r="11853" spans="15:15">
      <c r="O11853" s="4288"/>
    </row>
    <row r="11854" spans="15:15">
      <c r="O11854" s="4288"/>
    </row>
    <row r="11855" spans="15:15">
      <c r="O11855" s="4288"/>
    </row>
    <row r="11856" spans="15:15">
      <c r="O11856" s="4288"/>
    </row>
    <row r="11857" spans="15:15">
      <c r="O11857" s="4288"/>
    </row>
    <row r="11858" spans="15:15">
      <c r="O11858" s="4288"/>
    </row>
    <row r="11859" spans="15:15">
      <c r="O11859" s="4288"/>
    </row>
    <row r="11860" spans="15:15">
      <c r="O11860" s="4288"/>
    </row>
    <row r="11861" spans="15:15">
      <c r="O11861" s="4288"/>
    </row>
    <row r="11862" spans="15:15">
      <c r="O11862" s="4288"/>
    </row>
    <row r="11863" spans="15:15">
      <c r="O11863" s="4288"/>
    </row>
    <row r="11864" spans="15:15">
      <c r="O11864" s="4288"/>
    </row>
    <row r="11865" spans="15:15">
      <c r="O11865" s="4288"/>
    </row>
    <row r="11866" spans="15:15">
      <c r="O11866" s="4288"/>
    </row>
    <row r="11867" spans="15:15">
      <c r="O11867" s="4288"/>
    </row>
    <row r="11868" spans="15:15">
      <c r="O11868" s="4288"/>
    </row>
    <row r="11869" spans="15:15">
      <c r="O11869" s="4288"/>
    </row>
    <row r="11870" spans="15:15">
      <c r="O11870" s="4288"/>
    </row>
    <row r="11871" spans="15:15">
      <c r="O11871" s="4288"/>
    </row>
    <row r="11872" spans="15:15">
      <c r="O11872" s="4288"/>
    </row>
    <row r="11873" spans="15:15">
      <c r="O11873" s="4288"/>
    </row>
    <row r="11874" spans="15:15">
      <c r="O11874" s="4288"/>
    </row>
    <row r="11875" spans="15:15">
      <c r="O11875" s="4288"/>
    </row>
    <row r="11876" spans="15:15">
      <c r="O11876" s="4288"/>
    </row>
    <row r="11877" spans="15:15">
      <c r="O11877" s="4288"/>
    </row>
    <row r="11878" spans="15:15">
      <c r="O11878" s="4288"/>
    </row>
    <row r="11879" spans="15:15">
      <c r="O11879" s="4288"/>
    </row>
    <row r="11880" spans="15:15">
      <c r="O11880" s="4288"/>
    </row>
    <row r="11881" spans="15:15">
      <c r="O11881" s="4288"/>
    </row>
    <row r="11882" spans="15:15">
      <c r="O11882" s="4288"/>
    </row>
    <row r="11883" spans="15:15">
      <c r="O11883" s="4288"/>
    </row>
    <row r="11884" spans="15:15">
      <c r="O11884" s="4288"/>
    </row>
    <row r="11885" spans="15:15">
      <c r="O11885" s="4288"/>
    </row>
    <row r="11886" spans="15:15">
      <c r="O11886" s="4288"/>
    </row>
    <row r="11887" spans="15:15">
      <c r="O11887" s="4288"/>
    </row>
    <row r="11888" spans="15:15">
      <c r="O11888" s="4288"/>
    </row>
    <row r="11889" spans="15:15">
      <c r="O11889" s="4288"/>
    </row>
    <row r="11890" spans="15:15">
      <c r="O11890" s="4288"/>
    </row>
    <row r="11891" spans="15:15">
      <c r="O11891" s="4288"/>
    </row>
    <row r="11892" spans="15:15">
      <c r="O11892" s="4288"/>
    </row>
    <row r="11893" spans="15:15">
      <c r="O11893" s="4288"/>
    </row>
    <row r="11894" spans="15:15">
      <c r="O11894" s="4288"/>
    </row>
    <row r="11895" spans="15:15">
      <c r="O11895" s="4288"/>
    </row>
    <row r="11896" spans="15:15">
      <c r="O11896" s="4288"/>
    </row>
    <row r="11897" spans="15:15">
      <c r="O11897" s="4288"/>
    </row>
    <row r="11898" spans="15:15">
      <c r="O11898" s="4288"/>
    </row>
    <row r="11899" spans="15:15">
      <c r="O11899" s="4288"/>
    </row>
    <row r="11900" spans="15:15">
      <c r="O11900" s="4288"/>
    </row>
    <row r="11901" spans="15:15">
      <c r="O11901" s="4288"/>
    </row>
    <row r="11902" spans="15:15">
      <c r="O11902" s="4288"/>
    </row>
    <row r="11903" spans="15:15">
      <c r="O11903" s="4288"/>
    </row>
    <row r="11904" spans="15:15">
      <c r="O11904" s="4288"/>
    </row>
    <row r="11905" spans="15:15">
      <c r="O11905" s="4288"/>
    </row>
    <row r="11906" spans="15:15">
      <c r="O11906" s="4288"/>
    </row>
    <row r="11907" spans="15:15">
      <c r="O11907" s="4288"/>
    </row>
    <row r="11908" spans="15:15">
      <c r="O11908" s="4288"/>
    </row>
    <row r="11909" spans="15:15">
      <c r="O11909" s="4288"/>
    </row>
    <row r="11910" spans="15:15">
      <c r="O11910" s="4288"/>
    </row>
    <row r="11911" spans="15:15">
      <c r="O11911" s="4288"/>
    </row>
    <row r="11912" spans="15:15">
      <c r="O11912" s="4288"/>
    </row>
    <row r="11913" spans="15:15">
      <c r="O11913" s="4288"/>
    </row>
    <row r="11914" spans="15:15">
      <c r="O11914" s="4288"/>
    </row>
    <row r="11915" spans="15:15">
      <c r="O11915" s="4288"/>
    </row>
    <row r="11916" spans="15:15">
      <c r="O11916" s="4288"/>
    </row>
    <row r="11917" spans="15:15">
      <c r="O11917" s="4288"/>
    </row>
    <row r="11918" spans="15:15">
      <c r="O11918" s="4288"/>
    </row>
    <row r="11919" spans="15:15">
      <c r="O11919" s="4288"/>
    </row>
    <row r="11920" spans="15:15">
      <c r="O11920" s="4288"/>
    </row>
    <row r="11921" spans="15:15">
      <c r="O11921" s="4288"/>
    </row>
    <row r="11922" spans="15:15">
      <c r="O11922" s="4288"/>
    </row>
    <row r="11923" spans="15:15">
      <c r="O11923" s="4288"/>
    </row>
    <row r="11924" spans="15:15">
      <c r="O11924" s="4288"/>
    </row>
    <row r="11925" spans="15:15">
      <c r="O11925" s="4288"/>
    </row>
    <row r="11926" spans="15:15">
      <c r="O11926" s="4288"/>
    </row>
    <row r="11927" spans="15:15">
      <c r="O11927" s="4288"/>
    </row>
    <row r="11928" spans="15:15">
      <c r="O11928" s="4288"/>
    </row>
    <row r="11929" spans="15:15">
      <c r="O11929" s="4288"/>
    </row>
    <row r="11930" spans="15:15">
      <c r="O11930" s="4288"/>
    </row>
    <row r="11931" spans="15:15">
      <c r="O11931" s="4288"/>
    </row>
    <row r="11932" spans="15:15">
      <c r="O11932" s="4288"/>
    </row>
    <row r="11933" spans="15:15">
      <c r="O11933" s="4288"/>
    </row>
    <row r="11934" spans="15:15">
      <c r="O11934" s="4288"/>
    </row>
    <row r="11935" spans="15:15">
      <c r="O11935" s="4288"/>
    </row>
    <row r="11936" spans="15:15">
      <c r="O11936" s="4288"/>
    </row>
    <row r="11937" spans="15:15">
      <c r="O11937" s="4288"/>
    </row>
    <row r="11938" spans="15:15">
      <c r="O11938" s="4288"/>
    </row>
    <row r="11939" spans="15:15">
      <c r="O11939" s="4288"/>
    </row>
    <row r="11940" spans="15:15">
      <c r="O11940" s="4288"/>
    </row>
    <row r="11941" spans="15:15">
      <c r="O11941" s="4288"/>
    </row>
    <row r="11942" spans="15:15">
      <c r="O11942" s="4288"/>
    </row>
    <row r="11943" spans="15:15">
      <c r="O11943" s="4288"/>
    </row>
    <row r="11944" spans="15:15">
      <c r="O11944" s="4288"/>
    </row>
    <row r="11945" spans="15:15">
      <c r="O11945" s="4288"/>
    </row>
    <row r="11946" spans="15:15">
      <c r="O11946" s="4288"/>
    </row>
    <row r="11947" spans="15:15">
      <c r="O11947" s="4288"/>
    </row>
    <row r="11948" spans="15:15">
      <c r="O11948" s="4288"/>
    </row>
    <row r="11949" spans="15:15">
      <c r="O11949" s="4288"/>
    </row>
    <row r="11950" spans="15:15">
      <c r="O11950" s="4288"/>
    </row>
    <row r="11951" spans="15:15">
      <c r="O11951" s="4288"/>
    </row>
    <row r="11952" spans="15:15">
      <c r="O11952" s="4288"/>
    </row>
    <row r="11953" spans="15:15">
      <c r="O11953" s="4288"/>
    </row>
    <row r="11954" spans="15:15">
      <c r="O11954" s="4288"/>
    </row>
    <row r="11955" spans="15:15">
      <c r="O11955" s="4288"/>
    </row>
    <row r="11956" spans="15:15">
      <c r="O11956" s="4288"/>
    </row>
    <row r="11957" spans="15:15">
      <c r="O11957" s="4288"/>
    </row>
    <row r="11958" spans="15:15">
      <c r="O11958" s="4288"/>
    </row>
    <row r="11959" spans="15:15">
      <c r="O11959" s="4288"/>
    </row>
    <row r="11960" spans="15:15">
      <c r="O11960" s="4288"/>
    </row>
    <row r="11961" spans="15:15">
      <c r="O11961" s="4288"/>
    </row>
    <row r="11962" spans="15:15">
      <c r="O11962" s="4288"/>
    </row>
    <row r="11963" spans="15:15">
      <c r="O11963" s="4288"/>
    </row>
    <row r="11964" spans="15:15">
      <c r="O11964" s="4288"/>
    </row>
    <row r="11965" spans="15:15">
      <c r="O11965" s="4288"/>
    </row>
    <row r="11966" spans="15:15">
      <c r="O11966" s="4288"/>
    </row>
    <row r="11967" spans="15:15">
      <c r="O11967" s="4288"/>
    </row>
    <row r="11968" spans="15:15">
      <c r="O11968" s="4288"/>
    </row>
    <row r="11969" spans="15:15">
      <c r="O11969" s="4288"/>
    </row>
    <row r="11970" spans="15:15">
      <c r="O11970" s="4288"/>
    </row>
    <row r="11971" spans="15:15">
      <c r="O11971" s="4288"/>
    </row>
    <row r="11972" spans="15:15">
      <c r="O11972" s="4288"/>
    </row>
    <row r="11973" spans="15:15">
      <c r="O11973" s="4288"/>
    </row>
    <row r="11974" spans="15:15">
      <c r="O11974" s="4288"/>
    </row>
    <row r="11975" spans="15:15">
      <c r="O11975" s="4288"/>
    </row>
    <row r="11976" spans="15:15">
      <c r="O11976" s="4288"/>
    </row>
    <row r="11977" spans="15:15">
      <c r="O11977" s="4288"/>
    </row>
    <row r="11978" spans="15:15">
      <c r="O11978" s="4288"/>
    </row>
    <row r="11979" spans="15:15">
      <c r="O11979" s="4288"/>
    </row>
    <row r="11980" spans="15:15">
      <c r="O11980" s="4288"/>
    </row>
    <row r="11981" spans="15:15">
      <c r="O11981" s="4288"/>
    </row>
    <row r="11982" spans="15:15">
      <c r="O11982" s="4288"/>
    </row>
    <row r="11983" spans="15:15">
      <c r="O11983" s="4288"/>
    </row>
    <row r="11984" spans="15:15">
      <c r="O11984" s="4288"/>
    </row>
    <row r="11985" spans="15:15">
      <c r="O11985" s="4288"/>
    </row>
    <row r="11986" spans="15:15">
      <c r="O11986" s="4288"/>
    </row>
    <row r="11987" spans="15:15">
      <c r="O11987" s="4288"/>
    </row>
    <row r="11988" spans="15:15">
      <c r="O11988" s="4288"/>
    </row>
    <row r="11989" spans="15:15">
      <c r="O11989" s="4288"/>
    </row>
    <row r="11990" spans="15:15">
      <c r="O11990" s="4288"/>
    </row>
    <row r="11991" spans="15:15">
      <c r="O11991" s="4288"/>
    </row>
    <row r="11992" spans="15:15">
      <c r="O11992" s="4288"/>
    </row>
    <row r="11993" spans="15:15">
      <c r="O11993" s="4288"/>
    </row>
    <row r="11994" spans="15:15">
      <c r="O11994" s="4288"/>
    </row>
    <row r="11995" spans="15:15">
      <c r="O11995" s="4288"/>
    </row>
    <row r="11996" spans="15:15">
      <c r="O11996" s="4288"/>
    </row>
    <row r="11997" spans="15:15">
      <c r="O11997" s="4288"/>
    </row>
    <row r="11998" spans="15:15">
      <c r="O11998" s="4288"/>
    </row>
    <row r="11999" spans="15:15">
      <c r="O11999" s="4288"/>
    </row>
    <row r="12000" spans="15:15">
      <c r="O12000" s="4288"/>
    </row>
    <row r="12001" spans="15:15">
      <c r="O12001" s="4288"/>
    </row>
    <row r="12002" spans="15:15">
      <c r="O12002" s="4288"/>
    </row>
    <row r="12003" spans="15:15">
      <c r="O12003" s="4288"/>
    </row>
    <row r="12004" spans="15:15">
      <c r="O12004" s="4288"/>
    </row>
    <row r="12005" spans="15:15">
      <c r="O12005" s="4288"/>
    </row>
    <row r="12006" spans="15:15">
      <c r="O12006" s="4288"/>
    </row>
    <row r="12007" spans="15:15">
      <c r="O12007" s="4288"/>
    </row>
    <row r="12008" spans="15:15">
      <c r="O12008" s="4288"/>
    </row>
    <row r="12009" spans="15:15">
      <c r="O12009" s="4288"/>
    </row>
    <row r="12010" spans="15:15">
      <c r="O12010" s="4288"/>
    </row>
    <row r="12011" spans="15:15">
      <c r="O12011" s="4288"/>
    </row>
    <row r="12012" spans="15:15">
      <c r="O12012" s="4288"/>
    </row>
    <row r="12013" spans="15:15">
      <c r="O12013" s="4288"/>
    </row>
    <row r="12014" spans="15:15">
      <c r="O12014" s="4288"/>
    </row>
    <row r="12015" spans="15:15">
      <c r="O12015" s="4288"/>
    </row>
    <row r="12016" spans="15:15">
      <c r="O12016" s="4288"/>
    </row>
    <row r="12017" spans="15:15">
      <c r="O12017" s="4288"/>
    </row>
    <row r="12018" spans="15:15">
      <c r="O12018" s="4288"/>
    </row>
    <row r="12019" spans="15:15">
      <c r="O12019" s="4288"/>
    </row>
    <row r="12020" spans="15:15">
      <c r="O12020" s="4288"/>
    </row>
    <row r="12021" spans="15:15">
      <c r="O12021" s="4288"/>
    </row>
    <row r="12022" spans="15:15">
      <c r="O12022" s="4288"/>
    </row>
    <row r="12023" spans="15:15">
      <c r="O12023" s="4288"/>
    </row>
    <row r="12024" spans="15:15">
      <c r="O12024" s="4288"/>
    </row>
    <row r="12025" spans="15:15">
      <c r="O12025" s="4288"/>
    </row>
    <row r="12026" spans="15:15">
      <c r="O12026" s="4288"/>
    </row>
    <row r="12027" spans="15:15">
      <c r="O12027" s="4288"/>
    </row>
    <row r="12028" spans="15:15">
      <c r="O12028" s="4288"/>
    </row>
    <row r="12029" spans="15:15">
      <c r="O12029" s="4288"/>
    </row>
    <row r="12030" spans="15:15">
      <c r="O12030" s="4288"/>
    </row>
    <row r="12031" spans="15:15">
      <c r="O12031" s="4288"/>
    </row>
    <row r="12032" spans="15:15">
      <c r="O12032" s="4288"/>
    </row>
    <row r="12033" spans="15:15">
      <c r="O12033" s="4288"/>
    </row>
    <row r="12034" spans="15:15">
      <c r="O12034" s="4288"/>
    </row>
    <row r="12035" spans="15:15">
      <c r="O12035" s="4288"/>
    </row>
    <row r="12036" spans="15:15">
      <c r="O12036" s="4288"/>
    </row>
    <row r="12037" spans="15:15">
      <c r="O12037" s="4288"/>
    </row>
    <row r="12038" spans="15:15">
      <c r="O12038" s="4288"/>
    </row>
    <row r="12039" spans="15:15">
      <c r="O12039" s="4288"/>
    </row>
    <row r="12040" spans="15:15">
      <c r="O12040" s="4288"/>
    </row>
    <row r="12041" spans="15:15">
      <c r="O12041" s="4288"/>
    </row>
    <row r="12042" spans="15:15">
      <c r="O12042" s="4288"/>
    </row>
    <row r="12043" spans="15:15">
      <c r="O12043" s="4288"/>
    </row>
    <row r="12044" spans="15:15">
      <c r="O12044" s="4288"/>
    </row>
    <row r="12045" spans="15:15">
      <c r="O12045" s="4288"/>
    </row>
    <row r="12046" spans="15:15">
      <c r="O12046" s="4288"/>
    </row>
    <row r="12047" spans="15:15">
      <c r="O12047" s="4288"/>
    </row>
    <row r="12048" spans="15:15">
      <c r="O12048" s="4288"/>
    </row>
    <row r="12049" spans="15:15">
      <c r="O12049" s="4288"/>
    </row>
    <row r="12050" spans="15:15">
      <c r="O12050" s="4288"/>
    </row>
    <row r="12051" spans="15:15">
      <c r="O12051" s="4288"/>
    </row>
    <row r="12052" spans="15:15">
      <c r="O12052" s="4288"/>
    </row>
    <row r="12053" spans="15:15">
      <c r="O12053" s="4288"/>
    </row>
    <row r="12054" spans="15:15">
      <c r="O12054" s="4288"/>
    </row>
    <row r="12055" spans="15:15">
      <c r="O12055" s="4288"/>
    </row>
    <row r="12056" spans="15:15">
      <c r="O12056" s="4288"/>
    </row>
    <row r="12057" spans="15:15">
      <c r="O12057" s="4288"/>
    </row>
    <row r="12058" spans="15:15">
      <c r="O12058" s="4288"/>
    </row>
    <row r="12059" spans="15:15">
      <c r="O12059" s="4288"/>
    </row>
    <row r="12060" spans="15:15">
      <c r="O12060" s="4288"/>
    </row>
    <row r="12061" spans="15:15">
      <c r="O12061" s="4288"/>
    </row>
    <row r="12062" spans="15:15">
      <c r="O12062" s="4288"/>
    </row>
    <row r="12063" spans="15:15">
      <c r="O12063" s="4288"/>
    </row>
    <row r="12064" spans="15:15">
      <c r="O12064" s="4288"/>
    </row>
    <row r="12065" spans="15:15">
      <c r="O12065" s="4288"/>
    </row>
    <row r="12066" spans="15:15">
      <c r="O12066" s="4288"/>
    </row>
    <row r="12067" spans="15:15">
      <c r="O12067" s="4288"/>
    </row>
    <row r="12068" spans="15:15">
      <c r="O12068" s="4288"/>
    </row>
    <row r="12069" spans="15:15">
      <c r="O12069" s="4288"/>
    </row>
    <row r="12070" spans="15:15">
      <c r="O12070" s="4288"/>
    </row>
    <row r="12071" spans="15:15">
      <c r="O12071" s="4288"/>
    </row>
    <row r="12072" spans="15:15">
      <c r="O12072" s="4288"/>
    </row>
    <row r="12073" spans="15:15">
      <c r="O12073" s="4288"/>
    </row>
    <row r="12074" spans="15:15">
      <c r="O12074" s="4288"/>
    </row>
    <row r="12075" spans="15:15">
      <c r="O12075" s="4288"/>
    </row>
    <row r="12076" spans="15:15">
      <c r="O12076" s="4288"/>
    </row>
    <row r="12077" spans="15:15">
      <c r="O12077" s="4288"/>
    </row>
    <row r="12078" spans="15:15">
      <c r="O12078" s="4288"/>
    </row>
    <row r="12079" spans="15:15">
      <c r="O12079" s="4288"/>
    </row>
    <row r="12080" spans="15:15">
      <c r="O12080" s="4288"/>
    </row>
    <row r="12081" spans="15:15">
      <c r="O12081" s="4288"/>
    </row>
    <row r="12082" spans="15:15">
      <c r="O12082" s="4288"/>
    </row>
    <row r="12083" spans="15:15">
      <c r="O12083" s="4288"/>
    </row>
    <row r="12084" spans="15:15">
      <c r="O12084" s="4288"/>
    </row>
    <row r="12085" spans="15:15">
      <c r="O12085" s="4288"/>
    </row>
    <row r="12086" spans="15:15">
      <c r="O12086" s="4288"/>
    </row>
    <row r="12087" spans="15:15">
      <c r="O12087" s="4288"/>
    </row>
    <row r="12088" spans="15:15">
      <c r="O12088" s="4288"/>
    </row>
    <row r="12089" spans="15:15">
      <c r="O12089" s="4288"/>
    </row>
    <row r="12090" spans="15:15">
      <c r="O12090" s="4288"/>
    </row>
    <row r="12091" spans="15:15">
      <c r="O12091" s="4288"/>
    </row>
    <row r="12092" spans="15:15">
      <c r="O12092" s="4288"/>
    </row>
    <row r="12093" spans="15:15">
      <c r="O12093" s="4288"/>
    </row>
    <row r="12094" spans="15:15">
      <c r="O12094" s="4288"/>
    </row>
    <row r="12095" spans="15:15">
      <c r="O12095" s="4288"/>
    </row>
    <row r="12096" spans="15:15">
      <c r="O12096" s="4288"/>
    </row>
    <row r="12097" spans="15:15">
      <c r="O12097" s="4288"/>
    </row>
    <row r="12098" spans="15:15">
      <c r="O12098" s="4288"/>
    </row>
    <row r="12099" spans="15:15">
      <c r="O12099" s="4288"/>
    </row>
    <row r="12100" spans="15:15">
      <c r="O12100" s="4288"/>
    </row>
    <row r="12101" spans="15:15">
      <c r="O12101" s="4288"/>
    </row>
    <row r="12102" spans="15:15">
      <c r="O12102" s="4288"/>
    </row>
    <row r="12103" spans="15:15">
      <c r="O12103" s="4288"/>
    </row>
    <row r="12104" spans="15:15">
      <c r="O12104" s="4288"/>
    </row>
    <row r="12105" spans="15:15">
      <c r="O12105" s="4288"/>
    </row>
    <row r="12106" spans="15:15">
      <c r="O12106" s="4288"/>
    </row>
    <row r="12107" spans="15:15">
      <c r="O12107" s="4288"/>
    </row>
    <row r="12108" spans="15:15">
      <c r="O12108" s="4288"/>
    </row>
    <row r="12109" spans="15:15">
      <c r="O12109" s="4288"/>
    </row>
    <row r="12110" spans="15:15">
      <c r="O12110" s="4288"/>
    </row>
    <row r="12111" spans="15:15">
      <c r="O12111" s="4288"/>
    </row>
    <row r="12112" spans="15:15">
      <c r="O12112" s="4288"/>
    </row>
    <row r="12113" spans="15:15">
      <c r="O12113" s="4288"/>
    </row>
    <row r="12114" spans="15:15">
      <c r="O12114" s="4288"/>
    </row>
    <row r="12115" spans="15:15">
      <c r="O12115" s="4288"/>
    </row>
    <row r="12116" spans="15:15">
      <c r="O12116" s="4288"/>
    </row>
    <row r="12117" spans="15:15">
      <c r="O12117" s="4288"/>
    </row>
    <row r="12118" spans="15:15">
      <c r="O12118" s="4288"/>
    </row>
    <row r="12119" spans="15:15">
      <c r="O12119" s="4288"/>
    </row>
    <row r="12120" spans="15:15">
      <c r="O12120" s="4288"/>
    </row>
    <row r="12121" spans="15:15">
      <c r="O12121" s="4288"/>
    </row>
    <row r="12122" spans="15:15">
      <c r="O12122" s="4288"/>
    </row>
    <row r="12123" spans="15:15">
      <c r="O12123" s="4288"/>
    </row>
    <row r="12124" spans="15:15">
      <c r="O12124" s="4288"/>
    </row>
    <row r="12125" spans="15:15">
      <c r="O12125" s="4288"/>
    </row>
    <row r="12126" spans="15:15">
      <c r="O12126" s="4288"/>
    </row>
    <row r="12127" spans="15:15">
      <c r="O12127" s="4288"/>
    </row>
    <row r="12128" spans="15:15">
      <c r="O12128" s="4288"/>
    </row>
    <row r="12129" spans="15:15">
      <c r="O12129" s="4288"/>
    </row>
    <row r="12130" spans="15:15">
      <c r="O12130" s="4288"/>
    </row>
    <row r="12131" spans="15:15">
      <c r="O12131" s="4288"/>
    </row>
    <row r="12132" spans="15:15">
      <c r="O12132" s="4288"/>
    </row>
    <row r="12133" spans="15:15">
      <c r="O12133" s="4288"/>
    </row>
    <row r="12134" spans="15:15">
      <c r="O12134" s="4288"/>
    </row>
    <row r="12135" spans="15:15">
      <c r="O12135" s="4288"/>
    </row>
    <row r="12136" spans="15:15">
      <c r="O12136" s="4288"/>
    </row>
    <row r="12137" spans="15:15">
      <c r="O12137" s="4288"/>
    </row>
    <row r="12138" spans="15:15">
      <c r="O12138" s="4288"/>
    </row>
    <row r="12139" spans="15:15">
      <c r="O12139" s="4288"/>
    </row>
    <row r="12140" spans="15:15">
      <c r="O12140" s="4288"/>
    </row>
    <row r="12141" spans="15:15">
      <c r="O12141" s="4288"/>
    </row>
    <row r="12142" spans="15:15">
      <c r="O12142" s="4288"/>
    </row>
    <row r="12143" spans="15:15">
      <c r="O12143" s="4288"/>
    </row>
    <row r="12144" spans="15:15">
      <c r="O12144" s="4288"/>
    </row>
    <row r="12145" spans="15:15">
      <c r="O12145" s="4288"/>
    </row>
    <row r="12146" spans="15:15">
      <c r="O12146" s="4288"/>
    </row>
    <row r="12147" spans="15:15">
      <c r="O12147" s="4288"/>
    </row>
    <row r="12148" spans="15:15">
      <c r="O12148" s="4288"/>
    </row>
    <row r="12149" spans="15:15">
      <c r="O12149" s="4288"/>
    </row>
    <row r="12150" spans="15:15">
      <c r="O12150" s="4288"/>
    </row>
    <row r="12151" spans="15:15">
      <c r="O12151" s="4288"/>
    </row>
    <row r="12152" spans="15:15">
      <c r="O12152" s="4288"/>
    </row>
    <row r="12153" spans="15:15">
      <c r="O12153" s="4288"/>
    </row>
    <row r="12154" spans="15:15">
      <c r="O12154" s="4288"/>
    </row>
    <row r="12155" spans="15:15">
      <c r="O12155" s="4288"/>
    </row>
    <row r="12156" spans="15:15">
      <c r="O12156" s="4288"/>
    </row>
    <row r="12157" spans="15:15">
      <c r="O12157" s="4288"/>
    </row>
    <row r="12158" spans="15:15">
      <c r="O12158" s="4288"/>
    </row>
    <row r="12159" spans="15:15">
      <c r="O12159" s="4288"/>
    </row>
    <row r="12160" spans="15:15">
      <c r="O12160" s="4288"/>
    </row>
    <row r="12161" spans="15:15">
      <c r="O12161" s="4288"/>
    </row>
    <row r="12162" spans="15:15">
      <c r="O12162" s="4288"/>
    </row>
    <row r="12163" spans="15:15">
      <c r="O12163" s="4288"/>
    </row>
    <row r="12164" spans="15:15">
      <c r="O12164" s="4288"/>
    </row>
    <row r="12165" spans="15:15">
      <c r="O12165" s="4288"/>
    </row>
    <row r="12166" spans="15:15">
      <c r="O12166" s="4288"/>
    </row>
    <row r="12167" spans="15:15">
      <c r="O12167" s="4288"/>
    </row>
    <row r="12168" spans="15:15">
      <c r="O12168" s="4288"/>
    </row>
    <row r="12169" spans="15:15">
      <c r="O12169" s="4288"/>
    </row>
    <row r="12170" spans="15:15">
      <c r="O12170" s="4288"/>
    </row>
    <row r="12171" spans="15:15">
      <c r="O12171" s="4288"/>
    </row>
    <row r="12172" spans="15:15">
      <c r="O12172" s="4288"/>
    </row>
    <row r="12173" spans="15:15">
      <c r="O12173" s="4288"/>
    </row>
    <row r="12174" spans="15:15">
      <c r="O12174" s="4288"/>
    </row>
    <row r="12175" spans="15:15">
      <c r="O12175" s="4288"/>
    </row>
    <row r="12176" spans="15:15">
      <c r="O12176" s="4288"/>
    </row>
    <row r="12177" spans="15:15">
      <c r="O12177" s="4288"/>
    </row>
    <row r="12178" spans="15:15">
      <c r="O12178" s="4288"/>
    </row>
    <row r="12179" spans="15:15">
      <c r="O12179" s="4288"/>
    </row>
    <row r="12180" spans="15:15">
      <c r="O12180" s="4288"/>
    </row>
    <row r="12181" spans="15:15">
      <c r="O12181" s="4288"/>
    </row>
    <row r="12182" spans="15:15">
      <c r="O12182" s="4288"/>
    </row>
    <row r="12183" spans="15:15">
      <c r="O12183" s="4288"/>
    </row>
    <row r="12184" spans="15:15">
      <c r="O12184" s="4288"/>
    </row>
    <row r="12185" spans="15:15">
      <c r="O12185" s="4288"/>
    </row>
    <row r="12186" spans="15:15">
      <c r="O12186" s="4288"/>
    </row>
    <row r="12187" spans="15:15">
      <c r="O12187" s="4288"/>
    </row>
    <row r="12188" spans="15:15">
      <c r="O12188" s="4288"/>
    </row>
    <row r="12189" spans="15:15">
      <c r="O12189" s="4288"/>
    </row>
    <row r="12190" spans="15:15">
      <c r="O12190" s="4288"/>
    </row>
    <row r="12191" spans="15:15">
      <c r="O12191" s="4288"/>
    </row>
    <row r="12192" spans="15:15">
      <c r="O12192" s="4288"/>
    </row>
    <row r="12193" spans="15:15">
      <c r="O12193" s="4288"/>
    </row>
    <row r="12194" spans="15:15">
      <c r="O12194" s="4288"/>
    </row>
    <row r="12195" spans="15:15">
      <c r="O12195" s="4288"/>
    </row>
    <row r="12196" spans="15:15">
      <c r="O12196" s="4288"/>
    </row>
    <row r="12197" spans="15:15">
      <c r="O12197" s="4288"/>
    </row>
    <row r="12198" spans="15:15">
      <c r="O12198" s="4288"/>
    </row>
    <row r="12199" spans="15:15">
      <c r="O12199" s="4288"/>
    </row>
    <row r="12200" spans="15:15">
      <c r="O12200" s="4288"/>
    </row>
    <row r="12201" spans="15:15">
      <c r="O12201" s="4288"/>
    </row>
    <row r="12202" spans="15:15">
      <c r="O12202" s="4288"/>
    </row>
    <row r="12203" spans="15:15">
      <c r="O12203" s="4288"/>
    </row>
    <row r="12204" spans="15:15">
      <c r="O12204" s="4288"/>
    </row>
    <row r="12205" spans="15:15">
      <c r="O12205" s="4288"/>
    </row>
    <row r="12206" spans="15:15">
      <c r="O12206" s="4288"/>
    </row>
    <row r="12207" spans="15:15">
      <c r="O12207" s="4288"/>
    </row>
    <row r="12208" spans="15:15">
      <c r="O12208" s="4288"/>
    </row>
    <row r="12209" spans="15:15">
      <c r="O12209" s="4288"/>
    </row>
    <row r="12210" spans="15:15">
      <c r="O12210" s="4288"/>
    </row>
    <row r="12211" spans="15:15">
      <c r="O12211" s="4288"/>
    </row>
    <row r="12212" spans="15:15">
      <c r="O12212" s="4288"/>
    </row>
    <row r="12213" spans="15:15">
      <c r="O12213" s="4288"/>
    </row>
    <row r="12214" spans="15:15">
      <c r="O12214" s="4288"/>
    </row>
    <row r="12215" spans="15:15">
      <c r="O12215" s="4288"/>
    </row>
    <row r="12216" spans="15:15">
      <c r="O12216" s="4288"/>
    </row>
    <row r="12217" spans="15:15">
      <c r="O12217" s="4288"/>
    </row>
    <row r="12218" spans="15:15">
      <c r="O12218" s="4288"/>
    </row>
    <row r="12219" spans="15:15">
      <c r="O12219" s="4288"/>
    </row>
    <row r="12220" spans="15:15">
      <c r="O12220" s="4288"/>
    </row>
    <row r="12221" spans="15:15">
      <c r="O12221" s="4288"/>
    </row>
    <row r="12222" spans="15:15">
      <c r="O12222" s="4288"/>
    </row>
    <row r="12223" spans="15:15">
      <c r="O12223" s="4288"/>
    </row>
    <row r="12224" spans="15:15">
      <c r="O12224" s="4288"/>
    </row>
    <row r="12225" spans="15:15">
      <c r="O12225" s="4288"/>
    </row>
    <row r="12226" spans="15:15">
      <c r="O12226" s="4288"/>
    </row>
    <row r="12227" spans="15:15">
      <c r="O12227" s="4288"/>
    </row>
    <row r="12228" spans="15:15">
      <c r="O12228" s="4288"/>
    </row>
    <row r="12229" spans="15:15">
      <c r="O12229" s="4288"/>
    </row>
    <row r="12230" spans="15:15">
      <c r="O12230" s="4288"/>
    </row>
    <row r="12231" spans="15:15">
      <c r="O12231" s="4288"/>
    </row>
    <row r="12232" spans="15:15">
      <c r="O12232" s="4288"/>
    </row>
    <row r="12233" spans="15:15">
      <c r="O12233" s="4288"/>
    </row>
    <row r="12234" spans="15:15">
      <c r="O12234" s="4288"/>
    </row>
    <row r="12235" spans="15:15">
      <c r="O12235" s="4288"/>
    </row>
    <row r="12236" spans="15:15">
      <c r="O12236" s="4288"/>
    </row>
    <row r="12237" spans="15:15">
      <c r="O12237" s="4288"/>
    </row>
    <row r="12238" spans="15:15">
      <c r="O12238" s="4288"/>
    </row>
    <row r="12239" spans="15:15">
      <c r="O12239" s="4288"/>
    </row>
    <row r="12240" spans="15:15">
      <c r="O12240" s="4288"/>
    </row>
    <row r="12241" spans="15:15">
      <c r="O12241" s="4288"/>
    </row>
    <row r="12242" spans="15:15">
      <c r="O12242" s="4288"/>
    </row>
    <row r="12243" spans="15:15">
      <c r="O12243" s="4288"/>
    </row>
    <row r="12244" spans="15:15">
      <c r="O12244" s="4288"/>
    </row>
    <row r="12245" spans="15:15">
      <c r="O12245" s="4288"/>
    </row>
    <row r="12246" spans="15:15">
      <c r="O12246" s="4288"/>
    </row>
    <row r="12247" spans="15:15">
      <c r="O12247" s="4288"/>
    </row>
    <row r="12248" spans="15:15">
      <c r="O12248" s="4288"/>
    </row>
    <row r="12249" spans="15:15">
      <c r="O12249" s="4288"/>
    </row>
    <row r="12250" spans="15:15">
      <c r="O12250" s="4288"/>
    </row>
    <row r="12251" spans="15:15">
      <c r="O12251" s="4288"/>
    </row>
    <row r="12252" spans="15:15">
      <c r="O12252" s="4288"/>
    </row>
    <row r="12253" spans="15:15">
      <c r="O12253" s="4288"/>
    </row>
    <row r="12254" spans="15:15">
      <c r="O12254" s="4288"/>
    </row>
    <row r="12255" spans="15:15">
      <c r="O12255" s="4288"/>
    </row>
    <row r="12256" spans="15:15">
      <c r="O12256" s="4288"/>
    </row>
    <row r="12257" spans="15:15">
      <c r="O12257" s="4288"/>
    </row>
    <row r="12258" spans="15:15">
      <c r="O12258" s="4288"/>
    </row>
    <row r="12259" spans="15:15">
      <c r="O12259" s="4288"/>
    </row>
    <row r="12260" spans="15:15">
      <c r="O12260" s="4288"/>
    </row>
    <row r="12261" spans="15:15">
      <c r="O12261" s="4288"/>
    </row>
    <row r="12262" spans="15:15">
      <c r="O12262" s="4288"/>
    </row>
    <row r="12263" spans="15:15">
      <c r="O12263" s="4288"/>
    </row>
    <row r="12264" spans="15:15">
      <c r="O12264" s="4288"/>
    </row>
    <row r="12265" spans="15:15">
      <c r="O12265" s="4288"/>
    </row>
    <row r="12266" spans="15:15">
      <c r="O12266" s="4288"/>
    </row>
    <row r="12267" spans="15:15">
      <c r="O12267" s="4288"/>
    </row>
    <row r="12268" spans="15:15">
      <c r="O12268" s="4288"/>
    </row>
    <row r="12269" spans="15:15">
      <c r="O12269" s="4288"/>
    </row>
    <row r="12270" spans="15:15">
      <c r="O12270" s="4288"/>
    </row>
    <row r="12271" spans="15:15">
      <c r="O12271" s="4288"/>
    </row>
    <row r="12272" spans="15:15">
      <c r="O12272" s="4288"/>
    </row>
    <row r="12273" spans="15:15">
      <c r="O12273" s="4288"/>
    </row>
    <row r="12274" spans="15:15">
      <c r="O12274" s="4288"/>
    </row>
    <row r="12275" spans="15:15">
      <c r="O12275" s="4288"/>
    </row>
    <row r="12276" spans="15:15">
      <c r="O12276" s="4288"/>
    </row>
    <row r="12277" spans="15:15">
      <c r="O12277" s="4288"/>
    </row>
    <row r="12278" spans="15:15">
      <c r="O12278" s="4288"/>
    </row>
    <row r="12279" spans="15:15">
      <c r="O12279" s="4288"/>
    </row>
    <row r="12280" spans="15:15">
      <c r="O12280" s="4288"/>
    </row>
    <row r="12281" spans="15:15">
      <c r="O12281" s="4288"/>
    </row>
    <row r="12282" spans="15:15">
      <c r="O12282" s="4288"/>
    </row>
    <row r="12283" spans="15:15">
      <c r="O12283" s="4288"/>
    </row>
    <row r="12284" spans="15:15">
      <c r="O12284" s="4288"/>
    </row>
    <row r="12285" spans="15:15">
      <c r="O12285" s="4288"/>
    </row>
    <row r="12286" spans="15:15">
      <c r="O12286" s="4288"/>
    </row>
    <row r="12287" spans="15:15">
      <c r="O12287" s="4288"/>
    </row>
    <row r="12288" spans="15:15">
      <c r="O12288" s="4288"/>
    </row>
    <row r="12289" spans="15:15">
      <c r="O12289" s="4288"/>
    </row>
    <row r="12290" spans="15:15">
      <c r="O12290" s="4288"/>
    </row>
    <row r="12291" spans="15:15">
      <c r="O12291" s="4288"/>
    </row>
    <row r="12292" spans="15:15">
      <c r="O12292" s="4288"/>
    </row>
    <row r="12293" spans="15:15">
      <c r="O12293" s="4288"/>
    </row>
    <row r="12294" spans="15:15">
      <c r="O12294" s="4288"/>
    </row>
    <row r="12295" spans="15:15">
      <c r="O12295" s="4288"/>
    </row>
    <row r="12296" spans="15:15">
      <c r="O12296" s="4288"/>
    </row>
    <row r="12297" spans="15:15">
      <c r="O12297" s="4288"/>
    </row>
    <row r="12298" spans="15:15">
      <c r="O12298" s="4288"/>
    </row>
    <row r="12299" spans="15:15">
      <c r="O12299" s="4288"/>
    </row>
    <row r="12300" spans="15:15">
      <c r="O12300" s="4288"/>
    </row>
    <row r="12301" spans="15:15">
      <c r="O12301" s="4288"/>
    </row>
    <row r="12302" spans="15:15">
      <c r="O12302" s="4288"/>
    </row>
    <row r="12303" spans="15:15">
      <c r="O12303" s="4288"/>
    </row>
    <row r="12304" spans="15:15">
      <c r="O12304" s="4288"/>
    </row>
    <row r="12305" spans="15:15">
      <c r="O12305" s="4288"/>
    </row>
    <row r="12306" spans="15:15">
      <c r="O12306" s="4288"/>
    </row>
    <row r="12307" spans="15:15">
      <c r="O12307" s="4288"/>
    </row>
    <row r="12308" spans="15:15">
      <c r="O12308" s="4288"/>
    </row>
    <row r="12309" spans="15:15">
      <c r="O12309" s="4288"/>
    </row>
    <row r="12310" spans="15:15">
      <c r="O12310" s="4288"/>
    </row>
    <row r="12311" spans="15:15">
      <c r="O12311" s="4288"/>
    </row>
    <row r="12312" spans="15:15">
      <c r="O12312" s="4288"/>
    </row>
    <row r="12313" spans="15:15">
      <c r="O12313" s="4288"/>
    </row>
    <row r="12314" spans="15:15">
      <c r="O12314" s="4288"/>
    </row>
    <row r="12315" spans="15:15">
      <c r="O12315" s="4288"/>
    </row>
    <row r="12316" spans="15:15">
      <c r="O12316" s="4288"/>
    </row>
    <row r="12317" spans="15:15">
      <c r="O12317" s="4288"/>
    </row>
    <row r="12318" spans="15:15">
      <c r="O12318" s="4288"/>
    </row>
    <row r="12319" spans="15:15">
      <c r="O12319" s="4288"/>
    </row>
    <row r="12320" spans="15:15">
      <c r="O12320" s="4288"/>
    </row>
    <row r="12321" spans="15:15">
      <c r="O12321" s="4288"/>
    </row>
    <row r="12322" spans="15:15">
      <c r="O12322" s="4288"/>
    </row>
    <row r="12323" spans="15:15">
      <c r="O12323" s="4288"/>
    </row>
    <row r="12324" spans="15:15">
      <c r="O12324" s="4288"/>
    </row>
    <row r="12325" spans="15:15">
      <c r="O12325" s="4288"/>
    </row>
    <row r="12326" spans="15:15">
      <c r="O12326" s="4288"/>
    </row>
    <row r="12327" spans="15:15">
      <c r="O12327" s="4288"/>
    </row>
    <row r="12328" spans="15:15">
      <c r="O12328" s="4288"/>
    </row>
    <row r="12329" spans="15:15">
      <c r="O12329" s="4288"/>
    </row>
    <row r="12330" spans="15:15">
      <c r="O12330" s="4288"/>
    </row>
    <row r="12331" spans="15:15">
      <c r="O12331" s="4288"/>
    </row>
    <row r="12332" spans="15:15">
      <c r="O12332" s="4288"/>
    </row>
    <row r="12333" spans="15:15">
      <c r="O12333" s="4288"/>
    </row>
    <row r="12334" spans="15:15">
      <c r="O12334" s="4288"/>
    </row>
    <row r="12335" spans="15:15">
      <c r="O12335" s="4288"/>
    </row>
    <row r="12336" spans="15:15">
      <c r="O12336" s="4288"/>
    </row>
    <row r="12337" spans="15:15">
      <c r="O12337" s="4288"/>
    </row>
    <row r="12338" spans="15:15">
      <c r="O12338" s="4288"/>
    </row>
    <row r="12339" spans="15:15">
      <c r="O12339" s="4288"/>
    </row>
    <row r="12340" spans="15:15">
      <c r="O12340" s="4288"/>
    </row>
    <row r="12341" spans="15:15">
      <c r="O12341" s="4288"/>
    </row>
    <row r="12342" spans="15:15">
      <c r="O12342" s="4288"/>
    </row>
    <row r="12343" spans="15:15">
      <c r="O12343" s="4288"/>
    </row>
    <row r="12344" spans="15:15">
      <c r="O12344" s="4288"/>
    </row>
    <row r="12345" spans="15:15">
      <c r="O12345" s="4288"/>
    </row>
    <row r="12346" spans="15:15">
      <c r="O12346" s="4288"/>
    </row>
    <row r="12347" spans="15:15">
      <c r="O12347" s="4288"/>
    </row>
    <row r="12348" spans="15:15">
      <c r="O12348" s="4288"/>
    </row>
    <row r="12349" spans="15:15">
      <c r="O12349" s="4288"/>
    </row>
    <row r="12350" spans="15:15">
      <c r="O12350" s="4288"/>
    </row>
    <row r="12351" spans="15:15">
      <c r="O12351" s="4288"/>
    </row>
    <row r="12352" spans="15:15">
      <c r="O12352" s="4288"/>
    </row>
    <row r="12353" spans="15:15">
      <c r="O12353" s="4288"/>
    </row>
    <row r="12354" spans="15:15">
      <c r="O12354" s="4288"/>
    </row>
    <row r="12355" spans="15:15">
      <c r="O12355" s="4288"/>
    </row>
    <row r="12356" spans="15:15">
      <c r="O12356" s="4288"/>
    </row>
    <row r="12357" spans="15:15">
      <c r="O12357" s="4288"/>
    </row>
    <row r="12358" spans="15:15">
      <c r="O12358" s="4288"/>
    </row>
    <row r="12359" spans="15:15">
      <c r="O12359" s="4288"/>
    </row>
    <row r="12360" spans="15:15">
      <c r="O12360" s="4288"/>
    </row>
    <row r="12361" spans="15:15">
      <c r="O12361" s="4288"/>
    </row>
    <row r="12362" spans="15:15">
      <c r="O12362" s="4288"/>
    </row>
    <row r="12363" spans="15:15">
      <c r="O12363" s="4288"/>
    </row>
    <row r="12364" spans="15:15">
      <c r="O12364" s="4288"/>
    </row>
    <row r="12365" spans="15:15">
      <c r="O12365" s="4288"/>
    </row>
    <row r="12366" spans="15:15">
      <c r="O12366" s="4288"/>
    </row>
    <row r="12367" spans="15:15">
      <c r="O12367" s="4288"/>
    </row>
    <row r="12368" spans="15:15">
      <c r="O12368" s="4288"/>
    </row>
    <row r="12369" spans="15:15">
      <c r="O12369" s="4288"/>
    </row>
    <row r="12370" spans="15:15">
      <c r="O12370" s="4288"/>
    </row>
    <row r="12371" spans="15:15">
      <c r="O12371" s="4288"/>
    </row>
    <row r="12372" spans="15:15">
      <c r="O12372" s="4288"/>
    </row>
    <row r="12373" spans="15:15">
      <c r="O12373" s="4288"/>
    </row>
    <row r="12374" spans="15:15">
      <c r="O12374" s="4288"/>
    </row>
    <row r="12375" spans="15:15">
      <c r="O12375" s="4288"/>
    </row>
    <row r="12376" spans="15:15">
      <c r="O12376" s="4288"/>
    </row>
    <row r="12377" spans="15:15">
      <c r="O12377" s="4288"/>
    </row>
    <row r="12378" spans="15:15">
      <c r="O12378" s="4288"/>
    </row>
    <row r="12379" spans="15:15">
      <c r="O12379" s="4288"/>
    </row>
    <row r="12380" spans="15:15">
      <c r="O12380" s="4288"/>
    </row>
    <row r="12381" spans="15:15">
      <c r="O12381" s="4288"/>
    </row>
    <row r="12382" spans="15:15">
      <c r="O12382" s="4288"/>
    </row>
    <row r="12383" spans="15:15">
      <c r="O12383" s="4288"/>
    </row>
    <row r="12384" spans="15:15">
      <c r="O12384" s="4288"/>
    </row>
    <row r="12385" spans="15:15">
      <c r="O12385" s="4288"/>
    </row>
    <row r="12386" spans="15:15">
      <c r="O12386" s="4288"/>
    </row>
    <row r="12387" spans="15:15">
      <c r="O12387" s="4288"/>
    </row>
    <row r="12388" spans="15:15">
      <c r="O12388" s="4288"/>
    </row>
    <row r="12389" spans="15:15">
      <c r="O12389" s="4288"/>
    </row>
    <row r="12390" spans="15:15">
      <c r="O12390" s="4288"/>
    </row>
    <row r="12391" spans="15:15">
      <c r="O12391" s="4288"/>
    </row>
    <row r="12392" spans="15:15">
      <c r="O12392" s="4288"/>
    </row>
    <row r="12393" spans="15:15">
      <c r="O12393" s="4288"/>
    </row>
    <row r="12394" spans="15:15">
      <c r="O12394" s="4288"/>
    </row>
    <row r="12395" spans="15:15">
      <c r="O12395" s="4288"/>
    </row>
    <row r="12396" spans="15:15">
      <c r="O12396" s="4288"/>
    </row>
    <row r="12397" spans="15:15">
      <c r="O12397" s="4288"/>
    </row>
    <row r="12398" spans="15:15">
      <c r="O12398" s="4288"/>
    </row>
    <row r="12399" spans="15:15">
      <c r="O12399" s="4288"/>
    </row>
    <row r="12400" spans="15:15">
      <c r="O12400" s="4288"/>
    </row>
    <row r="12401" spans="15:15">
      <c r="O12401" s="4288"/>
    </row>
    <row r="12402" spans="15:15">
      <c r="O12402" s="4288"/>
    </row>
    <row r="12403" spans="15:15">
      <c r="O12403" s="4288"/>
    </row>
    <row r="12404" spans="15:15">
      <c r="O12404" s="4288"/>
    </row>
    <row r="12405" spans="15:15">
      <c r="O12405" s="4288"/>
    </row>
    <row r="12406" spans="15:15">
      <c r="O12406" s="4288"/>
    </row>
    <row r="12407" spans="15:15">
      <c r="O12407" s="4288"/>
    </row>
    <row r="12408" spans="15:15">
      <c r="O12408" s="4288"/>
    </row>
    <row r="12409" spans="15:15">
      <c r="O12409" s="4288"/>
    </row>
    <row r="12410" spans="15:15">
      <c r="O12410" s="4288"/>
    </row>
    <row r="12411" spans="15:15">
      <c r="O12411" s="4288"/>
    </row>
    <row r="12412" spans="15:15">
      <c r="O12412" s="4288"/>
    </row>
    <row r="12413" spans="15:15">
      <c r="O12413" s="4288"/>
    </row>
    <row r="12414" spans="15:15">
      <c r="O12414" s="4288"/>
    </row>
    <row r="12415" spans="15:15">
      <c r="O12415" s="4288"/>
    </row>
    <row r="12416" spans="15:15">
      <c r="O12416" s="4288"/>
    </row>
    <row r="12417" spans="15:15">
      <c r="O12417" s="4288"/>
    </row>
    <row r="12418" spans="15:15">
      <c r="O12418" s="4288"/>
    </row>
    <row r="12419" spans="15:15">
      <c r="O12419" s="4288"/>
    </row>
    <row r="12420" spans="15:15">
      <c r="O12420" s="4288"/>
    </row>
    <row r="12421" spans="15:15">
      <c r="O12421" s="4288"/>
    </row>
    <row r="12422" spans="15:15">
      <c r="O12422" s="4288"/>
    </row>
    <row r="12423" spans="15:15">
      <c r="O12423" s="4288"/>
    </row>
    <row r="12424" spans="15:15">
      <c r="O12424" s="4288"/>
    </row>
    <row r="12425" spans="15:15">
      <c r="O12425" s="4288"/>
    </row>
    <row r="12426" spans="15:15">
      <c r="O12426" s="4288"/>
    </row>
    <row r="12427" spans="15:15">
      <c r="O12427" s="4288"/>
    </row>
    <row r="12428" spans="15:15">
      <c r="O12428" s="4288"/>
    </row>
    <row r="12429" spans="15:15">
      <c r="O12429" s="4288"/>
    </row>
    <row r="12430" spans="15:15">
      <c r="O12430" s="4288"/>
    </row>
    <row r="12431" spans="15:15">
      <c r="O12431" s="4288"/>
    </row>
    <row r="12432" spans="15:15">
      <c r="O12432" s="4288"/>
    </row>
    <row r="12433" spans="15:15">
      <c r="O12433" s="4288"/>
    </row>
    <row r="12434" spans="15:15">
      <c r="O12434" s="4288"/>
    </row>
    <row r="12435" spans="15:15">
      <c r="O12435" s="4288"/>
    </row>
    <row r="12436" spans="15:15">
      <c r="O12436" s="4288"/>
    </row>
    <row r="12437" spans="15:15">
      <c r="O12437" s="4288"/>
    </row>
    <row r="12438" spans="15:15">
      <c r="O12438" s="4288"/>
    </row>
    <row r="12439" spans="15:15">
      <c r="O12439" s="4288"/>
    </row>
    <row r="12440" spans="15:15">
      <c r="O12440" s="4288"/>
    </row>
    <row r="12441" spans="15:15">
      <c r="O12441" s="4288"/>
    </row>
    <row r="12442" spans="15:15">
      <c r="O12442" s="4288"/>
    </row>
    <row r="12443" spans="15:15">
      <c r="O12443" s="4288"/>
    </row>
    <row r="12444" spans="15:15">
      <c r="O12444" s="4288"/>
    </row>
    <row r="12445" spans="15:15">
      <c r="O12445" s="4288"/>
    </row>
    <row r="12446" spans="15:15">
      <c r="O12446" s="4288"/>
    </row>
    <row r="12447" spans="15:15">
      <c r="O12447" s="4288"/>
    </row>
    <row r="12448" spans="15:15">
      <c r="O12448" s="4288"/>
    </row>
    <row r="12449" spans="15:15">
      <c r="O12449" s="4288"/>
    </row>
    <row r="12450" spans="15:15">
      <c r="O12450" s="4288"/>
    </row>
    <row r="12451" spans="15:15">
      <c r="O12451" s="4288"/>
    </row>
    <row r="12452" spans="15:15">
      <c r="O12452" s="4288"/>
    </row>
    <row r="12453" spans="15:15">
      <c r="O12453" s="4288"/>
    </row>
    <row r="12454" spans="15:15">
      <c r="O12454" s="4288"/>
    </row>
    <row r="12455" spans="15:15">
      <c r="O12455" s="4288"/>
    </row>
    <row r="12456" spans="15:15">
      <c r="O12456" s="4288"/>
    </row>
    <row r="12457" spans="15:15">
      <c r="O12457" s="4288"/>
    </row>
    <row r="12458" spans="15:15">
      <c r="O12458" s="4288"/>
    </row>
    <row r="12459" spans="15:15">
      <c r="O12459" s="4288"/>
    </row>
    <row r="12460" spans="15:15">
      <c r="O12460" s="4288"/>
    </row>
    <row r="12461" spans="15:15">
      <c r="O12461" s="4288"/>
    </row>
    <row r="12462" spans="15:15">
      <c r="O12462" s="4288"/>
    </row>
    <row r="12463" spans="15:15">
      <c r="O12463" s="4288"/>
    </row>
    <row r="12464" spans="15:15">
      <c r="O12464" s="4288"/>
    </row>
    <row r="12465" spans="15:15">
      <c r="O12465" s="4288"/>
    </row>
    <row r="12466" spans="15:15">
      <c r="O12466" s="4288"/>
    </row>
    <row r="12467" spans="15:15">
      <c r="O12467" s="4288"/>
    </row>
    <row r="12468" spans="15:15">
      <c r="O12468" s="4288"/>
    </row>
    <row r="12469" spans="15:15">
      <c r="O12469" s="4288"/>
    </row>
    <row r="12470" spans="15:15">
      <c r="O12470" s="4288"/>
    </row>
    <row r="12471" spans="15:15">
      <c r="O12471" s="4288"/>
    </row>
    <row r="12472" spans="15:15">
      <c r="O12472" s="4288"/>
    </row>
    <row r="12473" spans="15:15">
      <c r="O12473" s="4288"/>
    </row>
    <row r="12474" spans="15:15">
      <c r="O12474" s="4288"/>
    </row>
    <row r="12475" spans="15:15">
      <c r="O12475" s="4288"/>
    </row>
    <row r="12476" spans="15:15">
      <c r="O12476" s="4288"/>
    </row>
    <row r="12477" spans="15:15">
      <c r="O12477" s="4288"/>
    </row>
    <row r="12478" spans="15:15">
      <c r="O12478" s="4288"/>
    </row>
    <row r="12479" spans="15:15">
      <c r="O12479" s="4288"/>
    </row>
    <row r="12480" spans="15:15">
      <c r="O12480" s="4288"/>
    </row>
    <row r="12481" spans="15:15">
      <c r="O12481" s="4288"/>
    </row>
    <row r="12482" spans="15:15">
      <c r="O12482" s="4288"/>
    </row>
    <row r="12483" spans="15:15">
      <c r="O12483" s="4288"/>
    </row>
    <row r="12484" spans="15:15">
      <c r="O12484" s="4288"/>
    </row>
    <row r="12485" spans="15:15">
      <c r="O12485" s="4288"/>
    </row>
    <row r="12486" spans="15:15">
      <c r="O12486" s="4288"/>
    </row>
    <row r="12487" spans="15:15">
      <c r="O12487" s="4288"/>
    </row>
    <row r="12488" spans="15:15">
      <c r="O12488" s="4288"/>
    </row>
    <row r="12489" spans="15:15">
      <c r="O12489" s="4288"/>
    </row>
    <row r="12490" spans="15:15">
      <c r="O12490" s="4288"/>
    </row>
    <row r="12491" spans="15:15">
      <c r="O12491" s="4288"/>
    </row>
    <row r="12492" spans="15:15">
      <c r="O12492" s="4288"/>
    </row>
    <row r="12493" spans="15:15">
      <c r="O12493" s="4288"/>
    </row>
    <row r="12494" spans="15:15">
      <c r="O12494" s="4288"/>
    </row>
    <row r="12495" spans="15:15">
      <c r="O12495" s="4288"/>
    </row>
    <row r="12496" spans="15:15">
      <c r="O12496" s="4288"/>
    </row>
    <row r="12497" spans="15:15">
      <c r="O12497" s="4288"/>
    </row>
    <row r="12498" spans="15:15">
      <c r="O12498" s="4288"/>
    </row>
    <row r="12499" spans="15:15">
      <c r="O12499" s="4288"/>
    </row>
    <row r="12500" spans="15:15">
      <c r="O12500" s="4288"/>
    </row>
    <row r="12501" spans="15:15">
      <c r="O12501" s="4288"/>
    </row>
    <row r="12502" spans="15:15">
      <c r="O12502" s="4288"/>
    </row>
    <row r="12503" spans="15:15">
      <c r="O12503" s="4288"/>
    </row>
    <row r="12504" spans="15:15">
      <c r="O12504" s="4288"/>
    </row>
    <row r="12505" spans="15:15">
      <c r="O12505" s="4288"/>
    </row>
    <row r="12506" spans="15:15">
      <c r="O12506" s="4288"/>
    </row>
    <row r="12507" spans="15:15">
      <c r="O12507" s="4288"/>
    </row>
    <row r="12508" spans="15:15">
      <c r="O12508" s="4288"/>
    </row>
    <row r="12509" spans="15:15">
      <c r="O12509" s="4288"/>
    </row>
    <row r="12510" spans="15:15">
      <c r="O12510" s="4288"/>
    </row>
    <row r="12511" spans="15:15">
      <c r="O12511" s="4288"/>
    </row>
    <row r="12512" spans="15:15">
      <c r="O12512" s="4288"/>
    </row>
    <row r="12513" spans="15:15">
      <c r="O12513" s="4288"/>
    </row>
    <row r="12514" spans="15:15">
      <c r="O12514" s="4288"/>
    </row>
    <row r="12515" spans="15:15">
      <c r="O12515" s="4288"/>
    </row>
    <row r="12516" spans="15:15">
      <c r="O12516" s="4288"/>
    </row>
    <row r="12517" spans="15:15">
      <c r="O12517" s="4288"/>
    </row>
    <row r="12518" spans="15:15">
      <c r="O12518" s="4288"/>
    </row>
    <row r="12519" spans="15:15">
      <c r="O12519" s="4288"/>
    </row>
    <row r="12520" spans="15:15">
      <c r="O12520" s="4288"/>
    </row>
    <row r="12521" spans="15:15">
      <c r="O12521" s="4288"/>
    </row>
    <row r="12522" spans="15:15">
      <c r="O12522" s="4288"/>
    </row>
    <row r="12523" spans="15:15">
      <c r="O12523" s="4288"/>
    </row>
    <row r="12524" spans="15:15">
      <c r="O12524" s="4288"/>
    </row>
    <row r="12525" spans="15:15">
      <c r="O12525" s="4288"/>
    </row>
    <row r="12526" spans="15:15">
      <c r="O12526" s="4288"/>
    </row>
    <row r="12527" spans="15:15">
      <c r="O12527" s="4288"/>
    </row>
    <row r="12528" spans="15:15">
      <c r="O12528" s="4288"/>
    </row>
    <row r="12529" spans="15:15">
      <c r="O12529" s="4288"/>
    </row>
    <row r="12530" spans="15:15">
      <c r="O12530" s="4288"/>
    </row>
    <row r="12531" spans="15:15">
      <c r="O12531" s="4288"/>
    </row>
    <row r="12532" spans="15:15">
      <c r="O12532" s="4288"/>
    </row>
    <row r="12533" spans="15:15">
      <c r="O12533" s="4288"/>
    </row>
    <row r="12534" spans="15:15">
      <c r="O12534" s="4288"/>
    </row>
    <row r="12535" spans="15:15">
      <c r="O12535" s="4288"/>
    </row>
    <row r="12536" spans="15:15">
      <c r="O12536" s="4288"/>
    </row>
    <row r="12537" spans="15:15">
      <c r="O12537" s="4288"/>
    </row>
    <row r="12538" spans="15:15">
      <c r="O12538" s="4288"/>
    </row>
    <row r="12539" spans="15:15">
      <c r="O12539" s="4288"/>
    </row>
    <row r="12540" spans="15:15">
      <c r="O12540" s="4288"/>
    </row>
    <row r="12541" spans="15:15">
      <c r="O12541" s="4288"/>
    </row>
    <row r="12542" spans="15:15">
      <c r="O12542" s="4288"/>
    </row>
    <row r="12543" spans="15:15">
      <c r="O12543" s="4288"/>
    </row>
    <row r="12544" spans="15:15">
      <c r="O12544" s="4288"/>
    </row>
    <row r="12545" spans="15:15">
      <c r="O12545" s="4288"/>
    </row>
    <row r="12546" spans="15:15">
      <c r="O12546" s="4288"/>
    </row>
    <row r="12547" spans="15:15">
      <c r="O12547" s="4288"/>
    </row>
    <row r="12548" spans="15:15">
      <c r="O12548" s="4288"/>
    </row>
    <row r="12549" spans="15:15">
      <c r="O12549" s="4288"/>
    </row>
    <row r="12550" spans="15:15">
      <c r="O12550" s="4288"/>
    </row>
    <row r="12551" spans="15:15">
      <c r="O12551" s="4288"/>
    </row>
    <row r="12552" spans="15:15">
      <c r="O12552" s="4288"/>
    </row>
    <row r="12553" spans="15:15">
      <c r="O12553" s="4288"/>
    </row>
    <row r="12554" spans="15:15">
      <c r="O12554" s="4288"/>
    </row>
    <row r="12555" spans="15:15">
      <c r="O12555" s="4288"/>
    </row>
    <row r="12556" spans="15:15">
      <c r="O12556" s="4288"/>
    </row>
    <row r="12557" spans="15:15">
      <c r="O12557" s="4288"/>
    </row>
    <row r="12558" spans="15:15">
      <c r="O12558" s="4288"/>
    </row>
    <row r="12559" spans="15:15">
      <c r="O12559" s="4288"/>
    </row>
    <row r="12560" spans="15:15">
      <c r="O12560" s="4288"/>
    </row>
    <row r="12561" spans="15:15">
      <c r="O12561" s="4288"/>
    </row>
    <row r="12562" spans="15:15">
      <c r="O12562" s="4288"/>
    </row>
    <row r="12563" spans="15:15">
      <c r="O12563" s="4288"/>
    </row>
    <row r="12564" spans="15:15">
      <c r="O12564" s="4288"/>
    </row>
    <row r="12565" spans="15:15">
      <c r="O12565" s="4288"/>
    </row>
    <row r="12566" spans="15:15">
      <c r="O12566" s="4288"/>
    </row>
    <row r="12567" spans="15:15">
      <c r="O12567" s="4288"/>
    </row>
    <row r="12568" spans="15:15">
      <c r="O12568" s="4288"/>
    </row>
    <row r="12569" spans="15:15">
      <c r="O12569" s="4288"/>
    </row>
    <row r="12570" spans="15:15">
      <c r="O12570" s="4288"/>
    </row>
    <row r="12571" spans="15:15">
      <c r="O12571" s="4288"/>
    </row>
    <row r="12572" spans="15:15">
      <c r="O12572" s="4288"/>
    </row>
    <row r="12573" spans="15:15">
      <c r="O12573" s="4288"/>
    </row>
    <row r="12574" spans="15:15">
      <c r="O12574" s="4288"/>
    </row>
    <row r="12575" spans="15:15">
      <c r="O12575" s="4288"/>
    </row>
    <row r="12576" spans="15:15">
      <c r="O12576" s="4288"/>
    </row>
    <row r="12577" spans="15:15">
      <c r="O12577" s="4288"/>
    </row>
    <row r="12578" spans="15:15">
      <c r="O12578" s="4288"/>
    </row>
    <row r="12579" spans="15:15">
      <c r="O12579" s="4288"/>
    </row>
    <row r="12580" spans="15:15">
      <c r="O12580" s="4288"/>
    </row>
    <row r="12581" spans="15:15">
      <c r="O12581" s="4288"/>
    </row>
    <row r="12582" spans="15:15">
      <c r="O12582" s="4288"/>
    </row>
    <row r="12583" spans="15:15">
      <c r="O12583" s="4288"/>
    </row>
    <row r="12584" spans="15:15">
      <c r="O12584" s="4288"/>
    </row>
    <row r="12585" spans="15:15">
      <c r="O12585" s="4288"/>
    </row>
    <row r="12586" spans="15:15">
      <c r="O12586" s="4288"/>
    </row>
    <row r="12587" spans="15:15">
      <c r="O12587" s="4288"/>
    </row>
    <row r="12588" spans="15:15">
      <c r="O12588" s="4288"/>
    </row>
    <row r="12589" spans="15:15">
      <c r="O12589" s="4288"/>
    </row>
    <row r="12590" spans="15:15">
      <c r="O12590" s="4288"/>
    </row>
    <row r="12591" spans="15:15">
      <c r="O12591" s="4288"/>
    </row>
    <row r="12592" spans="15:15">
      <c r="O12592" s="4288"/>
    </row>
    <row r="12593" spans="15:15">
      <c r="O12593" s="4288"/>
    </row>
    <row r="12594" spans="15:15">
      <c r="O12594" s="4288"/>
    </row>
    <row r="12595" spans="15:15">
      <c r="O12595" s="4288"/>
    </row>
    <row r="12596" spans="15:15">
      <c r="O12596" s="4288"/>
    </row>
    <row r="12597" spans="15:15">
      <c r="O12597" s="4288"/>
    </row>
    <row r="12598" spans="15:15">
      <c r="O12598" s="4288"/>
    </row>
    <row r="12599" spans="15:15">
      <c r="O12599" s="4288"/>
    </row>
    <row r="12600" spans="15:15">
      <c r="O12600" s="4288"/>
    </row>
    <row r="12601" spans="15:15">
      <c r="O12601" s="4288"/>
    </row>
    <row r="12602" spans="15:15">
      <c r="O12602" s="4288"/>
    </row>
    <row r="12603" spans="15:15">
      <c r="O12603" s="4288"/>
    </row>
    <row r="12604" spans="15:15">
      <c r="O12604" s="4288"/>
    </row>
    <row r="12605" spans="15:15">
      <c r="O12605" s="4288"/>
    </row>
    <row r="12606" spans="15:15">
      <c r="O12606" s="4288"/>
    </row>
    <row r="12607" spans="15:15">
      <c r="O12607" s="4288"/>
    </row>
    <row r="12608" spans="15:15">
      <c r="O12608" s="4288"/>
    </row>
    <row r="12609" spans="15:15">
      <c r="O12609" s="4288"/>
    </row>
    <row r="12610" spans="15:15">
      <c r="O12610" s="4288"/>
    </row>
    <row r="12611" spans="15:15">
      <c r="O12611" s="4288"/>
    </row>
    <row r="12612" spans="15:15">
      <c r="O12612" s="4288"/>
    </row>
    <row r="12613" spans="15:15">
      <c r="O12613" s="4288"/>
    </row>
    <row r="12614" spans="15:15">
      <c r="O12614" s="4288"/>
    </row>
    <row r="12615" spans="15:15">
      <c r="O12615" s="4288"/>
    </row>
    <row r="12616" spans="15:15">
      <c r="O12616" s="4288"/>
    </row>
    <row r="12617" spans="15:15">
      <c r="O12617" s="4288"/>
    </row>
    <row r="12618" spans="15:15">
      <c r="O12618" s="4288"/>
    </row>
    <row r="12619" spans="15:15">
      <c r="O12619" s="4288"/>
    </row>
    <row r="12620" spans="15:15">
      <c r="O12620" s="4288"/>
    </row>
    <row r="12621" spans="15:15">
      <c r="O12621" s="4288"/>
    </row>
    <row r="12622" spans="15:15">
      <c r="O12622" s="4288"/>
    </row>
    <row r="12623" spans="15:15">
      <c r="O12623" s="4288"/>
    </row>
    <row r="12624" spans="15:15">
      <c r="O12624" s="4288"/>
    </row>
    <row r="12625" spans="15:15">
      <c r="O12625" s="4288"/>
    </row>
    <row r="12626" spans="15:15">
      <c r="O12626" s="4288"/>
    </row>
    <row r="12627" spans="15:15">
      <c r="O12627" s="4288"/>
    </row>
    <row r="12628" spans="15:15">
      <c r="O12628" s="4288"/>
    </row>
    <row r="12629" spans="15:15">
      <c r="O12629" s="4288"/>
    </row>
    <row r="12630" spans="15:15">
      <c r="O12630" s="4288"/>
    </row>
    <row r="12631" spans="15:15">
      <c r="O12631" s="4288"/>
    </row>
    <row r="12632" spans="15:15">
      <c r="O12632" s="4288"/>
    </row>
    <row r="12633" spans="15:15">
      <c r="O12633" s="4288"/>
    </row>
    <row r="12634" spans="15:15">
      <c r="O12634" s="4288"/>
    </row>
    <row r="12635" spans="15:15">
      <c r="O12635" s="4288"/>
    </row>
    <row r="12636" spans="15:15">
      <c r="O12636" s="4288"/>
    </row>
    <row r="12637" spans="15:15">
      <c r="O12637" s="4288"/>
    </row>
    <row r="12638" spans="15:15">
      <c r="O12638" s="4288"/>
    </row>
    <row r="12639" spans="15:15">
      <c r="O12639" s="4288"/>
    </row>
    <row r="12640" spans="15:15">
      <c r="O12640" s="4288"/>
    </row>
    <row r="12641" spans="15:15">
      <c r="O12641" s="4288"/>
    </row>
    <row r="12642" spans="15:15">
      <c r="O12642" s="4288"/>
    </row>
    <row r="12643" spans="15:15">
      <c r="O12643" s="4288"/>
    </row>
    <row r="12644" spans="15:15">
      <c r="O12644" s="4288"/>
    </row>
    <row r="12645" spans="15:15">
      <c r="O12645" s="4288"/>
    </row>
    <row r="12646" spans="15:15">
      <c r="O12646" s="4288"/>
    </row>
    <row r="12647" spans="15:15">
      <c r="O12647" s="4288"/>
    </row>
    <row r="12648" spans="15:15">
      <c r="O12648" s="4288"/>
    </row>
    <row r="12649" spans="15:15">
      <c r="O12649" s="4288"/>
    </row>
    <row r="12650" spans="15:15">
      <c r="O12650" s="4288"/>
    </row>
    <row r="12651" spans="15:15">
      <c r="O12651" s="4288"/>
    </row>
    <row r="12652" spans="15:15">
      <c r="O12652" s="4288"/>
    </row>
    <row r="12653" spans="15:15">
      <c r="O12653" s="4288"/>
    </row>
    <row r="12654" spans="15:15">
      <c r="O12654" s="4288"/>
    </row>
    <row r="12655" spans="15:15">
      <c r="O12655" s="4288"/>
    </row>
    <row r="12656" spans="15:15">
      <c r="O12656" s="4288"/>
    </row>
    <row r="12657" spans="15:15">
      <c r="O12657" s="4288"/>
    </row>
    <row r="12658" spans="15:15">
      <c r="O12658" s="4288"/>
    </row>
    <row r="12659" spans="15:15">
      <c r="O12659" s="4288"/>
    </row>
    <row r="12660" spans="15:15">
      <c r="O12660" s="4288"/>
    </row>
    <row r="12661" spans="15:15">
      <c r="O12661" s="4288"/>
    </row>
    <row r="12662" spans="15:15">
      <c r="O12662" s="4288"/>
    </row>
    <row r="12663" spans="15:15">
      <c r="O12663" s="4288"/>
    </row>
    <row r="12664" spans="15:15">
      <c r="O12664" s="4288"/>
    </row>
    <row r="12665" spans="15:15">
      <c r="O12665" s="4288"/>
    </row>
    <row r="12666" spans="15:15">
      <c r="O12666" s="4288"/>
    </row>
    <row r="12667" spans="15:15">
      <c r="O12667" s="4288"/>
    </row>
    <row r="12668" spans="15:15">
      <c r="O12668" s="4288"/>
    </row>
    <row r="12669" spans="15:15">
      <c r="O12669" s="4288"/>
    </row>
    <row r="12670" spans="15:15">
      <c r="O12670" s="4288"/>
    </row>
    <row r="12671" spans="15:15">
      <c r="O12671" s="4288"/>
    </row>
    <row r="12672" spans="15:15">
      <c r="O12672" s="4288"/>
    </row>
    <row r="12673" spans="15:15">
      <c r="O12673" s="4288"/>
    </row>
    <row r="12674" spans="15:15">
      <c r="O12674" s="4288"/>
    </row>
    <row r="12675" spans="15:15">
      <c r="O12675" s="4288"/>
    </row>
    <row r="12676" spans="15:15">
      <c r="O12676" s="4288"/>
    </row>
    <row r="12677" spans="15:15">
      <c r="O12677" s="4288"/>
    </row>
    <row r="12678" spans="15:15">
      <c r="O12678" s="4288"/>
    </row>
    <row r="12679" spans="15:15">
      <c r="O12679" s="4288"/>
    </row>
    <row r="12680" spans="15:15">
      <c r="O12680" s="4288"/>
    </row>
    <row r="12681" spans="15:15">
      <c r="O12681" s="4288"/>
    </row>
    <row r="12682" spans="15:15">
      <c r="O12682" s="4288"/>
    </row>
    <row r="12683" spans="15:15">
      <c r="O12683" s="4288"/>
    </row>
    <row r="12684" spans="15:15">
      <c r="O12684" s="4288"/>
    </row>
    <row r="12685" spans="15:15">
      <c r="O12685" s="4288"/>
    </row>
    <row r="12686" spans="15:15">
      <c r="O12686" s="4288"/>
    </row>
    <row r="12687" spans="15:15">
      <c r="O12687" s="4288"/>
    </row>
    <row r="12688" spans="15:15">
      <c r="O12688" s="4288"/>
    </row>
    <row r="12689" spans="15:15">
      <c r="O12689" s="4288"/>
    </row>
    <row r="12690" spans="15:15">
      <c r="O12690" s="4288"/>
    </row>
    <row r="12691" spans="15:15">
      <c r="O12691" s="4288"/>
    </row>
    <row r="12692" spans="15:15">
      <c r="O12692" s="4288"/>
    </row>
    <row r="12693" spans="15:15">
      <c r="O12693" s="4288"/>
    </row>
    <row r="12694" spans="15:15">
      <c r="O12694" s="4288"/>
    </row>
    <row r="12695" spans="15:15">
      <c r="O12695" s="4288"/>
    </row>
    <row r="12696" spans="15:15">
      <c r="O12696" s="4288"/>
    </row>
    <row r="12697" spans="15:15">
      <c r="O12697" s="4288"/>
    </row>
    <row r="12698" spans="15:15">
      <c r="O12698" s="4288"/>
    </row>
    <row r="12699" spans="15:15">
      <c r="O12699" s="4288"/>
    </row>
    <row r="12700" spans="15:15">
      <c r="O12700" s="4288"/>
    </row>
    <row r="12701" spans="15:15">
      <c r="O12701" s="4288"/>
    </row>
    <row r="12702" spans="15:15">
      <c r="O12702" s="4288"/>
    </row>
    <row r="12703" spans="15:15">
      <c r="O12703" s="4288"/>
    </row>
    <row r="12704" spans="15:15">
      <c r="O12704" s="4288"/>
    </row>
    <row r="12705" spans="15:15">
      <c r="O12705" s="4288"/>
    </row>
    <row r="12706" spans="15:15">
      <c r="O12706" s="4288"/>
    </row>
    <row r="12707" spans="15:15">
      <c r="O12707" s="4288"/>
    </row>
    <row r="12708" spans="15:15">
      <c r="O12708" s="4288"/>
    </row>
    <row r="12709" spans="15:15">
      <c r="O12709" s="4288"/>
    </row>
    <row r="12710" spans="15:15">
      <c r="O12710" s="4288"/>
    </row>
    <row r="12711" spans="15:15">
      <c r="O12711" s="4288"/>
    </row>
    <row r="12712" spans="15:15">
      <c r="O12712" s="4288"/>
    </row>
    <row r="12713" spans="15:15">
      <c r="O12713" s="4288"/>
    </row>
    <row r="12714" spans="15:15">
      <c r="O12714" s="4288"/>
    </row>
    <row r="12715" spans="15:15">
      <c r="O12715" s="4288"/>
    </row>
    <row r="12716" spans="15:15">
      <c r="O12716" s="4288"/>
    </row>
    <row r="12717" spans="15:15">
      <c r="O12717" s="4288"/>
    </row>
    <row r="12718" spans="15:15">
      <c r="O12718" s="4288"/>
    </row>
    <row r="12719" spans="15:15">
      <c r="O12719" s="4288"/>
    </row>
    <row r="12720" spans="15:15">
      <c r="O12720" s="4288"/>
    </row>
    <row r="12721" spans="15:15">
      <c r="O12721" s="4288"/>
    </row>
    <row r="12722" spans="15:15">
      <c r="O12722" s="4288"/>
    </row>
    <row r="12723" spans="15:15">
      <c r="O12723" s="4288"/>
    </row>
    <row r="12724" spans="15:15">
      <c r="O12724" s="4288"/>
    </row>
    <row r="12725" spans="15:15">
      <c r="O12725" s="4288"/>
    </row>
    <row r="12726" spans="15:15">
      <c r="O12726" s="4288"/>
    </row>
    <row r="12727" spans="15:15">
      <c r="O12727" s="4288"/>
    </row>
    <row r="12728" spans="15:15">
      <c r="O12728" s="4288"/>
    </row>
    <row r="12729" spans="15:15">
      <c r="O12729" s="4288"/>
    </row>
    <row r="12730" spans="15:15">
      <c r="O12730" s="4288"/>
    </row>
    <row r="12731" spans="15:15">
      <c r="O12731" s="4288"/>
    </row>
    <row r="12732" spans="15:15">
      <c r="O12732" s="4288"/>
    </row>
    <row r="12733" spans="15:15">
      <c r="O12733" s="4288"/>
    </row>
    <row r="12734" spans="15:15">
      <c r="O12734" s="4288"/>
    </row>
    <row r="12735" spans="15:15">
      <c r="O12735" s="4288"/>
    </row>
    <row r="12736" spans="15:15">
      <c r="O12736" s="4288"/>
    </row>
    <row r="12737" spans="15:15">
      <c r="O12737" s="4288"/>
    </row>
    <row r="12738" spans="15:15">
      <c r="O12738" s="4288"/>
    </row>
    <row r="12739" spans="15:15">
      <c r="O12739" s="4288"/>
    </row>
    <row r="12740" spans="15:15">
      <c r="O12740" s="4288"/>
    </row>
    <row r="12741" spans="15:15">
      <c r="O12741" s="4288"/>
    </row>
    <row r="12742" spans="15:15">
      <c r="O12742" s="4288"/>
    </row>
    <row r="12743" spans="15:15">
      <c r="O12743" s="4288"/>
    </row>
    <row r="12744" spans="15:15">
      <c r="O12744" s="4288"/>
    </row>
    <row r="12745" spans="15:15">
      <c r="O12745" s="4288"/>
    </row>
    <row r="12746" spans="15:15">
      <c r="O12746" s="4288"/>
    </row>
    <row r="12747" spans="15:15">
      <c r="O12747" s="4288"/>
    </row>
    <row r="12748" spans="15:15">
      <c r="O12748" s="4288"/>
    </row>
    <row r="12749" spans="15:15">
      <c r="O12749" s="4288"/>
    </row>
    <row r="12750" spans="15:15">
      <c r="O12750" s="4288"/>
    </row>
    <row r="12751" spans="15:15">
      <c r="O12751" s="4288"/>
    </row>
    <row r="12752" spans="15:15">
      <c r="O12752" s="4288"/>
    </row>
    <row r="12753" spans="15:15">
      <c r="O12753" s="4288"/>
    </row>
    <row r="12754" spans="15:15">
      <c r="O12754" s="4288"/>
    </row>
    <row r="12755" spans="15:15">
      <c r="O12755" s="4288"/>
    </row>
    <row r="12756" spans="15:15">
      <c r="O12756" s="4288"/>
    </row>
    <row r="12757" spans="15:15">
      <c r="O12757" s="4288"/>
    </row>
    <row r="12758" spans="15:15">
      <c r="O12758" s="4288"/>
    </row>
    <row r="12759" spans="15:15">
      <c r="O12759" s="4288"/>
    </row>
    <row r="12760" spans="15:15">
      <c r="O12760" s="4288"/>
    </row>
    <row r="12761" spans="15:15">
      <c r="O12761" s="4288"/>
    </row>
    <row r="12762" spans="15:15">
      <c r="O12762" s="4288"/>
    </row>
    <row r="12763" spans="15:15">
      <c r="O12763" s="4288"/>
    </row>
    <row r="12764" spans="15:15">
      <c r="O12764" s="4288"/>
    </row>
    <row r="12765" spans="15:15">
      <c r="O12765" s="4288"/>
    </row>
    <row r="12766" spans="15:15">
      <c r="O12766" s="4288"/>
    </row>
    <row r="12767" spans="15:15">
      <c r="O12767" s="4288"/>
    </row>
    <row r="12768" spans="15:15">
      <c r="O12768" s="4288"/>
    </row>
    <row r="12769" spans="15:15">
      <c r="O12769" s="4288"/>
    </row>
    <row r="12770" spans="15:15">
      <c r="O12770" s="4288"/>
    </row>
    <row r="12771" spans="15:15">
      <c r="O12771" s="4288"/>
    </row>
    <row r="12772" spans="15:15">
      <c r="O12772" s="4288"/>
    </row>
    <row r="12773" spans="15:15">
      <c r="O12773" s="4288"/>
    </row>
    <row r="12774" spans="15:15">
      <c r="O12774" s="4288"/>
    </row>
    <row r="12775" spans="15:15">
      <c r="O12775" s="4288"/>
    </row>
    <row r="12776" spans="15:15">
      <c r="O12776" s="4288"/>
    </row>
    <row r="12777" spans="15:15">
      <c r="O12777" s="4288"/>
    </row>
    <row r="12778" spans="15:15">
      <c r="O12778" s="4288"/>
    </row>
    <row r="12779" spans="15:15">
      <c r="O12779" s="4288"/>
    </row>
    <row r="12780" spans="15:15">
      <c r="O12780" s="4288"/>
    </row>
    <row r="12781" spans="15:15">
      <c r="O12781" s="4288"/>
    </row>
    <row r="12782" spans="15:15">
      <c r="O12782" s="4288"/>
    </row>
    <row r="12783" spans="15:15">
      <c r="O12783" s="4288"/>
    </row>
    <row r="12784" spans="15:15">
      <c r="O12784" s="4288"/>
    </row>
    <row r="12785" spans="15:15">
      <c r="O12785" s="4288"/>
    </row>
    <row r="12786" spans="15:15">
      <c r="O12786" s="4288"/>
    </row>
    <row r="12787" spans="15:15">
      <c r="O12787" s="4288"/>
    </row>
    <row r="12788" spans="15:15">
      <c r="O12788" s="4288"/>
    </row>
    <row r="12789" spans="15:15">
      <c r="O12789" s="4288"/>
    </row>
    <row r="12790" spans="15:15">
      <c r="O12790" s="4288"/>
    </row>
    <row r="12791" spans="15:15">
      <c r="O12791" s="4288"/>
    </row>
    <row r="12792" spans="15:15">
      <c r="O12792" s="4288"/>
    </row>
    <row r="12793" spans="15:15">
      <c r="O12793" s="4288"/>
    </row>
    <row r="12794" spans="15:15">
      <c r="O12794" s="4288"/>
    </row>
    <row r="12795" spans="15:15">
      <c r="O12795" s="4288"/>
    </row>
    <row r="12796" spans="15:15">
      <c r="O12796" s="4288"/>
    </row>
    <row r="12797" spans="15:15">
      <c r="O12797" s="4288"/>
    </row>
    <row r="12798" spans="15:15">
      <c r="O12798" s="4288"/>
    </row>
    <row r="12799" spans="15:15">
      <c r="O12799" s="4288"/>
    </row>
    <row r="12800" spans="15:15">
      <c r="O12800" s="4288"/>
    </row>
    <row r="12801" spans="15:15">
      <c r="O12801" s="4288"/>
    </row>
    <row r="12802" spans="15:15">
      <c r="O12802" s="4288"/>
    </row>
    <row r="12803" spans="15:15">
      <c r="O12803" s="4288"/>
    </row>
    <row r="12804" spans="15:15">
      <c r="O12804" s="4288"/>
    </row>
    <row r="12805" spans="15:15">
      <c r="O12805" s="4288"/>
    </row>
    <row r="12806" spans="15:15">
      <c r="O12806" s="4288"/>
    </row>
    <row r="12807" spans="15:15">
      <c r="O12807" s="4288"/>
    </row>
    <row r="12808" spans="15:15">
      <c r="O12808" s="4288"/>
    </row>
    <row r="12809" spans="15:15">
      <c r="O12809" s="4288"/>
    </row>
    <row r="12810" spans="15:15">
      <c r="O12810" s="4288"/>
    </row>
    <row r="12811" spans="15:15">
      <c r="O12811" s="4288"/>
    </row>
    <row r="12812" spans="15:15">
      <c r="O12812" s="4288"/>
    </row>
    <row r="12813" spans="15:15">
      <c r="O12813" s="4288"/>
    </row>
    <row r="12814" spans="15:15">
      <c r="O12814" s="4288"/>
    </row>
    <row r="12815" spans="15:15">
      <c r="O12815" s="4288"/>
    </row>
    <row r="12816" spans="15:15">
      <c r="O12816" s="4288"/>
    </row>
    <row r="12817" spans="15:15">
      <c r="O12817" s="4288"/>
    </row>
    <row r="12818" spans="15:15">
      <c r="O12818" s="4288"/>
    </row>
    <row r="12819" spans="15:15">
      <c r="O12819" s="4288"/>
    </row>
    <row r="12820" spans="15:15">
      <c r="O12820" s="4288"/>
    </row>
    <row r="12821" spans="15:15">
      <c r="O12821" s="4288"/>
    </row>
    <row r="12822" spans="15:15">
      <c r="O12822" s="4288"/>
    </row>
    <row r="12823" spans="15:15">
      <c r="O12823" s="4288"/>
    </row>
    <row r="12824" spans="15:15">
      <c r="O12824" s="4288"/>
    </row>
    <row r="12825" spans="15:15">
      <c r="O12825" s="4288"/>
    </row>
    <row r="12826" spans="15:15">
      <c r="O12826" s="4288"/>
    </row>
    <row r="12827" spans="15:15">
      <c r="O12827" s="4288"/>
    </row>
    <row r="12828" spans="15:15">
      <c r="O12828" s="4288"/>
    </row>
    <row r="12829" spans="15:15">
      <c r="O12829" s="4288"/>
    </row>
    <row r="12830" spans="15:15">
      <c r="O12830" s="4288"/>
    </row>
    <row r="12831" spans="15:15">
      <c r="O12831" s="4288"/>
    </row>
    <row r="12832" spans="15:15">
      <c r="O12832" s="4288"/>
    </row>
    <row r="12833" spans="15:15">
      <c r="O12833" s="4288"/>
    </row>
    <row r="12834" spans="15:15">
      <c r="O12834" s="4288"/>
    </row>
    <row r="12835" spans="15:15">
      <c r="O12835" s="4288"/>
    </row>
    <row r="12836" spans="15:15">
      <c r="O12836" s="4288"/>
    </row>
    <row r="12837" spans="15:15">
      <c r="O12837" s="4288"/>
    </row>
    <row r="12838" spans="15:15">
      <c r="O12838" s="4288"/>
    </row>
    <row r="12839" spans="15:15">
      <c r="O12839" s="4288"/>
    </row>
    <row r="12840" spans="15:15">
      <c r="O12840" s="4288"/>
    </row>
    <row r="12841" spans="15:15">
      <c r="O12841" s="4288"/>
    </row>
    <row r="12842" spans="15:15">
      <c r="O12842" s="4288"/>
    </row>
    <row r="12843" spans="15:15">
      <c r="O12843" s="4288"/>
    </row>
    <row r="12844" spans="15:15">
      <c r="O12844" s="4288"/>
    </row>
    <row r="12845" spans="15:15">
      <c r="O12845" s="4288"/>
    </row>
    <row r="12846" spans="15:15">
      <c r="O12846" s="4288"/>
    </row>
    <row r="12847" spans="15:15">
      <c r="O12847" s="4288"/>
    </row>
    <row r="12848" spans="15:15">
      <c r="O12848" s="4288"/>
    </row>
    <row r="12849" spans="15:15">
      <c r="O12849" s="4288"/>
    </row>
    <row r="12850" spans="15:15">
      <c r="O12850" s="4288"/>
    </row>
    <row r="12851" spans="15:15">
      <c r="O12851" s="4288"/>
    </row>
    <row r="12852" spans="15:15">
      <c r="O12852" s="4288"/>
    </row>
    <row r="12853" spans="15:15">
      <c r="O12853" s="4288"/>
    </row>
    <row r="12854" spans="15:15">
      <c r="O12854" s="4288"/>
    </row>
    <row r="12855" spans="15:15">
      <c r="O12855" s="4288"/>
    </row>
    <row r="12856" spans="15:15">
      <c r="O12856" s="4288"/>
    </row>
    <row r="12857" spans="15:15">
      <c r="O12857" s="4288"/>
    </row>
    <row r="12858" spans="15:15">
      <c r="O12858" s="4288"/>
    </row>
    <row r="12859" spans="15:15">
      <c r="O12859" s="4288"/>
    </row>
    <row r="12860" spans="15:15">
      <c r="O12860" s="4288"/>
    </row>
    <row r="12861" spans="15:15">
      <c r="O12861" s="4288"/>
    </row>
    <row r="12862" spans="15:15">
      <c r="O12862" s="4288"/>
    </row>
    <row r="12863" spans="15:15">
      <c r="O12863" s="4288"/>
    </row>
    <row r="12864" spans="15:15">
      <c r="O12864" s="4288"/>
    </row>
    <row r="12865" spans="15:15">
      <c r="O12865" s="4288"/>
    </row>
    <row r="12866" spans="15:15">
      <c r="O12866" s="4288"/>
    </row>
    <row r="12867" spans="15:15">
      <c r="O12867" s="4288"/>
    </row>
    <row r="12868" spans="15:15">
      <c r="O12868" s="4288"/>
    </row>
    <row r="12869" spans="15:15">
      <c r="O12869" s="4288"/>
    </row>
    <row r="12870" spans="15:15">
      <c r="O12870" s="4288"/>
    </row>
    <row r="12871" spans="15:15">
      <c r="O12871" s="4288"/>
    </row>
    <row r="12872" spans="15:15">
      <c r="O12872" s="4288"/>
    </row>
    <row r="12873" spans="15:15">
      <c r="O12873" s="4288"/>
    </row>
    <row r="12874" spans="15:15">
      <c r="O12874" s="4288"/>
    </row>
    <row r="12875" spans="15:15">
      <c r="O12875" s="4288"/>
    </row>
    <row r="12876" spans="15:15">
      <c r="O12876" s="4288"/>
    </row>
    <row r="12877" spans="15:15">
      <c r="O12877" s="4288"/>
    </row>
    <row r="12878" spans="15:15">
      <c r="O12878" s="4288"/>
    </row>
    <row r="12879" spans="15:15">
      <c r="O12879" s="4288"/>
    </row>
    <row r="12880" spans="15:15">
      <c r="O12880" s="4288"/>
    </row>
    <row r="12881" spans="15:15">
      <c r="O12881" s="4288"/>
    </row>
    <row r="12882" spans="15:15">
      <c r="O12882" s="4288"/>
    </row>
    <row r="12883" spans="15:15">
      <c r="O12883" s="4288"/>
    </row>
    <row r="12884" spans="15:15">
      <c r="O12884" s="4288"/>
    </row>
    <row r="12885" spans="15:15">
      <c r="O12885" s="4288"/>
    </row>
    <row r="12886" spans="15:15">
      <c r="O12886" s="4288"/>
    </row>
    <row r="12887" spans="15:15">
      <c r="O12887" s="4288"/>
    </row>
    <row r="12888" spans="15:15">
      <c r="O12888" s="4288"/>
    </row>
    <row r="12889" spans="15:15">
      <c r="O12889" s="4288"/>
    </row>
    <row r="12890" spans="15:15">
      <c r="O12890" s="4288"/>
    </row>
    <row r="12891" spans="15:15">
      <c r="O12891" s="4288"/>
    </row>
    <row r="12892" spans="15:15">
      <c r="O12892" s="4288"/>
    </row>
    <row r="12893" spans="15:15">
      <c r="O12893" s="4288"/>
    </row>
    <row r="12894" spans="15:15">
      <c r="O12894" s="4288"/>
    </row>
    <row r="12895" spans="15:15">
      <c r="O12895" s="4288"/>
    </row>
    <row r="12896" spans="15:15">
      <c r="O12896" s="4288"/>
    </row>
    <row r="12897" spans="15:15">
      <c r="O12897" s="4288"/>
    </row>
    <row r="12898" spans="15:15">
      <c r="O12898" s="4288"/>
    </row>
    <row r="12899" spans="15:15">
      <c r="O12899" s="4288"/>
    </row>
    <row r="12900" spans="15:15">
      <c r="O12900" s="4288"/>
    </row>
    <row r="12901" spans="15:15">
      <c r="O12901" s="4288"/>
    </row>
    <row r="12902" spans="15:15">
      <c r="O12902" s="4288"/>
    </row>
    <row r="12903" spans="15:15">
      <c r="O12903" s="4288"/>
    </row>
    <row r="12904" spans="15:15">
      <c r="O12904" s="4288"/>
    </row>
    <row r="12905" spans="15:15">
      <c r="O12905" s="4288"/>
    </row>
    <row r="12906" spans="15:15">
      <c r="O12906" s="4288"/>
    </row>
    <row r="12907" spans="15:15">
      <c r="O12907" s="4288"/>
    </row>
    <row r="12908" spans="15:15">
      <c r="O12908" s="4288"/>
    </row>
    <row r="12909" spans="15:15">
      <c r="O12909" s="4288"/>
    </row>
    <row r="12910" spans="15:15">
      <c r="O12910" s="4288"/>
    </row>
    <row r="12911" spans="15:15">
      <c r="O12911" s="4288"/>
    </row>
    <row r="12912" spans="15:15">
      <c r="O12912" s="4288"/>
    </row>
    <row r="12913" spans="15:15">
      <c r="O12913" s="4288"/>
    </row>
    <row r="12914" spans="15:15">
      <c r="O12914" s="4288"/>
    </row>
    <row r="12915" spans="15:15">
      <c r="O12915" s="4288"/>
    </row>
    <row r="12916" spans="15:15">
      <c r="O12916" s="4288"/>
    </row>
    <row r="12917" spans="15:15">
      <c r="O12917" s="4288"/>
    </row>
    <row r="12918" spans="15:15">
      <c r="O12918" s="4288"/>
    </row>
    <row r="12919" spans="15:15">
      <c r="O12919" s="4288"/>
    </row>
    <row r="12920" spans="15:15">
      <c r="O12920" s="4288"/>
    </row>
    <row r="12921" spans="15:15">
      <c r="O12921" s="4288"/>
    </row>
    <row r="12922" spans="15:15">
      <c r="O12922" s="4288"/>
    </row>
    <row r="12923" spans="15:15">
      <c r="O12923" s="4288"/>
    </row>
    <row r="12924" spans="15:15">
      <c r="O12924" s="4288"/>
    </row>
    <row r="12925" spans="15:15">
      <c r="O12925" s="4288"/>
    </row>
    <row r="12926" spans="15:15">
      <c r="O12926" s="4288"/>
    </row>
    <row r="12927" spans="15:15">
      <c r="O12927" s="4288"/>
    </row>
    <row r="12928" spans="15:15">
      <c r="O12928" s="4288"/>
    </row>
    <row r="12929" spans="15:15">
      <c r="O12929" s="4288"/>
    </row>
    <row r="12930" spans="15:15">
      <c r="O12930" s="4288"/>
    </row>
    <row r="12931" spans="15:15">
      <c r="O12931" s="4288"/>
    </row>
    <row r="12932" spans="15:15">
      <c r="O12932" s="4288"/>
    </row>
    <row r="12933" spans="15:15">
      <c r="O12933" s="4288"/>
    </row>
    <row r="12934" spans="15:15">
      <c r="O12934" s="4288"/>
    </row>
    <row r="12935" spans="15:15">
      <c r="O12935" s="4288"/>
    </row>
    <row r="12936" spans="15:15">
      <c r="O12936" s="4288"/>
    </row>
    <row r="12937" spans="15:15">
      <c r="O12937" s="4288"/>
    </row>
    <row r="12938" spans="15:15">
      <c r="O12938" s="4288"/>
    </row>
    <row r="12939" spans="15:15">
      <c r="O12939" s="4288"/>
    </row>
    <row r="12940" spans="15:15">
      <c r="O12940" s="4288"/>
    </row>
    <row r="12941" spans="15:15">
      <c r="O12941" s="4288"/>
    </row>
    <row r="12942" spans="15:15">
      <c r="O12942" s="4288"/>
    </row>
    <row r="12943" spans="15:15">
      <c r="O12943" s="4288"/>
    </row>
    <row r="12944" spans="15:15">
      <c r="O12944" s="4288"/>
    </row>
    <row r="12945" spans="15:15">
      <c r="O12945" s="4288"/>
    </row>
    <row r="12946" spans="15:15">
      <c r="O12946" s="4288"/>
    </row>
    <row r="12947" spans="15:15">
      <c r="O12947" s="4288"/>
    </row>
    <row r="12948" spans="15:15">
      <c r="O12948" s="4288"/>
    </row>
    <row r="12949" spans="15:15">
      <c r="O12949" s="4288"/>
    </row>
    <row r="12950" spans="15:15">
      <c r="O12950" s="4288"/>
    </row>
    <row r="12951" spans="15:15">
      <c r="O12951" s="4288"/>
    </row>
    <row r="12952" spans="15:15">
      <c r="O12952" s="4288"/>
    </row>
    <row r="12953" spans="15:15">
      <c r="O12953" s="4288"/>
    </row>
    <row r="12954" spans="15:15">
      <c r="O12954" s="4288"/>
    </row>
    <row r="12955" spans="15:15">
      <c r="O12955" s="4288"/>
    </row>
    <row r="12956" spans="15:15">
      <c r="O12956" s="4288"/>
    </row>
    <row r="12957" spans="15:15">
      <c r="O12957" s="4288"/>
    </row>
    <row r="12958" spans="15:15">
      <c r="O12958" s="4288"/>
    </row>
    <row r="12959" spans="15:15">
      <c r="O12959" s="4288"/>
    </row>
    <row r="12960" spans="15:15">
      <c r="O12960" s="4288"/>
    </row>
    <row r="12961" spans="15:15">
      <c r="O12961" s="4288"/>
    </row>
    <row r="12962" spans="15:15">
      <c r="O12962" s="4288"/>
    </row>
    <row r="12963" spans="15:15">
      <c r="O12963" s="4288"/>
    </row>
    <row r="12964" spans="15:15">
      <c r="O12964" s="4288"/>
    </row>
    <row r="12965" spans="15:15">
      <c r="O12965" s="4288"/>
    </row>
    <row r="12966" spans="15:15">
      <c r="O12966" s="4288"/>
    </row>
    <row r="12967" spans="15:15">
      <c r="O12967" s="4288"/>
    </row>
    <row r="12968" spans="15:15">
      <c r="O12968" s="4288"/>
    </row>
    <row r="12969" spans="15:15">
      <c r="O12969" s="4288"/>
    </row>
    <row r="12970" spans="15:15">
      <c r="O12970" s="4288"/>
    </row>
    <row r="12971" spans="15:15">
      <c r="O12971" s="4288"/>
    </row>
    <row r="12972" spans="15:15">
      <c r="O12972" s="4288"/>
    </row>
    <row r="12973" spans="15:15">
      <c r="O12973" s="4288"/>
    </row>
    <row r="12974" spans="15:15">
      <c r="O12974" s="4288"/>
    </row>
    <row r="12975" spans="15:15">
      <c r="O12975" s="4288"/>
    </row>
    <row r="12976" spans="15:15">
      <c r="O12976" s="4288"/>
    </row>
    <row r="12977" spans="15:15">
      <c r="O12977" s="4288"/>
    </row>
    <row r="12978" spans="15:15">
      <c r="O12978" s="4288"/>
    </row>
    <row r="12979" spans="15:15">
      <c r="O12979" s="4288"/>
    </row>
    <row r="12980" spans="15:15">
      <c r="O12980" s="4288"/>
    </row>
    <row r="12981" spans="15:15">
      <c r="O12981" s="4288"/>
    </row>
    <row r="12982" spans="15:15">
      <c r="O12982" s="4288"/>
    </row>
    <row r="12983" spans="15:15">
      <c r="O12983" s="4288"/>
    </row>
    <row r="12984" spans="15:15">
      <c r="O12984" s="4288"/>
    </row>
    <row r="12985" spans="15:15">
      <c r="O12985" s="4288"/>
    </row>
    <row r="12986" spans="15:15">
      <c r="O12986" s="4288"/>
    </row>
    <row r="12987" spans="15:15">
      <c r="O12987" s="4288"/>
    </row>
    <row r="12988" spans="15:15">
      <c r="O12988" s="4288"/>
    </row>
    <row r="12989" spans="15:15">
      <c r="O12989" s="4288"/>
    </row>
    <row r="12990" spans="15:15">
      <c r="O12990" s="4288"/>
    </row>
    <row r="12991" spans="15:15">
      <c r="O12991" s="4288"/>
    </row>
    <row r="12992" spans="15:15">
      <c r="O12992" s="4288"/>
    </row>
    <row r="12993" spans="15:15">
      <c r="O12993" s="4288"/>
    </row>
    <row r="12994" spans="15:15">
      <c r="O12994" s="4288"/>
    </row>
    <row r="12995" spans="15:15">
      <c r="O12995" s="4288"/>
    </row>
    <row r="12996" spans="15:15">
      <c r="O12996" s="4288"/>
    </row>
    <row r="12997" spans="15:15">
      <c r="O12997" s="4288"/>
    </row>
    <row r="12998" spans="15:15">
      <c r="O12998" s="4288"/>
    </row>
    <row r="12999" spans="15:15">
      <c r="O12999" s="4288"/>
    </row>
    <row r="13000" spans="15:15">
      <c r="O13000" s="4288"/>
    </row>
    <row r="13001" spans="15:15">
      <c r="O13001" s="4288"/>
    </row>
    <row r="13002" spans="15:15">
      <c r="O13002" s="4288"/>
    </row>
    <row r="13003" spans="15:15">
      <c r="O13003" s="4288"/>
    </row>
    <row r="13004" spans="15:15">
      <c r="O13004" s="4288"/>
    </row>
    <row r="13005" spans="15:15">
      <c r="O13005" s="4288"/>
    </row>
    <row r="13006" spans="15:15">
      <c r="O13006" s="4288"/>
    </row>
    <row r="13007" spans="15:15">
      <c r="O13007" s="4288"/>
    </row>
    <row r="13008" spans="15:15">
      <c r="O13008" s="4288"/>
    </row>
    <row r="13009" spans="15:15">
      <c r="O13009" s="4288"/>
    </row>
    <row r="13010" spans="15:15">
      <c r="O13010" s="4288"/>
    </row>
    <row r="13011" spans="15:15">
      <c r="O13011" s="4288"/>
    </row>
    <row r="13012" spans="15:15">
      <c r="O13012" s="4288"/>
    </row>
    <row r="13013" spans="15:15">
      <c r="O13013" s="4288"/>
    </row>
    <row r="13014" spans="15:15">
      <c r="O13014" s="4288"/>
    </row>
    <row r="13015" spans="15:15">
      <c r="O13015" s="4288"/>
    </row>
    <row r="13016" spans="15:15">
      <c r="O13016" s="4288"/>
    </row>
    <row r="13017" spans="15:15">
      <c r="O13017" s="4288"/>
    </row>
    <row r="13018" spans="15:15">
      <c r="O13018" s="4288"/>
    </row>
    <row r="13019" spans="15:15">
      <c r="O13019" s="4288"/>
    </row>
    <row r="13020" spans="15:15">
      <c r="O13020" s="4288"/>
    </row>
    <row r="13021" spans="15:15">
      <c r="O13021" s="4288"/>
    </row>
    <row r="13022" spans="15:15">
      <c r="O13022" s="4288"/>
    </row>
    <row r="13023" spans="15:15">
      <c r="O13023" s="4288"/>
    </row>
    <row r="13024" spans="15:15">
      <c r="O13024" s="4288"/>
    </row>
    <row r="13025" spans="15:15">
      <c r="O13025" s="4288"/>
    </row>
    <row r="13026" spans="15:15">
      <c r="O13026" s="4288"/>
    </row>
    <row r="13027" spans="15:15">
      <c r="O13027" s="4288"/>
    </row>
    <row r="13028" spans="15:15">
      <c r="O13028" s="4288"/>
    </row>
    <row r="13029" spans="15:15">
      <c r="O13029" s="4288"/>
    </row>
    <row r="13030" spans="15:15">
      <c r="O13030" s="4288"/>
    </row>
    <row r="13031" spans="15:15">
      <c r="O13031" s="4288"/>
    </row>
    <row r="13032" spans="15:15">
      <c r="O13032" s="4288"/>
    </row>
    <row r="13033" spans="15:15">
      <c r="O13033" s="4288"/>
    </row>
    <row r="13034" spans="15:15">
      <c r="O13034" s="4288"/>
    </row>
    <row r="13035" spans="15:15">
      <c r="O13035" s="4288"/>
    </row>
    <row r="13036" spans="15:15">
      <c r="O13036" s="4288"/>
    </row>
    <row r="13037" spans="15:15">
      <c r="O13037" s="4288"/>
    </row>
    <row r="13038" spans="15:15">
      <c r="O13038" s="4288"/>
    </row>
    <row r="13039" spans="15:15">
      <c r="O13039" s="4288"/>
    </row>
    <row r="13040" spans="15:15">
      <c r="O13040" s="4288"/>
    </row>
    <row r="13041" spans="15:15">
      <c r="O13041" s="4288"/>
    </row>
    <row r="13042" spans="15:15">
      <c r="O13042" s="4288"/>
    </row>
    <row r="13043" spans="15:15">
      <c r="O13043" s="4288"/>
    </row>
    <row r="13044" spans="15:15">
      <c r="O13044" s="4288"/>
    </row>
    <row r="13045" spans="15:15">
      <c r="O13045" s="4288"/>
    </row>
    <row r="13046" spans="15:15">
      <c r="O13046" s="4288"/>
    </row>
    <row r="13047" spans="15:15">
      <c r="O13047" s="4288"/>
    </row>
    <row r="13048" spans="15:15">
      <c r="O13048" s="4288"/>
    </row>
    <row r="13049" spans="15:15">
      <c r="O13049" s="4288"/>
    </row>
    <row r="13050" spans="15:15">
      <c r="O13050" s="4288"/>
    </row>
    <row r="13051" spans="15:15">
      <c r="O13051" s="4288"/>
    </row>
    <row r="13052" spans="15:15">
      <c r="O13052" s="4288"/>
    </row>
    <row r="13053" spans="15:15">
      <c r="O13053" s="4288"/>
    </row>
    <row r="13054" spans="15:15">
      <c r="O13054" s="4288"/>
    </row>
    <row r="13055" spans="15:15">
      <c r="O13055" s="4288"/>
    </row>
    <row r="13056" spans="15:15">
      <c r="O13056" s="4288"/>
    </row>
    <row r="13057" spans="15:15">
      <c r="O13057" s="4288"/>
    </row>
    <row r="13058" spans="15:15">
      <c r="O13058" s="4288"/>
    </row>
    <row r="13059" spans="15:15">
      <c r="O13059" s="4288"/>
    </row>
    <row r="13060" spans="15:15">
      <c r="O13060" s="4288"/>
    </row>
    <row r="13061" spans="15:15">
      <c r="O13061" s="4288"/>
    </row>
    <row r="13062" spans="15:15">
      <c r="O13062" s="4288"/>
    </row>
    <row r="13063" spans="15:15">
      <c r="O13063" s="4288"/>
    </row>
    <row r="13064" spans="15:15">
      <c r="O13064" s="4288"/>
    </row>
    <row r="13065" spans="15:15">
      <c r="O13065" s="4288"/>
    </row>
    <row r="13066" spans="15:15">
      <c r="O13066" s="4288"/>
    </row>
    <row r="13067" spans="15:15">
      <c r="O13067" s="4288"/>
    </row>
    <row r="13068" spans="15:15">
      <c r="O13068" s="4288"/>
    </row>
    <row r="13069" spans="15:15">
      <c r="O13069" s="4288"/>
    </row>
    <row r="13070" spans="15:15">
      <c r="O13070" s="4288"/>
    </row>
    <row r="13071" spans="15:15">
      <c r="O13071" s="4288"/>
    </row>
    <row r="13072" spans="15:15">
      <c r="O13072" s="4288"/>
    </row>
    <row r="13073" spans="15:15">
      <c r="O13073" s="4288"/>
    </row>
    <row r="13074" spans="15:15">
      <c r="O13074" s="4288"/>
    </row>
    <row r="13075" spans="15:15">
      <c r="O13075" s="4288"/>
    </row>
    <row r="13076" spans="15:15">
      <c r="O13076" s="4288"/>
    </row>
    <row r="13077" spans="15:15">
      <c r="O13077" s="4288"/>
    </row>
    <row r="13078" spans="15:15">
      <c r="O13078" s="4288"/>
    </row>
    <row r="13079" spans="15:15">
      <c r="O13079" s="4288"/>
    </row>
    <row r="13080" spans="15:15">
      <c r="O13080" s="4288"/>
    </row>
    <row r="13081" spans="15:15">
      <c r="O13081" s="4288"/>
    </row>
    <row r="13082" spans="15:15">
      <c r="O13082" s="4288"/>
    </row>
    <row r="13083" spans="15:15">
      <c r="O13083" s="4288"/>
    </row>
    <row r="13084" spans="15:15">
      <c r="O13084" s="4288"/>
    </row>
    <row r="13085" spans="15:15">
      <c r="O13085" s="4288"/>
    </row>
    <row r="13086" spans="15:15">
      <c r="O13086" s="4288"/>
    </row>
    <row r="13087" spans="15:15">
      <c r="O13087" s="4288"/>
    </row>
    <row r="13088" spans="15:15">
      <c r="O13088" s="4288"/>
    </row>
    <row r="13089" spans="15:15">
      <c r="O13089" s="4288"/>
    </row>
    <row r="13090" spans="15:15">
      <c r="O13090" s="4288"/>
    </row>
    <row r="13091" spans="15:15">
      <c r="O13091" s="4288"/>
    </row>
    <row r="13092" spans="15:15">
      <c r="O13092" s="4288"/>
    </row>
    <row r="13093" spans="15:15">
      <c r="O13093" s="4288"/>
    </row>
    <row r="13094" spans="15:15">
      <c r="O13094" s="4288"/>
    </row>
    <row r="13095" spans="15:15">
      <c r="O13095" s="4288"/>
    </row>
    <row r="13096" spans="15:15">
      <c r="O13096" s="4288"/>
    </row>
    <row r="13097" spans="15:15">
      <c r="O13097" s="4288"/>
    </row>
    <row r="13098" spans="15:15">
      <c r="O13098" s="4288"/>
    </row>
    <row r="13099" spans="15:15">
      <c r="O13099" s="4288"/>
    </row>
    <row r="13100" spans="15:15">
      <c r="O13100" s="4288"/>
    </row>
    <row r="13101" spans="15:15">
      <c r="O13101" s="4288"/>
    </row>
    <row r="13102" spans="15:15">
      <c r="O13102" s="4288"/>
    </row>
    <row r="13103" spans="15:15">
      <c r="O13103" s="4288"/>
    </row>
    <row r="13104" spans="15:15">
      <c r="O13104" s="4288"/>
    </row>
    <row r="13105" spans="15:15">
      <c r="O13105" s="4288"/>
    </row>
    <row r="13106" spans="15:15">
      <c r="O13106" s="4288"/>
    </row>
    <row r="13107" spans="15:15">
      <c r="O13107" s="4288"/>
    </row>
    <row r="13108" spans="15:15">
      <c r="O13108" s="4288"/>
    </row>
    <row r="13109" spans="15:15">
      <c r="O13109" s="4288"/>
    </row>
    <row r="13110" spans="15:15">
      <c r="O13110" s="4288"/>
    </row>
    <row r="13111" spans="15:15">
      <c r="O13111" s="4288"/>
    </row>
    <row r="13112" spans="15:15">
      <c r="O13112" s="4288"/>
    </row>
    <row r="13113" spans="15:15">
      <c r="O13113" s="4288"/>
    </row>
    <row r="13114" spans="15:15">
      <c r="O13114" s="4288"/>
    </row>
    <row r="13115" spans="15:15">
      <c r="O13115" s="4288"/>
    </row>
    <row r="13116" spans="15:15">
      <c r="O13116" s="4288"/>
    </row>
    <row r="13117" spans="15:15">
      <c r="O13117" s="4288"/>
    </row>
    <row r="13118" spans="15:15">
      <c r="O13118" s="4288"/>
    </row>
    <row r="13119" spans="15:15">
      <c r="O13119" s="4288"/>
    </row>
    <row r="13120" spans="15:15">
      <c r="O13120" s="4288"/>
    </row>
    <row r="13121" spans="15:15">
      <c r="O13121" s="4288"/>
    </row>
    <row r="13122" spans="15:15">
      <c r="O13122" s="4288"/>
    </row>
    <row r="13123" spans="15:15">
      <c r="O13123" s="4288"/>
    </row>
    <row r="13124" spans="15:15">
      <c r="O13124" s="4288"/>
    </row>
    <row r="13125" spans="15:15">
      <c r="O13125" s="4288"/>
    </row>
    <row r="13126" spans="15:15">
      <c r="O13126" s="4288"/>
    </row>
    <row r="13127" spans="15:15">
      <c r="O13127" s="4288"/>
    </row>
    <row r="13128" spans="15:15">
      <c r="O13128" s="4288"/>
    </row>
    <row r="13129" spans="15:15">
      <c r="O13129" s="4288"/>
    </row>
    <row r="13130" spans="15:15">
      <c r="O13130" s="4288"/>
    </row>
    <row r="13131" spans="15:15">
      <c r="O13131" s="4288"/>
    </row>
    <row r="13132" spans="15:15">
      <c r="O13132" s="4288"/>
    </row>
    <row r="13133" spans="15:15">
      <c r="O13133" s="4288"/>
    </row>
    <row r="13134" spans="15:15">
      <c r="O13134" s="4288"/>
    </row>
    <row r="13135" spans="15:15">
      <c r="O13135" s="4288"/>
    </row>
    <row r="13136" spans="15:15">
      <c r="O13136" s="4288"/>
    </row>
    <row r="13137" spans="15:15">
      <c r="O13137" s="4288"/>
    </row>
    <row r="13138" spans="15:15">
      <c r="O13138" s="4288"/>
    </row>
    <row r="13139" spans="15:15">
      <c r="O13139" s="4288"/>
    </row>
    <row r="13140" spans="15:15">
      <c r="O13140" s="4288"/>
    </row>
    <row r="13141" spans="15:15">
      <c r="O13141" s="4288"/>
    </row>
    <row r="13142" spans="15:15">
      <c r="O13142" s="4288"/>
    </row>
    <row r="13143" spans="15:15">
      <c r="O13143" s="4288"/>
    </row>
    <row r="13144" spans="15:15">
      <c r="O13144" s="4288"/>
    </row>
    <row r="13145" spans="15:15">
      <c r="O13145" s="4288"/>
    </row>
    <row r="13146" spans="15:15">
      <c r="O13146" s="4288"/>
    </row>
    <row r="13147" spans="15:15">
      <c r="O13147" s="4288"/>
    </row>
    <row r="13148" spans="15:15">
      <c r="O13148" s="4288"/>
    </row>
    <row r="13149" spans="15:15">
      <c r="O13149" s="4288"/>
    </row>
    <row r="13150" spans="15:15">
      <c r="O13150" s="4288"/>
    </row>
    <row r="13151" spans="15:15">
      <c r="O13151" s="4288"/>
    </row>
    <row r="13152" spans="15:15">
      <c r="O13152" s="4288"/>
    </row>
    <row r="13153" spans="15:15">
      <c r="O13153" s="4288"/>
    </row>
    <row r="13154" spans="15:15">
      <c r="O13154" s="4288"/>
    </row>
    <row r="13155" spans="15:15">
      <c r="O13155" s="4288"/>
    </row>
    <row r="13156" spans="15:15">
      <c r="O13156" s="4288"/>
    </row>
    <row r="13157" spans="15:15">
      <c r="O13157" s="4288"/>
    </row>
    <row r="13158" spans="15:15">
      <c r="O13158" s="4288"/>
    </row>
    <row r="13159" spans="15:15">
      <c r="O13159" s="4288"/>
    </row>
    <row r="13160" spans="15:15">
      <c r="O13160" s="4288"/>
    </row>
    <row r="13161" spans="15:15">
      <c r="O13161" s="4288"/>
    </row>
    <row r="13162" spans="15:15">
      <c r="O13162" s="4288"/>
    </row>
    <row r="13163" spans="15:15">
      <c r="O13163" s="4288"/>
    </row>
    <row r="13164" spans="15:15">
      <c r="O13164" s="4288"/>
    </row>
    <row r="13165" spans="15:15">
      <c r="O13165" s="4288"/>
    </row>
    <row r="13166" spans="15:15">
      <c r="O13166" s="4288"/>
    </row>
    <row r="13167" spans="15:15">
      <c r="O13167" s="4288"/>
    </row>
    <row r="13168" spans="15:15">
      <c r="O13168" s="4288"/>
    </row>
    <row r="13169" spans="15:15">
      <c r="O13169" s="4288"/>
    </row>
    <row r="13170" spans="15:15">
      <c r="O13170" s="4288"/>
    </row>
    <row r="13171" spans="15:15">
      <c r="O13171" s="4288"/>
    </row>
    <row r="13172" spans="15:15">
      <c r="O13172" s="4288"/>
    </row>
    <row r="13173" spans="15:15">
      <c r="O13173" s="4288"/>
    </row>
    <row r="13174" spans="15:15">
      <c r="O13174" s="4288"/>
    </row>
    <row r="13175" spans="15:15">
      <c r="O13175" s="4288"/>
    </row>
    <row r="13176" spans="15:15">
      <c r="O13176" s="4288"/>
    </row>
    <row r="13177" spans="15:15">
      <c r="O13177" s="4288"/>
    </row>
    <row r="13178" spans="15:15">
      <c r="O13178" s="4288"/>
    </row>
    <row r="13179" spans="15:15">
      <c r="O13179" s="4288"/>
    </row>
    <row r="13180" spans="15:15">
      <c r="O13180" s="4288"/>
    </row>
    <row r="13181" spans="15:15">
      <c r="O13181" s="4288"/>
    </row>
    <row r="13182" spans="15:15">
      <c r="O13182" s="4288"/>
    </row>
    <row r="13183" spans="15:15">
      <c r="O13183" s="4288"/>
    </row>
    <row r="13184" spans="15:15">
      <c r="O13184" s="4288"/>
    </row>
    <row r="13185" spans="15:15">
      <c r="O13185" s="4288"/>
    </row>
    <row r="13186" spans="15:15">
      <c r="O13186" s="4288"/>
    </row>
    <row r="13187" spans="15:15">
      <c r="O13187" s="4288"/>
    </row>
    <row r="13188" spans="15:15">
      <c r="O13188" s="4288"/>
    </row>
    <row r="13189" spans="15:15">
      <c r="O13189" s="4288"/>
    </row>
    <row r="13190" spans="15:15">
      <c r="O13190" s="4288"/>
    </row>
    <row r="13191" spans="15:15">
      <c r="O13191" s="4288"/>
    </row>
    <row r="13192" spans="15:15">
      <c r="O13192" s="4288"/>
    </row>
    <row r="13193" spans="15:15">
      <c r="O13193" s="4288"/>
    </row>
    <row r="13194" spans="15:15">
      <c r="O13194" s="4288"/>
    </row>
    <row r="13195" spans="15:15">
      <c r="O13195" s="4288"/>
    </row>
    <row r="13196" spans="15:15">
      <c r="O13196" s="4288"/>
    </row>
    <row r="13197" spans="15:15">
      <c r="O13197" s="4288"/>
    </row>
    <row r="13198" spans="15:15">
      <c r="O13198" s="4288"/>
    </row>
    <row r="13199" spans="15:15">
      <c r="O13199" s="4288"/>
    </row>
    <row r="13200" spans="15:15">
      <c r="O13200" s="4288"/>
    </row>
    <row r="13201" spans="15:15">
      <c r="O13201" s="4288"/>
    </row>
    <row r="13202" spans="15:15">
      <c r="O13202" s="4288"/>
    </row>
    <row r="13203" spans="15:15">
      <c r="O13203" s="4288"/>
    </row>
    <row r="13204" spans="15:15">
      <c r="O13204" s="4288"/>
    </row>
    <row r="13205" spans="15:15">
      <c r="O13205" s="4288"/>
    </row>
    <row r="13206" spans="15:15">
      <c r="O13206" s="4288"/>
    </row>
    <row r="13207" spans="15:15">
      <c r="O13207" s="4288"/>
    </row>
    <row r="13208" spans="15:15">
      <c r="O13208" s="4288"/>
    </row>
    <row r="13209" spans="15:15">
      <c r="O13209" s="4288"/>
    </row>
    <row r="13210" spans="15:15">
      <c r="O13210" s="4288"/>
    </row>
    <row r="13211" spans="15:15">
      <c r="O13211" s="4288"/>
    </row>
    <row r="13212" spans="15:15">
      <c r="O13212" s="4288"/>
    </row>
    <row r="13213" spans="15:15">
      <c r="O13213" s="4288"/>
    </row>
    <row r="13214" spans="15:15">
      <c r="O13214" s="4288"/>
    </row>
    <row r="13215" spans="15:15">
      <c r="O13215" s="4288"/>
    </row>
    <row r="13216" spans="15:15">
      <c r="O13216" s="4288"/>
    </row>
    <row r="13217" spans="15:15">
      <c r="O13217" s="4288"/>
    </row>
    <row r="13218" spans="15:15">
      <c r="O13218" s="4288"/>
    </row>
    <row r="13219" spans="15:15">
      <c r="O13219" s="4288"/>
    </row>
    <row r="13220" spans="15:15">
      <c r="O13220" s="4288"/>
    </row>
    <row r="13221" spans="15:15">
      <c r="O13221" s="4288"/>
    </row>
    <row r="13222" spans="15:15">
      <c r="O13222" s="4288"/>
    </row>
    <row r="13223" spans="15:15">
      <c r="O13223" s="4288"/>
    </row>
    <row r="13224" spans="15:15">
      <c r="O13224" s="4288"/>
    </row>
    <row r="13225" spans="15:15">
      <c r="O13225" s="4288"/>
    </row>
    <row r="13226" spans="15:15">
      <c r="O13226" s="4288"/>
    </row>
    <row r="13227" spans="15:15">
      <c r="O13227" s="4288"/>
    </row>
    <row r="13228" spans="15:15">
      <c r="O13228" s="4288"/>
    </row>
    <row r="13229" spans="15:15">
      <c r="O13229" s="4288"/>
    </row>
    <row r="13230" spans="15:15">
      <c r="O13230" s="4288"/>
    </row>
    <row r="13231" spans="15:15">
      <c r="O13231" s="4288"/>
    </row>
    <row r="13232" spans="15:15">
      <c r="O13232" s="4288"/>
    </row>
    <row r="13233" spans="15:15">
      <c r="O13233" s="4288"/>
    </row>
    <row r="13234" spans="15:15">
      <c r="O13234" s="4288"/>
    </row>
    <row r="13235" spans="15:15">
      <c r="O13235" s="4288"/>
    </row>
    <row r="13236" spans="15:15">
      <c r="O13236" s="4288"/>
    </row>
    <row r="13237" spans="15:15">
      <c r="O13237" s="4288"/>
    </row>
    <row r="13238" spans="15:15">
      <c r="O13238" s="4288"/>
    </row>
    <row r="13239" spans="15:15">
      <c r="O13239" s="4288"/>
    </row>
    <row r="13240" spans="15:15">
      <c r="O13240" s="4288"/>
    </row>
    <row r="13241" spans="15:15">
      <c r="O13241" s="4288"/>
    </row>
    <row r="13242" spans="15:15">
      <c r="O13242" s="4288"/>
    </row>
    <row r="13243" spans="15:15">
      <c r="O13243" s="4288"/>
    </row>
    <row r="13244" spans="15:15">
      <c r="O13244" s="4288"/>
    </row>
    <row r="13245" spans="15:15">
      <c r="O13245" s="4288"/>
    </row>
    <row r="13246" spans="15:15">
      <c r="O13246" s="4288"/>
    </row>
    <row r="13247" spans="15:15">
      <c r="O13247" s="4288"/>
    </row>
    <row r="13248" spans="15:15">
      <c r="O13248" s="4288"/>
    </row>
    <row r="13249" spans="15:15">
      <c r="O13249" s="4288"/>
    </row>
    <row r="13250" spans="15:15">
      <c r="O13250" s="4288"/>
    </row>
    <row r="13251" spans="15:15">
      <c r="O13251" s="4288"/>
    </row>
    <row r="13252" spans="15:15">
      <c r="O13252" s="4288"/>
    </row>
    <row r="13253" spans="15:15">
      <c r="O13253" s="4288"/>
    </row>
    <row r="13254" spans="15:15">
      <c r="O13254" s="4288"/>
    </row>
    <row r="13255" spans="15:15">
      <c r="O13255" s="4288"/>
    </row>
    <row r="13256" spans="15:15">
      <c r="O13256" s="4288"/>
    </row>
    <row r="13257" spans="15:15">
      <c r="O13257" s="4288"/>
    </row>
    <row r="13258" spans="15:15">
      <c r="O13258" s="4288"/>
    </row>
    <row r="13259" spans="15:15">
      <c r="O13259" s="4288"/>
    </row>
    <row r="13260" spans="15:15">
      <c r="O13260" s="4288"/>
    </row>
    <row r="13261" spans="15:15">
      <c r="O13261" s="4288"/>
    </row>
    <row r="13262" spans="15:15">
      <c r="O13262" s="4288"/>
    </row>
    <row r="13263" spans="15:15">
      <c r="O13263" s="4288"/>
    </row>
    <row r="13264" spans="15:15">
      <c r="O13264" s="4288"/>
    </row>
    <row r="13265" spans="15:15">
      <c r="O13265" s="4288"/>
    </row>
    <row r="13266" spans="15:15">
      <c r="O13266" s="4288"/>
    </row>
    <row r="13267" spans="15:15">
      <c r="O13267" s="4288"/>
    </row>
    <row r="13268" spans="15:15">
      <c r="O13268" s="4288"/>
    </row>
    <row r="13269" spans="15:15">
      <c r="O13269" s="4288"/>
    </row>
    <row r="13270" spans="15:15">
      <c r="O13270" s="4288"/>
    </row>
    <row r="13271" spans="15:15">
      <c r="O13271" s="4288"/>
    </row>
    <row r="13272" spans="15:15">
      <c r="O13272" s="4288"/>
    </row>
    <row r="13273" spans="15:15">
      <c r="O13273" s="4288"/>
    </row>
    <row r="13274" spans="15:15">
      <c r="O13274" s="4288"/>
    </row>
    <row r="13275" spans="15:15">
      <c r="O13275" s="4288"/>
    </row>
    <row r="13276" spans="15:15">
      <c r="O13276" s="4288"/>
    </row>
    <row r="13277" spans="15:15">
      <c r="O13277" s="4288"/>
    </row>
    <row r="13278" spans="15:15">
      <c r="O13278" s="4288"/>
    </row>
    <row r="13279" spans="15:15">
      <c r="O13279" s="4288"/>
    </row>
    <row r="13280" spans="15:15">
      <c r="O13280" s="4288"/>
    </row>
    <row r="13281" spans="15:15">
      <c r="O13281" s="4288"/>
    </row>
    <row r="13282" spans="15:15">
      <c r="O13282" s="4288"/>
    </row>
    <row r="13283" spans="15:15">
      <c r="O13283" s="4288"/>
    </row>
    <row r="13284" spans="15:15">
      <c r="O13284" s="4288"/>
    </row>
    <row r="13285" spans="15:15">
      <c r="O13285" s="4288"/>
    </row>
    <row r="13286" spans="15:15">
      <c r="O13286" s="4288"/>
    </row>
    <row r="13287" spans="15:15">
      <c r="O13287" s="4288"/>
    </row>
    <row r="13288" spans="15:15">
      <c r="O13288" s="4288"/>
    </row>
    <row r="13289" spans="15:15">
      <c r="O13289" s="4288"/>
    </row>
    <row r="13290" spans="15:15">
      <c r="O13290" s="4288"/>
    </row>
    <row r="13291" spans="15:15">
      <c r="O13291" s="4288"/>
    </row>
    <row r="13292" spans="15:15">
      <c r="O13292" s="4288"/>
    </row>
    <row r="13293" spans="15:15">
      <c r="O13293" s="4288"/>
    </row>
    <row r="13294" spans="15:15">
      <c r="O13294" s="4288"/>
    </row>
    <row r="13295" spans="15:15">
      <c r="O13295" s="4288"/>
    </row>
    <row r="13296" spans="15:15">
      <c r="O13296" s="4288"/>
    </row>
    <row r="13297" spans="15:15">
      <c r="O13297" s="4288"/>
    </row>
    <row r="13298" spans="15:15">
      <c r="O13298" s="4288"/>
    </row>
    <row r="13299" spans="15:15">
      <c r="O13299" s="4288"/>
    </row>
    <row r="13300" spans="15:15">
      <c r="O13300" s="4288"/>
    </row>
    <row r="13301" spans="15:15">
      <c r="O13301" s="4288"/>
    </row>
    <row r="13302" spans="15:15">
      <c r="O13302" s="4288"/>
    </row>
    <row r="13303" spans="15:15">
      <c r="O13303" s="4288"/>
    </row>
    <row r="13304" spans="15:15">
      <c r="O13304" s="4288"/>
    </row>
    <row r="13305" spans="15:15">
      <c r="O13305" s="4288"/>
    </row>
    <row r="13306" spans="15:15">
      <c r="O13306" s="4288"/>
    </row>
    <row r="13307" spans="15:15">
      <c r="O13307" s="4288"/>
    </row>
    <row r="13308" spans="15:15">
      <c r="O13308" s="4288"/>
    </row>
    <row r="13309" spans="15:15">
      <c r="O13309" s="4288"/>
    </row>
    <row r="13310" spans="15:15">
      <c r="O13310" s="4288"/>
    </row>
    <row r="13311" spans="15:15">
      <c r="O13311" s="4288"/>
    </row>
    <row r="13312" spans="15:15">
      <c r="O13312" s="4288"/>
    </row>
    <row r="13313" spans="15:15">
      <c r="O13313" s="4288"/>
    </row>
    <row r="13314" spans="15:15">
      <c r="O13314" s="4288"/>
    </row>
    <row r="13315" spans="15:15">
      <c r="O13315" s="4288"/>
    </row>
    <row r="13316" spans="15:15">
      <c r="O13316" s="4288"/>
    </row>
    <row r="13317" spans="15:15">
      <c r="O13317" s="4288"/>
    </row>
    <row r="13318" spans="15:15">
      <c r="O13318" s="4288"/>
    </row>
    <row r="13319" spans="15:15">
      <c r="O13319" s="4288"/>
    </row>
    <row r="13320" spans="15:15">
      <c r="O13320" s="4288"/>
    </row>
    <row r="13321" spans="15:15">
      <c r="O13321" s="4288"/>
    </row>
    <row r="13322" spans="15:15">
      <c r="O13322" s="4288"/>
    </row>
    <row r="13323" spans="15:15">
      <c r="O13323" s="4288"/>
    </row>
    <row r="13324" spans="15:15">
      <c r="O13324" s="4288"/>
    </row>
    <row r="13325" spans="15:15">
      <c r="O13325" s="4288"/>
    </row>
    <row r="13326" spans="15:15">
      <c r="O13326" s="4288"/>
    </row>
    <row r="13327" spans="15:15">
      <c r="O13327" s="4288"/>
    </row>
    <row r="13328" spans="15:15">
      <c r="O13328" s="4288"/>
    </row>
  </sheetData>
  <mergeCells count="5">
    <mergeCell ref="A1:G1"/>
    <mergeCell ref="H1:J1"/>
    <mergeCell ref="L1:M1"/>
    <mergeCell ref="N1:P1"/>
    <mergeCell ref="F51:F52"/>
  </mergeCells>
  <phoneticPr fontId="134" type="noConversion"/>
  <dataValidations count="7">
    <dataValidation type="list" allowBlank="1" showInputMessage="1" showErrorMessage="1" sqref="F1:F1048576" xr:uid="{BE165915-7A51-4CC1-813A-C22C82A63AAA}">
      <formula1>"办公"</formula1>
    </dataValidation>
    <dataValidation type="list" allowBlank="1" showInputMessage="1" showErrorMessage="1" sqref="E18:E19" xr:uid="{936D4565-9C28-4F7B-8741-1430DEF8C311}">
      <formula1>"生物医疗"</formula1>
    </dataValidation>
    <dataValidation type="list" allowBlank="1" showInputMessage="1" showErrorMessage="1" sqref="E36" xr:uid="{82F7F499-761D-42DC-B3D7-47028EE90822}">
      <formula1>"#REF!,金融业"</formula1>
    </dataValidation>
    <dataValidation type="list" allowBlank="1" showInputMessage="1" showErrorMessage="1" sqref="E28 E30 E32 E14:E15" xr:uid="{EF9449B5-803B-4589-B847-601C33C623EB}">
      <formula1>$F$1:$F$3</formula1>
    </dataValidation>
    <dataValidation type="list" allowBlank="1" showInputMessage="1" showErrorMessage="1" sqref="E22" xr:uid="{D2403D0A-0316-4EA7-BC8D-913AF123D65C}">
      <formula1>"设备工程（智能环保/电网）"</formula1>
    </dataValidation>
    <dataValidation type="list" allowBlank="1" showInputMessage="1" showErrorMessage="1" sqref="E20 E27 E29 E31 E4:E10 E12:E13 E16:E17 E23:E25 E33:E35 E37:E41" xr:uid="{F1B407A5-6165-4B6C-BB5F-8D3C9D135A86}">
      <formula1>#REF!</formula1>
    </dataValidation>
    <dataValidation type="list" allowBlank="1" showInputMessage="1" showErrorMessage="1" sqref="E11" xr:uid="{8F234B05-2495-4C9A-91C2-22F88B249D09}">
      <formula1>"能源行业"</formula1>
    </dataValidation>
  </dataValidations>
  <pageMargins left="0.7" right="0.7" top="0.75" bottom="0.75" header="0.3" footer="0.3"/>
  <pageSetup paperSize="9"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8A89-F7AC-4D67-89DD-96B1F0928687}">
  <dimension ref="A1:U28"/>
  <sheetViews>
    <sheetView topLeftCell="E13" zoomScaleNormal="100" workbookViewId="0">
      <selection activeCell="N13" sqref="N13"/>
    </sheetView>
  </sheetViews>
  <sheetFormatPr defaultColWidth="8.77734375" defaultRowHeight="13.2"/>
  <cols>
    <col min="1" max="1" width="14.77734375" style="4258" customWidth="1"/>
    <col min="2" max="2" width="6.77734375" style="4258" customWidth="1"/>
    <col min="3" max="3" width="26" style="4258" customWidth="1"/>
    <col min="4" max="4" width="36.88671875" style="4258" customWidth="1"/>
    <col min="5" max="5" width="19" style="4258" customWidth="1"/>
    <col min="6" max="6" width="10.33203125" style="4258" customWidth="1"/>
    <col min="7" max="7" width="13.21875" style="4258" customWidth="1"/>
    <col min="8" max="9" width="12.33203125" style="4258" customWidth="1"/>
    <col min="10" max="10" width="7" style="4258" customWidth="1"/>
    <col min="11" max="11" width="20.109375" style="4258" customWidth="1"/>
    <col min="12" max="12" width="9.44140625" style="4260" customWidth="1"/>
    <col min="13" max="13" width="10.33203125" style="4258" customWidth="1"/>
    <col min="14" max="14" width="13.21875" style="4258" customWidth="1"/>
    <col min="15" max="15" width="7.21875" style="4258" customWidth="1"/>
    <col min="16" max="16" width="15" style="4260" customWidth="1"/>
    <col min="17" max="17" width="13.21875" style="4258" customWidth="1"/>
    <col min="18" max="18" width="9.44140625" style="4258" bestFit="1" customWidth="1"/>
    <col min="19" max="19" width="14" style="4258" customWidth="1"/>
    <col min="20" max="16384" width="8.77734375" style="4217"/>
  </cols>
  <sheetData>
    <row r="1" spans="1:21" ht="23.1" customHeight="1">
      <c r="A1" s="4657" t="s">
        <v>4024</v>
      </c>
      <c r="B1" s="4658"/>
      <c r="C1" s="4658"/>
      <c r="D1" s="4658"/>
      <c r="E1" s="4658"/>
      <c r="F1" s="4658"/>
      <c r="G1" s="4658"/>
      <c r="H1" s="4658" t="s">
        <v>4025</v>
      </c>
      <c r="I1" s="4658"/>
      <c r="J1" s="4658"/>
      <c r="K1" s="4289" t="s">
        <v>4026</v>
      </c>
      <c r="L1" s="4659" t="s">
        <v>4027</v>
      </c>
      <c r="M1" s="4658"/>
      <c r="N1" s="4658" t="s">
        <v>4028</v>
      </c>
      <c r="O1" s="4658"/>
      <c r="P1" s="4659"/>
      <c r="Q1" s="4658"/>
      <c r="R1" s="4658"/>
      <c r="S1" s="4658"/>
    </row>
    <row r="2" spans="1:21" ht="18.600000000000001" customHeight="1">
      <c r="A2" s="4290" t="s">
        <v>4029</v>
      </c>
      <c r="B2" s="4291" t="s">
        <v>4030</v>
      </c>
      <c r="C2" s="4291" t="s">
        <v>4031</v>
      </c>
      <c r="D2" s="4291" t="s">
        <v>4032</v>
      </c>
      <c r="E2" s="4291" t="s">
        <v>4033</v>
      </c>
      <c r="F2" s="4291" t="s">
        <v>4034</v>
      </c>
      <c r="G2" s="4291" t="s">
        <v>4035</v>
      </c>
      <c r="H2" s="4291" t="s">
        <v>4036</v>
      </c>
      <c r="I2" s="4291" t="s">
        <v>4037</v>
      </c>
      <c r="J2" s="4291" t="s">
        <v>4038</v>
      </c>
      <c r="K2" s="4291" t="s">
        <v>4039</v>
      </c>
      <c r="L2" s="4292" t="s">
        <v>4039</v>
      </c>
      <c r="M2" s="4291" t="s">
        <v>4040</v>
      </c>
      <c r="N2" s="4291" t="s">
        <v>4041</v>
      </c>
      <c r="O2" s="4291" t="s">
        <v>4042</v>
      </c>
      <c r="P2" s="4292" t="s">
        <v>4043</v>
      </c>
      <c r="Q2" s="4291" t="s">
        <v>4136</v>
      </c>
      <c r="R2" s="4291" t="s">
        <v>4042</v>
      </c>
      <c r="S2" s="4291" t="s">
        <v>4043</v>
      </c>
    </row>
    <row r="3" spans="1:21" ht="18.600000000000001" customHeight="1">
      <c r="A3" s="4293" t="s">
        <v>4044</v>
      </c>
      <c r="B3" s="4294" t="s">
        <v>4045</v>
      </c>
      <c r="C3" s="4295" t="s">
        <v>4045</v>
      </c>
      <c r="D3" s="4294" t="s">
        <v>4045</v>
      </c>
      <c r="E3" s="4294" t="s">
        <v>4045</v>
      </c>
      <c r="F3" s="4294" t="s">
        <v>4045</v>
      </c>
      <c r="G3" s="4294" t="s">
        <v>4045</v>
      </c>
      <c r="H3" s="4296"/>
      <c r="I3" s="4297" t="s">
        <v>4045</v>
      </c>
      <c r="J3" s="4294" t="s">
        <v>4045</v>
      </c>
      <c r="K3" s="4294" t="s">
        <v>4045</v>
      </c>
      <c r="L3" s="4298" t="s">
        <v>4045</v>
      </c>
      <c r="M3" s="4294" t="s">
        <v>4045</v>
      </c>
      <c r="N3" s="4297" t="s">
        <v>4045</v>
      </c>
      <c r="O3" s="4294" t="s">
        <v>4045</v>
      </c>
      <c r="P3" s="4298" t="s">
        <v>4045</v>
      </c>
      <c r="Q3" s="4297" t="s">
        <v>4045</v>
      </c>
      <c r="R3" s="4294" t="s">
        <v>4045</v>
      </c>
      <c r="S3" s="4294" t="s">
        <v>4045</v>
      </c>
    </row>
    <row r="4" spans="1:21" ht="18.600000000000001" customHeight="1">
      <c r="A4" s="4299">
        <v>1</v>
      </c>
      <c r="B4" s="4300">
        <v>31</v>
      </c>
      <c r="C4" s="4301">
        <v>101</v>
      </c>
      <c r="D4" s="4300" t="s">
        <v>4137</v>
      </c>
      <c r="E4" s="4300" t="s">
        <v>4055</v>
      </c>
      <c r="F4" s="4300" t="s">
        <v>660</v>
      </c>
      <c r="G4" s="4302">
        <v>186</v>
      </c>
      <c r="H4" s="4303">
        <v>42156</v>
      </c>
      <c r="I4" s="4303">
        <v>47634</v>
      </c>
      <c r="J4" s="4300">
        <f t="shared" ref="J4" si="0">I4-H4+1</f>
        <v>5479</v>
      </c>
      <c r="K4" s="4304">
        <f>S4+M4*12/365</f>
        <v>7.7794520547945201</v>
      </c>
      <c r="L4" s="4305">
        <v>4.5</v>
      </c>
      <c r="M4" s="4300">
        <v>45</v>
      </c>
      <c r="N4" s="4303">
        <v>44348</v>
      </c>
      <c r="O4" s="4306">
        <f t="shared" ref="O4:O13" si="1">(P4-L4)/L4</f>
        <v>0.1111111111111111</v>
      </c>
      <c r="P4" s="4305">
        <v>5</v>
      </c>
      <c r="Q4" s="4303">
        <v>45809</v>
      </c>
      <c r="R4" s="4306">
        <f t="shared" ref="R4:R12" si="2">(S4-P4)/P4</f>
        <v>0.25999999999999995</v>
      </c>
      <c r="S4" s="4305">
        <v>6.3</v>
      </c>
      <c r="T4" s="4217">
        <f>K4*G4*365</f>
        <v>528147</v>
      </c>
      <c r="U4" s="4217">
        <f>S4*G4</f>
        <v>1171.8</v>
      </c>
    </row>
    <row r="5" spans="1:21" ht="18.600000000000001" customHeight="1">
      <c r="A5" s="4299">
        <v>2</v>
      </c>
      <c r="B5" s="4300">
        <v>31</v>
      </c>
      <c r="C5" s="4301" t="s">
        <v>4138</v>
      </c>
      <c r="D5" s="4300" t="s">
        <v>4063</v>
      </c>
      <c r="E5" s="4300"/>
      <c r="F5" s="4300"/>
      <c r="G5" s="4302">
        <f>1189-156</f>
        <v>1033</v>
      </c>
      <c r="H5" s="4303"/>
      <c r="I5" s="4303"/>
      <c r="J5" s="4300"/>
      <c r="K5" s="4304"/>
      <c r="L5" s="4305"/>
      <c r="M5" s="4300"/>
      <c r="N5" s="4303"/>
      <c r="O5" s="4300"/>
      <c r="P5" s="4305"/>
      <c r="Q5" s="4303"/>
      <c r="R5" s="4300"/>
      <c r="S5" s="4300"/>
      <c r="T5" s="4217">
        <f t="shared" ref="T5:T14" si="3">K5*G5*365</f>
        <v>0</v>
      </c>
      <c r="U5" s="4217">
        <f t="shared" ref="U5:U14" si="4">S5*G5</f>
        <v>0</v>
      </c>
    </row>
    <row r="6" spans="1:21" ht="51.6" customHeight="1">
      <c r="A6" s="4299">
        <v>3</v>
      </c>
      <c r="B6" s="4300">
        <v>31</v>
      </c>
      <c r="C6" s="4301" t="s">
        <v>4139</v>
      </c>
      <c r="D6" s="4300" t="s">
        <v>4140</v>
      </c>
      <c r="E6" s="4300" t="s">
        <v>4057</v>
      </c>
      <c r="F6" s="4300" t="s">
        <v>660</v>
      </c>
      <c r="G6" s="4302">
        <v>2890.89</v>
      </c>
      <c r="H6" s="4303">
        <v>45245</v>
      </c>
      <c r="I6" s="4303">
        <v>46340</v>
      </c>
      <c r="J6" s="4300">
        <f t="shared" ref="J6:J14" si="5">I6-H6+1</f>
        <v>1096</v>
      </c>
      <c r="K6" s="4304">
        <f>5.3+M6*12/365</f>
        <v>6.7794520547945201</v>
      </c>
      <c r="L6" s="4305">
        <v>5.3</v>
      </c>
      <c r="M6" s="4300">
        <v>45</v>
      </c>
      <c r="N6" s="4303"/>
      <c r="O6" s="4300"/>
      <c r="P6" s="4305"/>
      <c r="Q6" s="4303"/>
      <c r="R6" s="4300"/>
      <c r="S6" s="4300">
        <f>L6</f>
        <v>5.3</v>
      </c>
      <c r="T6" s="4217">
        <f t="shared" si="3"/>
        <v>7153507.3049999997</v>
      </c>
      <c r="U6" s="4217">
        <f t="shared" si="4"/>
        <v>15321.716999999999</v>
      </c>
    </row>
    <row r="7" spans="1:21" s="4227" customFormat="1" ht="51.6" customHeight="1">
      <c r="A7" s="4307">
        <v>4</v>
      </c>
      <c r="B7" s="4308">
        <v>31</v>
      </c>
      <c r="C7" s="4309" t="s">
        <v>4141</v>
      </c>
      <c r="D7" s="4308" t="s">
        <v>4142</v>
      </c>
      <c r="E7" s="4308" t="s">
        <v>4057</v>
      </c>
      <c r="F7" s="4308" t="s">
        <v>660</v>
      </c>
      <c r="G7" s="4256">
        <v>3221.49</v>
      </c>
      <c r="H7" s="4310">
        <v>46027</v>
      </c>
      <c r="I7" s="4310">
        <v>50409</v>
      </c>
      <c r="J7" s="4308">
        <f t="shared" si="5"/>
        <v>4383</v>
      </c>
      <c r="K7" s="4311">
        <f>L7+M7*12/365</f>
        <v>4.9794520547945202</v>
      </c>
      <c r="L7" s="4312">
        <v>3.5</v>
      </c>
      <c r="M7" s="4308">
        <v>45</v>
      </c>
      <c r="N7" s="4310">
        <v>47488</v>
      </c>
      <c r="O7" s="4313">
        <v>0.05</v>
      </c>
      <c r="P7" s="4312">
        <f>L7*1.05</f>
        <v>3.6750000000000003</v>
      </c>
      <c r="Q7" s="4310">
        <v>48949</v>
      </c>
      <c r="R7" s="4313">
        <v>0.05</v>
      </c>
      <c r="S7" s="4314">
        <v>3.86</v>
      </c>
      <c r="T7" s="4217">
        <f t="shared" si="3"/>
        <v>5855058.0749999993</v>
      </c>
      <c r="U7" s="4217">
        <f t="shared" si="4"/>
        <v>12434.951399999998</v>
      </c>
    </row>
    <row r="8" spans="1:21" s="4227" customFormat="1" ht="51.6" customHeight="1">
      <c r="A8" s="4307">
        <v>5</v>
      </c>
      <c r="B8" s="4308">
        <v>31</v>
      </c>
      <c r="C8" s="4309" t="s">
        <v>4143</v>
      </c>
      <c r="D8" s="4308" t="s">
        <v>4142</v>
      </c>
      <c r="E8" s="4308" t="s">
        <v>4057</v>
      </c>
      <c r="F8" s="4308" t="s">
        <v>660</v>
      </c>
      <c r="G8" s="4256">
        <v>156</v>
      </c>
      <c r="H8" s="4310">
        <v>46027</v>
      </c>
      <c r="I8" s="4310">
        <v>50409</v>
      </c>
      <c r="J8" s="4308">
        <f t="shared" si="5"/>
        <v>4383</v>
      </c>
      <c r="K8" s="4311">
        <f>L8+M8*12/365</f>
        <v>3.7794520547945201</v>
      </c>
      <c r="L8" s="4312">
        <v>2.2999999999999998</v>
      </c>
      <c r="M8" s="4308">
        <v>45</v>
      </c>
      <c r="N8" s="4310">
        <v>47488</v>
      </c>
      <c r="O8" s="4313">
        <v>0.05</v>
      </c>
      <c r="P8" s="4312">
        <f>L8*1.05</f>
        <v>2.415</v>
      </c>
      <c r="Q8" s="4310">
        <v>48949</v>
      </c>
      <c r="R8" s="4313">
        <v>0.05</v>
      </c>
      <c r="S8" s="4314">
        <f>P8*1.05</f>
        <v>2.5357500000000002</v>
      </c>
      <c r="T8" s="4217">
        <f t="shared" si="3"/>
        <v>215201.99999999994</v>
      </c>
      <c r="U8" s="4217">
        <f t="shared" si="4"/>
        <v>395.577</v>
      </c>
    </row>
    <row r="9" spans="1:21" ht="18.600000000000001" customHeight="1">
      <c r="A9" s="4299">
        <v>6</v>
      </c>
      <c r="B9" s="4300">
        <v>31</v>
      </c>
      <c r="C9" s="4301" t="s">
        <v>4144</v>
      </c>
      <c r="D9" s="4300" t="s">
        <v>4145</v>
      </c>
      <c r="E9" s="4300" t="s">
        <v>4055</v>
      </c>
      <c r="F9" s="4300" t="s">
        <v>660</v>
      </c>
      <c r="G9" s="4302">
        <v>1401.33</v>
      </c>
      <c r="H9" s="4303">
        <v>45102</v>
      </c>
      <c r="I9" s="4303">
        <v>47293</v>
      </c>
      <c r="J9" s="4300">
        <f t="shared" si="5"/>
        <v>2192</v>
      </c>
      <c r="K9" s="4304">
        <f>0.61+M9*12/365</f>
        <v>1.5963013698630135</v>
      </c>
      <c r="L9" s="4305">
        <v>0.61</v>
      </c>
      <c r="M9" s="4300">
        <v>30</v>
      </c>
      <c r="N9" s="4303">
        <v>46198</v>
      </c>
      <c r="O9" s="4306">
        <f t="shared" si="1"/>
        <v>9.8360655737705013E-2</v>
      </c>
      <c r="P9" s="4305">
        <v>0.67</v>
      </c>
      <c r="Q9" s="4303"/>
      <c r="R9" s="4306"/>
      <c r="S9" s="4305">
        <f>L9</f>
        <v>0.61</v>
      </c>
      <c r="T9" s="4217">
        <f t="shared" si="3"/>
        <v>816484.92449999985</v>
      </c>
      <c r="U9" s="4217">
        <f t="shared" si="4"/>
        <v>854.81129999999996</v>
      </c>
    </row>
    <row r="10" spans="1:21" ht="36" customHeight="1">
      <c r="A10" s="4299">
        <v>7</v>
      </c>
      <c r="B10" s="4300">
        <v>31</v>
      </c>
      <c r="C10" s="4301" t="s">
        <v>4146</v>
      </c>
      <c r="D10" s="4300" t="s">
        <v>4147</v>
      </c>
      <c r="E10" s="4300" t="s">
        <v>4057</v>
      </c>
      <c r="F10" s="4300" t="s">
        <v>660</v>
      </c>
      <c r="G10" s="4302">
        <v>2505.85</v>
      </c>
      <c r="H10" s="4303">
        <v>45792</v>
      </c>
      <c r="I10" s="4303">
        <v>48713</v>
      </c>
      <c r="J10" s="4300">
        <f t="shared" si="5"/>
        <v>2922</v>
      </c>
      <c r="K10" s="4304">
        <f>3.5+M10*12/365</f>
        <v>4.9794520547945202</v>
      </c>
      <c r="L10" s="4305">
        <v>3.5</v>
      </c>
      <c r="M10" s="4300">
        <v>45</v>
      </c>
      <c r="N10" s="4303">
        <v>46888</v>
      </c>
      <c r="O10" s="4306">
        <f t="shared" si="1"/>
        <v>5.1428571428571476E-2</v>
      </c>
      <c r="P10" s="4305">
        <v>3.68</v>
      </c>
      <c r="Q10" s="4303">
        <v>47983</v>
      </c>
      <c r="R10" s="4306">
        <f t="shared" si="2"/>
        <v>4.8913043478260788E-2</v>
      </c>
      <c r="S10" s="4305">
        <v>3.86</v>
      </c>
      <c r="T10" s="4217">
        <f t="shared" si="3"/>
        <v>4554382.3749999991</v>
      </c>
      <c r="U10" s="4217">
        <f t="shared" si="4"/>
        <v>9672.5810000000001</v>
      </c>
    </row>
    <row r="11" spans="1:21" s="4316" customFormat="1" ht="18.600000000000001" customHeight="1">
      <c r="A11" s="4299">
        <v>8</v>
      </c>
      <c r="B11" s="4300">
        <v>31</v>
      </c>
      <c r="C11" s="4301" t="s">
        <v>4148</v>
      </c>
      <c r="D11" s="4300" t="s">
        <v>4147</v>
      </c>
      <c r="E11" s="4300" t="s">
        <v>4057</v>
      </c>
      <c r="F11" s="4300" t="s">
        <v>660</v>
      </c>
      <c r="G11" s="4302">
        <v>378.26</v>
      </c>
      <c r="H11" s="4303">
        <v>45976</v>
      </c>
      <c r="I11" s="4303">
        <v>48713</v>
      </c>
      <c r="J11" s="4300">
        <f t="shared" si="5"/>
        <v>2738</v>
      </c>
      <c r="K11" s="4304">
        <f>2.91+M11*12/365</f>
        <v>4.3894520547945204</v>
      </c>
      <c r="L11" s="4315">
        <v>2.91</v>
      </c>
      <c r="M11" s="4300">
        <v>45</v>
      </c>
      <c r="N11" s="4303">
        <v>46888</v>
      </c>
      <c r="O11" s="4306">
        <f>(P11-L11)/L11</f>
        <v>4.8109965635738716E-2</v>
      </c>
      <c r="P11" s="4315">
        <v>3.05</v>
      </c>
      <c r="Q11" s="4303">
        <v>47983</v>
      </c>
      <c r="R11" s="4306">
        <f t="shared" si="2"/>
        <v>4.9180327868852576E-2</v>
      </c>
      <c r="S11" s="4315">
        <v>3.2</v>
      </c>
      <c r="T11" s="4217">
        <f t="shared" si="3"/>
        <v>606029.25899999996</v>
      </c>
      <c r="U11" s="4217">
        <f t="shared" si="4"/>
        <v>1210.432</v>
      </c>
    </row>
    <row r="12" spans="1:21" s="4316" customFormat="1" ht="18.600000000000001" customHeight="1">
      <c r="A12" s="4299">
        <v>9</v>
      </c>
      <c r="B12" s="4300">
        <v>31</v>
      </c>
      <c r="C12" s="4301" t="s">
        <v>4148</v>
      </c>
      <c r="D12" s="4300" t="s">
        <v>4147</v>
      </c>
      <c r="E12" s="4300" t="s">
        <v>4057</v>
      </c>
      <c r="F12" s="4300" t="s">
        <v>660</v>
      </c>
      <c r="G12" s="4302">
        <v>427.84</v>
      </c>
      <c r="H12" s="4303">
        <v>45976</v>
      </c>
      <c r="I12" s="4303">
        <v>48713</v>
      </c>
      <c r="J12" s="4300">
        <f t="shared" si="5"/>
        <v>2738</v>
      </c>
      <c r="K12" s="4304">
        <f>2.91+M12*12/365</f>
        <v>4.3894520547945204</v>
      </c>
      <c r="L12" s="4315">
        <v>2.91</v>
      </c>
      <c r="M12" s="4300">
        <v>45</v>
      </c>
      <c r="N12" s="4303">
        <v>46888</v>
      </c>
      <c r="O12" s="4306">
        <f t="shared" si="1"/>
        <v>4.8109965635738716E-2</v>
      </c>
      <c r="P12" s="4315">
        <v>3.05</v>
      </c>
      <c r="Q12" s="4303">
        <v>47983</v>
      </c>
      <c r="R12" s="4306">
        <f t="shared" si="2"/>
        <v>4.9180327868852576E-2</v>
      </c>
      <c r="S12" s="4315">
        <v>3.2</v>
      </c>
      <c r="T12" s="4217">
        <f t="shared" si="3"/>
        <v>685463.85599999991</v>
      </c>
      <c r="U12" s="4217">
        <f t="shared" si="4"/>
        <v>1369.088</v>
      </c>
    </row>
    <row r="13" spans="1:21" ht="36" customHeight="1">
      <c r="A13" s="4299">
        <v>10</v>
      </c>
      <c r="B13" s="4300">
        <v>31</v>
      </c>
      <c r="C13" s="4301" t="s">
        <v>4149</v>
      </c>
      <c r="D13" s="4300" t="s">
        <v>4150</v>
      </c>
      <c r="E13" s="4300" t="s">
        <v>4055</v>
      </c>
      <c r="F13" s="4300" t="s">
        <v>660</v>
      </c>
      <c r="G13" s="4302">
        <v>128.26</v>
      </c>
      <c r="H13" s="4303">
        <v>44802</v>
      </c>
      <c r="I13" s="4303">
        <v>46993</v>
      </c>
      <c r="J13" s="4300">
        <f t="shared" si="5"/>
        <v>2192</v>
      </c>
      <c r="K13" s="4304">
        <f>6.91+M13*12/365</f>
        <v>8.3894520547945213</v>
      </c>
      <c r="L13" s="4305">
        <v>6.91</v>
      </c>
      <c r="M13" s="4300">
        <v>45</v>
      </c>
      <c r="N13" s="4303">
        <v>46263</v>
      </c>
      <c r="O13" s="4306">
        <f t="shared" si="1"/>
        <v>5.9334298118668617E-2</v>
      </c>
      <c r="P13" s="4305">
        <v>7.32</v>
      </c>
      <c r="Q13" s="4275"/>
      <c r="R13" s="4306"/>
      <c r="S13" s="4305">
        <f>L13</f>
        <v>6.91</v>
      </c>
      <c r="T13" s="4217">
        <f t="shared" si="3"/>
        <v>392751.359</v>
      </c>
      <c r="U13" s="4217">
        <f t="shared" si="4"/>
        <v>886.27659999999992</v>
      </c>
    </row>
    <row r="14" spans="1:21" ht="18.600000000000001" customHeight="1">
      <c r="A14" s="4299">
        <v>11</v>
      </c>
      <c r="B14" s="4300">
        <v>31</v>
      </c>
      <c r="C14" s="4301" t="s">
        <v>4151</v>
      </c>
      <c r="D14" s="4300" t="s">
        <v>4152</v>
      </c>
      <c r="E14" s="4300" t="s">
        <v>4055</v>
      </c>
      <c r="F14" s="4300" t="s">
        <v>660</v>
      </c>
      <c r="G14" s="4302">
        <v>430</v>
      </c>
      <c r="H14" s="4303">
        <v>44348</v>
      </c>
      <c r="I14" s="4303">
        <v>46173</v>
      </c>
      <c r="J14" s="4300">
        <f t="shared" si="5"/>
        <v>1826</v>
      </c>
      <c r="K14" s="4304">
        <f>+L14+M14*12/365</f>
        <v>3.9994520547945207</v>
      </c>
      <c r="L14" s="4312">
        <f>4-1.48</f>
        <v>2.52</v>
      </c>
      <c r="M14" s="4300">
        <v>45</v>
      </c>
      <c r="N14" s="4275"/>
      <c r="O14" s="4306"/>
      <c r="P14" s="4305"/>
      <c r="Q14" s="4303"/>
      <c r="R14" s="4306"/>
      <c r="S14" s="4305">
        <f>L14</f>
        <v>2.52</v>
      </c>
      <c r="T14" s="4217">
        <f t="shared" si="3"/>
        <v>627714</v>
      </c>
      <c r="U14" s="4217">
        <f t="shared" si="4"/>
        <v>1083.5999999999999</v>
      </c>
    </row>
    <row r="15" spans="1:21" ht="18.600000000000001" customHeight="1">
      <c r="A15" s="4299"/>
      <c r="B15" s="4300"/>
      <c r="C15" s="4300"/>
      <c r="D15" s="4300"/>
      <c r="E15" s="4300"/>
      <c r="F15" s="4300"/>
      <c r="G15" s="4302">
        <f>SUM(G4:G14)-G5</f>
        <v>11725.92</v>
      </c>
      <c r="H15" s="4303"/>
      <c r="I15" s="4303"/>
      <c r="J15" s="4300"/>
      <c r="K15" s="4302"/>
      <c r="L15" s="4305"/>
      <c r="M15" s="4300"/>
      <c r="N15" s="4303"/>
      <c r="O15" s="4306"/>
      <c r="P15" s="4305"/>
      <c r="Q15" s="4303"/>
      <c r="R15" s="4306" t="s">
        <v>4298</v>
      </c>
      <c r="S15" s="4305">
        <f>U15/G15</f>
        <v>3.7865544281386878</v>
      </c>
      <c r="U15" s="4217">
        <f>SUM(U4:U14)</f>
        <v>44400.834300000002</v>
      </c>
    </row>
    <row r="16" spans="1:21" ht="18.600000000000001" customHeight="1">
      <c r="A16" s="4317"/>
      <c r="B16" s="4275"/>
      <c r="C16" s="4318"/>
      <c r="D16" s="4276" t="s">
        <v>4087</v>
      </c>
      <c r="E16" s="4275">
        <f>SUM(G4:G14)</f>
        <v>12758.92</v>
      </c>
      <c r="F16" s="4275"/>
      <c r="G16" s="4276"/>
      <c r="H16" s="4275"/>
      <c r="I16" s="4275"/>
      <c r="J16" s="4275"/>
      <c r="K16" s="4275"/>
      <c r="L16" s="4277"/>
      <c r="M16" s="4275"/>
      <c r="N16" s="4275"/>
      <c r="O16" s="4275"/>
      <c r="P16" s="4277"/>
      <c r="Q16" s="4275"/>
      <c r="R16" s="4306" t="s">
        <v>4297</v>
      </c>
      <c r="S16" s="4277">
        <f>S15/1.09</f>
        <v>3.4739031450813647</v>
      </c>
    </row>
    <row r="17" spans="1:20" ht="18.600000000000001" customHeight="1">
      <c r="A17" s="4317"/>
      <c r="B17" s="4275"/>
      <c r="C17" s="4318"/>
      <c r="D17" s="4276" t="s">
        <v>4088</v>
      </c>
      <c r="E17" s="4275">
        <f>SUMIF(F3:F14,"商业",G3:G14)</f>
        <v>11725.92</v>
      </c>
      <c r="F17" s="4275"/>
      <c r="G17" s="4276"/>
      <c r="H17" s="4275"/>
      <c r="I17" s="4275"/>
      <c r="J17" s="4277"/>
      <c r="K17" s="4275"/>
      <c r="L17" s="4277"/>
      <c r="M17" s="4275"/>
      <c r="N17" s="4275"/>
      <c r="O17" s="4275"/>
      <c r="P17" s="4277"/>
      <c r="Q17" s="4275"/>
      <c r="R17" s="4275"/>
      <c r="S17" s="4275"/>
    </row>
    <row r="18" spans="1:20" ht="18.600000000000001" customHeight="1">
      <c r="A18" s="4317"/>
      <c r="B18" s="4275"/>
      <c r="C18" s="4318"/>
      <c r="D18" s="4276" t="s">
        <v>4092</v>
      </c>
      <c r="E18" s="4279">
        <f>(E17)/E16</f>
        <v>0.91903703448254237</v>
      </c>
      <c r="F18" s="4279"/>
      <c r="G18" s="4276"/>
      <c r="H18" s="4280"/>
      <c r="I18" s="4275"/>
      <c r="J18" s="4275"/>
      <c r="K18" s="4275"/>
      <c r="L18" s="4277"/>
      <c r="M18" s="4275"/>
      <c r="N18" s="4275"/>
      <c r="O18" s="4275"/>
      <c r="P18" s="4277"/>
      <c r="Q18" s="4275"/>
      <c r="R18" s="4275"/>
      <c r="S18" s="4275"/>
      <c r="T18" s="4217">
        <f>SUM(T4:T17)</f>
        <v>21434740.153499998</v>
      </c>
    </row>
    <row r="19" spans="1:20" ht="18.600000000000001" customHeight="1">
      <c r="A19" s="4319"/>
      <c r="B19" s="4283"/>
      <c r="C19" s="4320"/>
      <c r="D19" s="4281"/>
      <c r="E19" s="4282"/>
      <c r="F19" s="4282"/>
      <c r="G19" s="4281"/>
      <c r="H19" s="4283"/>
      <c r="I19" s="4283"/>
      <c r="J19" s="4283"/>
      <c r="K19" s="4283"/>
      <c r="L19" s="4284"/>
      <c r="M19" s="4283"/>
      <c r="N19" s="4283"/>
      <c r="O19" s="4283"/>
      <c r="P19" s="4284"/>
      <c r="Q19" s="4283"/>
      <c r="R19" s="4283"/>
      <c r="S19" s="4283"/>
      <c r="T19" s="4217">
        <f>T18/10000</f>
        <v>2143.4740153499997</v>
      </c>
    </row>
    <row r="20" spans="1:20" ht="15.6">
      <c r="A20" s="4286"/>
      <c r="G20" s="4321"/>
    </row>
    <row r="21" spans="1:20" ht="15.6">
      <c r="A21" s="4286"/>
      <c r="E21" s="4259"/>
      <c r="F21" s="4259"/>
      <c r="G21" s="4321"/>
    </row>
    <row r="22" spans="1:20" ht="15.6">
      <c r="E22" s="4260"/>
      <c r="G22" s="4321"/>
    </row>
    <row r="23" spans="1:20">
      <c r="E23" s="4260"/>
    </row>
    <row r="25" spans="1:20">
      <c r="F25" s="4652"/>
    </row>
    <row r="26" spans="1:20">
      <c r="F26" s="4652"/>
    </row>
    <row r="27" spans="1:20">
      <c r="E27" s="4260"/>
      <c r="F27" s="4261"/>
    </row>
    <row r="28" spans="1:20">
      <c r="D28" s="4262"/>
    </row>
  </sheetData>
  <mergeCells count="5">
    <mergeCell ref="A1:G1"/>
    <mergeCell ref="H1:J1"/>
    <mergeCell ref="L1:M1"/>
    <mergeCell ref="N1:S1"/>
    <mergeCell ref="F25:F26"/>
  </mergeCells>
  <phoneticPr fontId="134" type="noConversion"/>
  <dataValidations count="1">
    <dataValidation type="list" allowBlank="1" showInputMessage="1" showErrorMessage="1" sqref="E4:F10 E13:F15" xr:uid="{B2A0C5C4-6CCC-4CDB-A126-546C86F6601C}">
      <formula1>#REF!</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 sqref="C1:S1"/>
      <selection pane="bottomLeft" activeCell="C1" sqref="C1:S1"/>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663" t="s">
        <v>1996</v>
      </c>
      <c r="D1" s="4664"/>
      <c r="E1" s="4664"/>
      <c r="F1" s="4664"/>
      <c r="G1" s="4664"/>
      <c r="H1" s="4664"/>
      <c r="I1" s="4664"/>
      <c r="J1" s="4664"/>
      <c r="K1" s="4664"/>
      <c r="L1" s="4664"/>
      <c r="M1" s="4664"/>
      <c r="N1" s="4664"/>
      <c r="O1" s="4664"/>
      <c r="P1" s="4664"/>
      <c r="Q1" s="4664"/>
      <c r="R1" s="4664"/>
      <c r="S1" s="4665"/>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8"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2"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6">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660" t="s">
        <v>25</v>
      </c>
      <c r="D22" s="4661"/>
      <c r="E22" s="4661"/>
      <c r="F22" s="4661"/>
      <c r="G22" s="4661"/>
      <c r="H22" s="4661"/>
      <c r="I22" s="4661"/>
      <c r="J22" s="4661"/>
      <c r="K22" s="4661"/>
      <c r="L22" s="4661"/>
      <c r="M22" s="4661"/>
      <c r="N22" s="4661"/>
      <c r="O22" s="4661"/>
      <c r="P22" s="4661"/>
      <c r="Q22" s="4662"/>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C1" sqref="C1:S1"/>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378" t="s">
        <v>1573</v>
      </c>
      <c r="C1" s="851" t="s">
        <v>1574</v>
      </c>
      <c r="D1" s="838"/>
      <c r="E1" s="2537" t="s">
        <v>3996</v>
      </c>
      <c r="F1" s="1379" t="s">
        <v>3997</v>
      </c>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t="e">
        <f>IF(C2="含税",D2,ROUND(D2/(1+F3),0))</f>
        <v>#DIV/0!</v>
      </c>
      <c r="C2" s="2861" t="s">
        <v>3994</v>
      </c>
      <c r="D2" s="3829" t="e">
        <f>IF(E1="项目模式",IF(E2="——",ROUND(C49*D3/10000,0),ROUND(C49*D3/10000,0)-F2),IF(E1="单套模式",IF(E2="——",ROUND(C49*D3/10000,4),ROUND(C49*D3/10000,4)-F2)))</f>
        <v>#DIV/0!</v>
      </c>
      <c r="E2" s="2868" t="s">
        <v>41</v>
      </c>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t="e">
        <f>IF(E2="——",C49,ROUND(B2*10000/D3,0))</f>
        <v>#DIV/0!</v>
      </c>
      <c r="C3" s="234" t="s">
        <v>1577</v>
      </c>
      <c r="D3" s="2958">
        <f>IF(D1="",'数据-汇总表'!E3,SUMIF('数据-汇总表'!$C19:$C33,D1,'数据-汇总表'!$E19:$E33))</f>
        <v>57408.26</v>
      </c>
      <c r="E3" s="3310" t="s">
        <v>3995</v>
      </c>
      <c r="F3" s="3959">
        <f>IF(E3="其他类型—销项税率",9%,3%)</f>
        <v>0.09</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4.4">
      <c r="A4" s="235" t="s">
        <v>1578</v>
      </c>
      <c r="B4" s="236"/>
      <c r="C4" s="4670" t="s">
        <v>1579</v>
      </c>
      <c r="D4" s="4671"/>
      <c r="E4" s="4672" t="s">
        <v>1580</v>
      </c>
      <c r="F4" s="4673"/>
      <c r="G4" s="4670" t="s">
        <v>1581</v>
      </c>
      <c r="H4" s="4671"/>
      <c r="I4" s="4670" t="s">
        <v>1582</v>
      </c>
      <c r="J4" s="4671"/>
      <c r="K4" s="2886" t="s">
        <v>1583</v>
      </c>
      <c r="L4" s="2007"/>
      <c r="M4" s="2008"/>
      <c r="N4" s="2008"/>
      <c r="O4" s="2008"/>
      <c r="P4" s="4674" t="s">
        <v>1584</v>
      </c>
      <c r="Q4" s="4675"/>
      <c r="R4" s="4678" t="s">
        <v>1580</v>
      </c>
      <c r="S4" s="4679"/>
      <c r="T4" s="4678" t="s">
        <v>1581</v>
      </c>
      <c r="U4" s="4679"/>
      <c r="V4" s="4586" t="s">
        <v>1582</v>
      </c>
      <c r="W4" s="4586"/>
      <c r="X4" s="935"/>
      <c r="Y4" s="4685" t="s">
        <v>1584</v>
      </c>
      <c r="Z4" s="4686"/>
      <c r="AA4" s="4669" t="s">
        <v>1580</v>
      </c>
      <c r="AB4" s="4669" t="s">
        <v>1581</v>
      </c>
      <c r="AC4" s="4669" t="s">
        <v>1582</v>
      </c>
    </row>
    <row r="5" spans="1:29">
      <c r="A5" s="238"/>
      <c r="B5" s="239"/>
      <c r="C5" s="4682" t="s">
        <v>1585</v>
      </c>
      <c r="D5" s="4683"/>
      <c r="E5" s="4689" t="s">
        <v>1586</v>
      </c>
      <c r="F5" s="4690"/>
      <c r="G5" s="4682" t="s">
        <v>1587</v>
      </c>
      <c r="H5" s="4683"/>
      <c r="I5" s="4682" t="s">
        <v>1588</v>
      </c>
      <c r="J5" s="4683"/>
      <c r="K5" s="2887"/>
      <c r="L5" s="2007"/>
      <c r="M5" s="2008"/>
      <c r="N5" s="2008"/>
      <c r="O5" s="2008"/>
      <c r="P5" s="4676"/>
      <c r="Q5" s="4576"/>
      <c r="R5" s="4581"/>
      <c r="S5" s="4582"/>
      <c r="T5" s="4581"/>
      <c r="U5" s="4582"/>
      <c r="V5" s="4586"/>
      <c r="W5" s="4586"/>
      <c r="X5" s="935"/>
      <c r="Y5" s="4597"/>
      <c r="Z5" s="4598"/>
      <c r="AA5" s="4606"/>
      <c r="AB5" s="4606"/>
      <c r="AC5" s="4606"/>
    </row>
    <row r="6" spans="1:29" ht="15" thickBot="1">
      <c r="A6" s="240"/>
      <c r="B6" s="241"/>
      <c r="C6" s="4680" t="s">
        <v>1589</v>
      </c>
      <c r="D6" s="4681"/>
      <c r="E6" s="4687" t="s">
        <v>1589</v>
      </c>
      <c r="F6" s="4688"/>
      <c r="G6" s="4680" t="s">
        <v>1589</v>
      </c>
      <c r="H6" s="4681"/>
      <c r="I6" s="4680" t="s">
        <v>1589</v>
      </c>
      <c r="J6" s="4681"/>
      <c r="K6" s="2887" t="s">
        <v>1590</v>
      </c>
      <c r="L6" s="2007"/>
      <c r="M6" s="2008"/>
      <c r="N6" s="2008"/>
      <c r="O6" s="2008"/>
      <c r="P6" s="4677"/>
      <c r="Q6" s="4578"/>
      <c r="R6" s="4581"/>
      <c r="S6" s="4582"/>
      <c r="T6" s="4583"/>
      <c r="U6" s="4584"/>
      <c r="V6" s="4586"/>
      <c r="W6" s="4586"/>
      <c r="X6" s="935"/>
      <c r="Y6" s="4599"/>
      <c r="Z6" s="4600"/>
      <c r="AA6" s="4607"/>
      <c r="AB6" s="4607"/>
      <c r="AC6" s="4607"/>
    </row>
    <row r="7" spans="1:29" s="46" customFormat="1" ht="15" thickBot="1">
      <c r="A7" s="242" t="s">
        <v>1591</v>
      </c>
      <c r="B7" s="243"/>
      <c r="C7" s="2888">
        <f>'数据-取费表'!B2</f>
        <v>46049</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684" t="s">
        <v>1592</v>
      </c>
      <c r="Q7" s="4601"/>
      <c r="R7" s="3748" t="s">
        <v>18</v>
      </c>
      <c r="S7" s="3262">
        <f t="shared" ref="S7:S15" si="0">F7</f>
        <v>0</v>
      </c>
      <c r="T7" s="3748" t="s">
        <v>18</v>
      </c>
      <c r="U7" s="3262">
        <f t="shared" ref="U7:U15" si="1">H7</f>
        <v>0</v>
      </c>
      <c r="V7" s="3748" t="s">
        <v>18</v>
      </c>
      <c r="W7" s="3262">
        <f t="shared" ref="W7:W15" si="2">J7</f>
        <v>0</v>
      </c>
      <c r="X7" s="482"/>
      <c r="Y7" s="4593" t="s">
        <v>1592</v>
      </c>
      <c r="Z7" s="4594"/>
      <c r="AA7" s="28" t="e">
        <f>D7/F7</f>
        <v>#DIV/0!</v>
      </c>
      <c r="AB7" s="28" t="e">
        <f>D7/H7</f>
        <v>#DIV/0!</v>
      </c>
      <c r="AC7" s="28" t="e">
        <f>D7/J7</f>
        <v>#DIV/0!</v>
      </c>
    </row>
    <row r="8" spans="1:29" s="46" customFormat="1" ht="1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684" t="s">
        <v>1595</v>
      </c>
      <c r="Q8" s="4592"/>
      <c r="R8" s="3748" t="s">
        <v>18</v>
      </c>
      <c r="S8" s="3262">
        <f t="shared" si="0"/>
        <v>100</v>
      </c>
      <c r="T8" s="3748" t="s">
        <v>18</v>
      </c>
      <c r="U8" s="3262">
        <f t="shared" si="1"/>
        <v>100</v>
      </c>
      <c r="V8" s="3748" t="s">
        <v>18</v>
      </c>
      <c r="W8" s="3262">
        <f t="shared" si="2"/>
        <v>100</v>
      </c>
      <c r="X8" s="482"/>
      <c r="Y8" s="4593" t="s">
        <v>1595</v>
      </c>
      <c r="Z8" s="4594"/>
      <c r="AA8" s="28">
        <f t="shared" ref="AA8:AA19" si="3">D8/F8</f>
        <v>1</v>
      </c>
      <c r="AB8" s="28">
        <f t="shared" ref="AB8:AB19" si="4">D8/H8</f>
        <v>1</v>
      </c>
      <c r="AC8" s="28">
        <f t="shared" ref="AC8:AC19" si="5">D8/J8</f>
        <v>1</v>
      </c>
    </row>
    <row r="9" spans="1:29" s="46" customFormat="1" ht="14.4">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50" t="s">
        <v>1598</v>
      </c>
      <c r="Q9" s="1731" t="str">
        <f t="shared" ref="Q9:Q15" si="6">B9</f>
        <v>用途</v>
      </c>
      <c r="R9" s="3748" t="s">
        <v>13</v>
      </c>
      <c r="S9" s="3262">
        <f t="shared" si="0"/>
        <v>100</v>
      </c>
      <c r="T9" s="3748" t="s">
        <v>13</v>
      </c>
      <c r="U9" s="3262">
        <f t="shared" si="1"/>
        <v>100</v>
      </c>
      <c r="V9" s="3748" t="s">
        <v>13</v>
      </c>
      <c r="W9" s="3262">
        <f t="shared" si="2"/>
        <v>100</v>
      </c>
      <c r="X9" s="482"/>
      <c r="Y9" s="4565"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50"/>
      <c r="Q10" s="1731" t="str">
        <f t="shared" si="6"/>
        <v>土地使用年限（年）</v>
      </c>
      <c r="R10" s="3748" t="s">
        <v>13</v>
      </c>
      <c r="S10" s="3262">
        <f t="shared" si="0"/>
        <v>100</v>
      </c>
      <c r="T10" s="3748" t="s">
        <v>13</v>
      </c>
      <c r="U10" s="3262">
        <f t="shared" si="1"/>
        <v>100</v>
      </c>
      <c r="V10" s="3748" t="s">
        <v>13</v>
      </c>
      <c r="W10" s="3262">
        <f t="shared" si="2"/>
        <v>100</v>
      </c>
      <c r="X10" s="482"/>
      <c r="Y10" s="4565"/>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50"/>
      <c r="Q11" s="1731" t="str">
        <f t="shared" si="6"/>
        <v>容积率</v>
      </c>
      <c r="R11" s="3748" t="s">
        <v>16</v>
      </c>
      <c r="S11" s="3262">
        <f t="shared" si="0"/>
        <v>100</v>
      </c>
      <c r="T11" s="3748" t="s">
        <v>16</v>
      </c>
      <c r="U11" s="3262">
        <f t="shared" si="1"/>
        <v>100</v>
      </c>
      <c r="V11" s="3748" t="s">
        <v>16</v>
      </c>
      <c r="W11" s="3262">
        <f t="shared" si="2"/>
        <v>100</v>
      </c>
      <c r="X11" s="482"/>
      <c r="Y11" s="4565"/>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50"/>
      <c r="Q12" s="1731">
        <f t="shared" si="6"/>
        <v>111</v>
      </c>
      <c r="R12" s="3748" t="s">
        <v>16</v>
      </c>
      <c r="S12" s="3262">
        <f t="shared" si="0"/>
        <v>100</v>
      </c>
      <c r="T12" s="3748" t="s">
        <v>16</v>
      </c>
      <c r="U12" s="3262">
        <f t="shared" si="1"/>
        <v>100</v>
      </c>
      <c r="V12" s="3748" t="s">
        <v>16</v>
      </c>
      <c r="W12" s="3262">
        <f t="shared" si="2"/>
        <v>100</v>
      </c>
      <c r="X12" s="482"/>
      <c r="Y12" s="4565"/>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50"/>
      <c r="Q13" s="1731">
        <f t="shared" si="6"/>
        <v>111</v>
      </c>
      <c r="R13" s="3748" t="s">
        <v>16</v>
      </c>
      <c r="S13" s="3262">
        <f t="shared" si="0"/>
        <v>100</v>
      </c>
      <c r="T13" s="3748" t="s">
        <v>16</v>
      </c>
      <c r="U13" s="3262">
        <f t="shared" si="1"/>
        <v>100</v>
      </c>
      <c r="V13" s="3748" t="s">
        <v>16</v>
      </c>
      <c r="W13" s="3262">
        <f t="shared" si="2"/>
        <v>100</v>
      </c>
      <c r="X13" s="482"/>
      <c r="Y13" s="4565"/>
      <c r="Z13" s="28">
        <f t="shared" si="7"/>
        <v>111</v>
      </c>
      <c r="AA13" s="28">
        <f t="shared" si="3"/>
        <v>1</v>
      </c>
      <c r="AB13" s="28">
        <f t="shared" si="4"/>
        <v>1</v>
      </c>
      <c r="AC13" s="28">
        <f t="shared" si="5"/>
        <v>1</v>
      </c>
    </row>
    <row r="14" spans="1:29" ht="15.6"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50"/>
      <c r="Q14" s="1731">
        <f t="shared" si="6"/>
        <v>111</v>
      </c>
      <c r="R14" s="3748" t="s">
        <v>16</v>
      </c>
      <c r="S14" s="3262">
        <f t="shared" si="0"/>
        <v>100</v>
      </c>
      <c r="T14" s="3748" t="s">
        <v>16</v>
      </c>
      <c r="U14" s="3262">
        <f t="shared" si="1"/>
        <v>100</v>
      </c>
      <c r="V14" s="3748" t="s">
        <v>16</v>
      </c>
      <c r="W14" s="3262">
        <f t="shared" si="2"/>
        <v>100</v>
      </c>
      <c r="X14" s="482"/>
      <c r="Y14" s="4565"/>
      <c r="Z14" s="28">
        <f t="shared" si="7"/>
        <v>111</v>
      </c>
      <c r="AA14" s="28">
        <f t="shared" si="3"/>
        <v>1</v>
      </c>
      <c r="AB14" s="28">
        <f t="shared" si="4"/>
        <v>1</v>
      </c>
      <c r="AC14" s="28">
        <f t="shared" si="5"/>
        <v>1</v>
      </c>
    </row>
    <row r="15" spans="1:29" ht="15">
      <c r="A15" s="262" t="s">
        <v>1602</v>
      </c>
      <c r="B15" s="2872" t="s">
        <v>1237</v>
      </c>
      <c r="C15" s="2896">
        <f>估价对象房地状况!C3</f>
        <v>0</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56" t="s">
        <v>1603</v>
      </c>
      <c r="Q15" s="1533" t="str">
        <f t="shared" si="6"/>
        <v>居住社区成熟度</v>
      </c>
      <c r="R15" s="3849" t="s">
        <v>16</v>
      </c>
      <c r="S15" s="3263">
        <f t="shared" si="0"/>
        <v>100</v>
      </c>
      <c r="T15" s="3849" t="s">
        <v>16</v>
      </c>
      <c r="U15" s="3263">
        <f t="shared" si="1"/>
        <v>100</v>
      </c>
      <c r="V15" s="3849" t="s">
        <v>16</v>
      </c>
      <c r="W15" s="3263">
        <f t="shared" si="2"/>
        <v>100</v>
      </c>
      <c r="X15" s="935"/>
      <c r="Y15" s="4558"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57"/>
      <c r="Q16" s="1533"/>
      <c r="R16" s="3849"/>
      <c r="S16" s="3263"/>
      <c r="T16" s="3849"/>
      <c r="U16" s="3263"/>
      <c r="V16" s="3849"/>
      <c r="W16" s="3263"/>
      <c r="X16" s="935"/>
      <c r="Y16" s="4559"/>
      <c r="Z16" s="933"/>
      <c r="AA16" s="933">
        <v>1</v>
      </c>
      <c r="AB16" s="933">
        <v>1</v>
      </c>
      <c r="AC16" s="933">
        <v>1</v>
      </c>
    </row>
    <row r="17" spans="1:29" ht="15">
      <c r="A17" s="254"/>
      <c r="B17" s="2874" t="s">
        <v>1239</v>
      </c>
      <c r="C17" s="2898">
        <f>估价对象房地状况!C6</f>
        <v>0</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57"/>
      <c r="Q17" s="1533" t="str">
        <f>B17</f>
        <v>交通便捷度</v>
      </c>
      <c r="R17" s="3849" t="s">
        <v>16</v>
      </c>
      <c r="S17" s="3263">
        <f>F17</f>
        <v>100</v>
      </c>
      <c r="T17" s="3849" t="s">
        <v>16</v>
      </c>
      <c r="U17" s="3263">
        <f>H17</f>
        <v>100</v>
      </c>
      <c r="V17" s="3849" t="s">
        <v>16</v>
      </c>
      <c r="W17" s="3263">
        <f>J17</f>
        <v>100</v>
      </c>
      <c r="X17" s="935"/>
      <c r="Y17" s="4559"/>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57"/>
      <c r="Q18" s="1533"/>
      <c r="R18" s="3849"/>
      <c r="S18" s="3263"/>
      <c r="T18" s="3849"/>
      <c r="U18" s="3263"/>
      <c r="V18" s="3849"/>
      <c r="W18" s="3263"/>
      <c r="X18" s="935"/>
      <c r="Y18" s="4559"/>
      <c r="Z18" s="933"/>
      <c r="AA18" s="933">
        <v>1</v>
      </c>
      <c r="AB18" s="933">
        <v>1</v>
      </c>
      <c r="AC18" s="933">
        <v>1</v>
      </c>
    </row>
    <row r="19" spans="1:29" ht="15">
      <c r="A19" s="254"/>
      <c r="B19" s="2874" t="s">
        <v>1238</v>
      </c>
      <c r="C19" s="2898">
        <f>估价对象房地状况!C7</f>
        <v>0</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57"/>
      <c r="Q19" s="1533" t="str">
        <f>B19</f>
        <v>公共配套设施</v>
      </c>
      <c r="R19" s="3849" t="s">
        <v>16</v>
      </c>
      <c r="S19" s="3263">
        <f>F19</f>
        <v>100</v>
      </c>
      <c r="T19" s="3849" t="s">
        <v>16</v>
      </c>
      <c r="U19" s="3263">
        <f>H19</f>
        <v>100</v>
      </c>
      <c r="V19" s="3849" t="s">
        <v>16</v>
      </c>
      <c r="W19" s="3263">
        <f>J19</f>
        <v>100</v>
      </c>
      <c r="X19" s="935"/>
      <c r="Y19" s="4559"/>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57"/>
      <c r="Q20" s="1533"/>
      <c r="R20" s="3849"/>
      <c r="S20" s="3263"/>
      <c r="T20" s="3849"/>
      <c r="U20" s="3263"/>
      <c r="V20" s="3849"/>
      <c r="W20" s="3263"/>
      <c r="X20" s="935"/>
      <c r="Y20" s="4559"/>
      <c r="Z20" s="933"/>
      <c r="AA20" s="933">
        <v>1</v>
      </c>
      <c r="AB20" s="933">
        <v>1</v>
      </c>
      <c r="AC20" s="933">
        <v>1</v>
      </c>
    </row>
    <row r="21" spans="1:29" ht="15">
      <c r="A21" s="254"/>
      <c r="B21" s="2876" t="s">
        <v>1240</v>
      </c>
      <c r="C21" s="2898">
        <f>估价对象房地状况!C8</f>
        <v>0</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57"/>
      <c r="Q21" s="1533" t="str">
        <f>B21</f>
        <v>基础设施水平</v>
      </c>
      <c r="R21" s="3849" t="s">
        <v>13</v>
      </c>
      <c r="S21" s="3263">
        <f>F21</f>
        <v>100</v>
      </c>
      <c r="T21" s="3849" t="s">
        <v>13</v>
      </c>
      <c r="U21" s="3263">
        <f>H21</f>
        <v>100</v>
      </c>
      <c r="V21" s="3849" t="s">
        <v>13</v>
      </c>
      <c r="W21" s="3263">
        <f>J21</f>
        <v>100</v>
      </c>
      <c r="X21" s="935"/>
      <c r="Y21" s="4559"/>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57"/>
      <c r="Q22" s="1533"/>
      <c r="R22" s="3849"/>
      <c r="S22" s="3263"/>
      <c r="T22" s="3849"/>
      <c r="U22" s="3263"/>
      <c r="V22" s="3849"/>
      <c r="W22" s="3263"/>
      <c r="X22" s="935"/>
      <c r="Y22" s="4559"/>
      <c r="Z22" s="933"/>
      <c r="AA22" s="933">
        <v>1</v>
      </c>
      <c r="AB22" s="933">
        <v>1</v>
      </c>
      <c r="AC22" s="933">
        <v>1</v>
      </c>
    </row>
    <row r="23" spans="1:29" ht="15">
      <c r="A23" s="254"/>
      <c r="B23" s="2874" t="s">
        <v>1241</v>
      </c>
      <c r="C23" s="2898">
        <f>估价对象房地状况!C9</f>
        <v>0</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57"/>
      <c r="Q23" s="1533" t="str">
        <f>B23</f>
        <v>自然及人文环境</v>
      </c>
      <c r="R23" s="3849" t="s">
        <v>16</v>
      </c>
      <c r="S23" s="3263">
        <f>F23</f>
        <v>100</v>
      </c>
      <c r="T23" s="3849" t="s">
        <v>16</v>
      </c>
      <c r="U23" s="3263">
        <f>H23</f>
        <v>100</v>
      </c>
      <c r="V23" s="3849" t="s">
        <v>16</v>
      </c>
      <c r="W23" s="3263">
        <f>J23</f>
        <v>100</v>
      </c>
      <c r="X23" s="935"/>
      <c r="Y23" s="4559"/>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57"/>
      <c r="Q24" s="1533"/>
      <c r="R24" s="3849"/>
      <c r="S24" s="3263"/>
      <c r="T24" s="3849"/>
      <c r="U24" s="3263"/>
      <c r="V24" s="3849"/>
      <c r="W24" s="3263"/>
      <c r="X24" s="935"/>
      <c r="Y24" s="4559"/>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57"/>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559"/>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57"/>
      <c r="Q26" s="1533" t="str">
        <f t="shared" si="11"/>
        <v>朝向</v>
      </c>
      <c r="R26" s="3849" t="s">
        <v>16</v>
      </c>
      <c r="S26" s="3263">
        <f t="shared" si="12"/>
        <v>100</v>
      </c>
      <c r="T26" s="3849" t="s">
        <v>16</v>
      </c>
      <c r="U26" s="3263">
        <f t="shared" si="13"/>
        <v>100</v>
      </c>
      <c r="V26" s="3849" t="s">
        <v>16</v>
      </c>
      <c r="W26" s="3263">
        <f t="shared" si="14"/>
        <v>100</v>
      </c>
      <c r="X26" s="935"/>
      <c r="Y26" s="4559"/>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57"/>
      <c r="Q27" s="1731">
        <f t="shared" si="11"/>
        <v>111</v>
      </c>
      <c r="R27" s="3748" t="s">
        <v>16</v>
      </c>
      <c r="S27" s="3262">
        <f t="shared" si="12"/>
        <v>100</v>
      </c>
      <c r="T27" s="3748" t="s">
        <v>16</v>
      </c>
      <c r="U27" s="3262">
        <f t="shared" si="13"/>
        <v>100</v>
      </c>
      <c r="V27" s="3748" t="s">
        <v>16</v>
      </c>
      <c r="W27" s="3262">
        <f t="shared" si="14"/>
        <v>100</v>
      </c>
      <c r="X27" s="482"/>
      <c r="Y27" s="4559"/>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57"/>
      <c r="Q28" s="1533">
        <f t="shared" si="11"/>
        <v>111</v>
      </c>
      <c r="R28" s="3849" t="s">
        <v>16</v>
      </c>
      <c r="S28" s="3263">
        <f t="shared" si="12"/>
        <v>100</v>
      </c>
      <c r="T28" s="3849" t="s">
        <v>16</v>
      </c>
      <c r="U28" s="3263">
        <f t="shared" si="13"/>
        <v>100</v>
      </c>
      <c r="V28" s="3849" t="s">
        <v>16</v>
      </c>
      <c r="W28" s="3263">
        <f t="shared" si="14"/>
        <v>100</v>
      </c>
      <c r="X28" s="935"/>
      <c r="Y28" s="4559"/>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57"/>
      <c r="Q29" s="1533">
        <f t="shared" si="11"/>
        <v>111</v>
      </c>
      <c r="R29" s="3849" t="s">
        <v>16</v>
      </c>
      <c r="S29" s="3263">
        <f t="shared" si="12"/>
        <v>100</v>
      </c>
      <c r="T29" s="3849" t="s">
        <v>16</v>
      </c>
      <c r="U29" s="3263">
        <f t="shared" si="13"/>
        <v>100</v>
      </c>
      <c r="V29" s="3849" t="s">
        <v>16</v>
      </c>
      <c r="W29" s="3263">
        <f t="shared" si="14"/>
        <v>100</v>
      </c>
      <c r="X29" s="935"/>
      <c r="Y29" s="4559"/>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57"/>
      <c r="Q30" s="1533">
        <f t="shared" si="11"/>
        <v>111</v>
      </c>
      <c r="R30" s="3849" t="s">
        <v>16</v>
      </c>
      <c r="S30" s="3263">
        <f t="shared" si="12"/>
        <v>100</v>
      </c>
      <c r="T30" s="3849" t="s">
        <v>16</v>
      </c>
      <c r="U30" s="3263">
        <f t="shared" si="13"/>
        <v>100</v>
      </c>
      <c r="V30" s="3849" t="s">
        <v>16</v>
      </c>
      <c r="W30" s="3263">
        <f t="shared" si="14"/>
        <v>100</v>
      </c>
      <c r="X30" s="935"/>
      <c r="Y30" s="4559"/>
      <c r="Z30" s="933">
        <f t="shared" si="18"/>
        <v>111</v>
      </c>
      <c r="AA30" s="933">
        <f t="shared" si="15"/>
        <v>1</v>
      </c>
      <c r="AB30" s="933">
        <f t="shared" si="16"/>
        <v>1</v>
      </c>
      <c r="AC30" s="933">
        <f t="shared" si="17"/>
        <v>1</v>
      </c>
    </row>
    <row r="31" spans="1:29" ht="15.6"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57"/>
      <c r="Q31" s="1533">
        <f t="shared" si="11"/>
        <v>111</v>
      </c>
      <c r="R31" s="3849" t="s">
        <v>16</v>
      </c>
      <c r="S31" s="3263">
        <f t="shared" si="12"/>
        <v>100</v>
      </c>
      <c r="T31" s="3849" t="s">
        <v>16</v>
      </c>
      <c r="U31" s="3263">
        <f t="shared" si="13"/>
        <v>100</v>
      </c>
      <c r="V31" s="3849" t="s">
        <v>16</v>
      </c>
      <c r="W31" s="3263">
        <f t="shared" si="14"/>
        <v>100</v>
      </c>
      <c r="X31" s="935"/>
      <c r="Y31" s="4559"/>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560" t="s">
        <v>1608</v>
      </c>
      <c r="Q32" s="1533" t="str">
        <f t="shared" si="11"/>
        <v>建筑类型</v>
      </c>
      <c r="R32" s="3849" t="s">
        <v>16</v>
      </c>
      <c r="S32" s="3263">
        <f t="shared" si="12"/>
        <v>100</v>
      </c>
      <c r="T32" s="3849" t="s">
        <v>16</v>
      </c>
      <c r="U32" s="3263">
        <f t="shared" si="13"/>
        <v>100</v>
      </c>
      <c r="V32" s="3849" t="s">
        <v>16</v>
      </c>
      <c r="W32" s="3263">
        <f t="shared" si="14"/>
        <v>100</v>
      </c>
      <c r="X32" s="935"/>
      <c r="Y32" s="4563"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561"/>
      <c r="Q33" s="2941" t="str">
        <f t="shared" si="11"/>
        <v>项目建筑规模</v>
      </c>
      <c r="R33" s="3850" t="s">
        <v>16</v>
      </c>
      <c r="S33" s="3264" t="e">
        <f t="shared" si="12"/>
        <v>#N/A</v>
      </c>
      <c r="T33" s="3850" t="s">
        <v>16</v>
      </c>
      <c r="U33" s="3264" t="e">
        <f t="shared" si="13"/>
        <v>#N/A</v>
      </c>
      <c r="V33" s="3850" t="s">
        <v>16</v>
      </c>
      <c r="W33" s="3264" t="e">
        <f t="shared" si="14"/>
        <v>#N/A</v>
      </c>
      <c r="X33" s="484"/>
      <c r="Y33" s="4563"/>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561"/>
      <c r="Q34" s="1533" t="str">
        <f t="shared" si="11"/>
        <v>建筑结构</v>
      </c>
      <c r="R34" s="3849" t="s">
        <v>16</v>
      </c>
      <c r="S34" s="3263">
        <f t="shared" si="12"/>
        <v>100</v>
      </c>
      <c r="T34" s="3849" t="s">
        <v>16</v>
      </c>
      <c r="U34" s="3263">
        <f t="shared" si="13"/>
        <v>100</v>
      </c>
      <c r="V34" s="3849" t="s">
        <v>16</v>
      </c>
      <c r="W34" s="3263">
        <f t="shared" si="14"/>
        <v>100</v>
      </c>
      <c r="X34" s="935"/>
      <c r="Y34" s="4563"/>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561"/>
      <c r="Q35" s="1533" t="str">
        <f t="shared" si="11"/>
        <v>建筑品质</v>
      </c>
      <c r="R35" s="3849" t="s">
        <v>16</v>
      </c>
      <c r="S35" s="3263">
        <f t="shared" si="12"/>
        <v>100</v>
      </c>
      <c r="T35" s="3849" t="s">
        <v>16</v>
      </c>
      <c r="U35" s="3263">
        <f t="shared" si="13"/>
        <v>100</v>
      </c>
      <c r="V35" s="3849" t="s">
        <v>16</v>
      </c>
      <c r="W35" s="3263">
        <f t="shared" si="14"/>
        <v>100</v>
      </c>
      <c r="X35" s="935"/>
      <c r="Y35" s="4563"/>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561"/>
      <c r="Q36" s="1533" t="str">
        <f t="shared" si="11"/>
        <v>公共部分装修</v>
      </c>
      <c r="R36" s="3849" t="s">
        <v>16</v>
      </c>
      <c r="S36" s="3263">
        <f t="shared" si="12"/>
        <v>100</v>
      </c>
      <c r="T36" s="3849" t="s">
        <v>16</v>
      </c>
      <c r="U36" s="3263">
        <f t="shared" si="13"/>
        <v>100</v>
      </c>
      <c r="V36" s="3849" t="s">
        <v>16</v>
      </c>
      <c r="W36" s="3263">
        <f t="shared" si="14"/>
        <v>100</v>
      </c>
      <c r="X36" s="935"/>
      <c r="Y36" s="4563"/>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561"/>
      <c r="Q37" s="1731" t="str">
        <f t="shared" si="11"/>
        <v>成新度</v>
      </c>
      <c r="R37" s="3748" t="s">
        <v>16</v>
      </c>
      <c r="S37" s="3262" t="e">
        <f t="shared" si="12"/>
        <v>#N/A</v>
      </c>
      <c r="T37" s="3748" t="s">
        <v>16</v>
      </c>
      <c r="U37" s="3262" t="e">
        <f t="shared" si="13"/>
        <v>#N/A</v>
      </c>
      <c r="V37" s="3748" t="s">
        <v>16</v>
      </c>
      <c r="W37" s="3262" t="e">
        <f t="shared" si="14"/>
        <v>#N/A</v>
      </c>
      <c r="X37" s="482"/>
      <c r="Y37" s="4563"/>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561" t="s">
        <v>1608</v>
      </c>
      <c r="Q38" s="1533" t="str">
        <f t="shared" si="11"/>
        <v>物业管理</v>
      </c>
      <c r="R38" s="3849" t="s">
        <v>16</v>
      </c>
      <c r="S38" s="3263">
        <f t="shared" si="12"/>
        <v>100</v>
      </c>
      <c r="T38" s="3849" t="s">
        <v>16</v>
      </c>
      <c r="U38" s="3263">
        <f t="shared" si="13"/>
        <v>100</v>
      </c>
      <c r="V38" s="3849" t="s">
        <v>16</v>
      </c>
      <c r="W38" s="3263">
        <f t="shared" si="14"/>
        <v>100</v>
      </c>
      <c r="X38" s="935"/>
      <c r="Y38" s="4563"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561"/>
      <c r="Q39" s="1533" t="str">
        <f t="shared" si="11"/>
        <v>市政基础设施</v>
      </c>
      <c r="R39" s="3849" t="s">
        <v>16</v>
      </c>
      <c r="S39" s="3263">
        <f t="shared" si="12"/>
        <v>100</v>
      </c>
      <c r="T39" s="3849" t="s">
        <v>16</v>
      </c>
      <c r="U39" s="3263">
        <f t="shared" si="13"/>
        <v>100</v>
      </c>
      <c r="V39" s="3849" t="s">
        <v>16</v>
      </c>
      <c r="W39" s="3263">
        <f t="shared" si="14"/>
        <v>100</v>
      </c>
      <c r="X39" s="935"/>
      <c r="Y39" s="4563"/>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561"/>
      <c r="Q40" s="1533" t="str">
        <f t="shared" si="11"/>
        <v>房型</v>
      </c>
      <c r="R40" s="3849" t="s">
        <v>16</v>
      </c>
      <c r="S40" s="3263">
        <f t="shared" si="12"/>
        <v>100</v>
      </c>
      <c r="T40" s="3849" t="s">
        <v>16</v>
      </c>
      <c r="U40" s="3263">
        <f t="shared" si="13"/>
        <v>100</v>
      </c>
      <c r="V40" s="3849" t="s">
        <v>16</v>
      </c>
      <c r="W40" s="3263">
        <f t="shared" si="14"/>
        <v>100</v>
      </c>
      <c r="X40" s="935"/>
      <c r="Y40" s="4563"/>
      <c r="Z40" s="933" t="str">
        <f t="shared" si="18"/>
        <v>房型</v>
      </c>
      <c r="AA40" s="933">
        <f t="shared" si="15"/>
        <v>1</v>
      </c>
      <c r="AB40" s="933">
        <f t="shared" si="16"/>
        <v>1</v>
      </c>
      <c r="AC40" s="933">
        <f t="shared" si="17"/>
        <v>1</v>
      </c>
    </row>
    <row r="41" spans="1:29" s="279" customFormat="1" ht="28.8">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561"/>
      <c r="Q41" s="2941" t="str">
        <f t="shared" si="11"/>
        <v>单套/主力户型建筑面积</v>
      </c>
      <c r="R41" s="3850" t="s">
        <v>16</v>
      </c>
      <c r="S41" s="3264">
        <f t="shared" si="12"/>
        <v>100</v>
      </c>
      <c r="T41" s="3850" t="s">
        <v>16</v>
      </c>
      <c r="U41" s="3264">
        <f t="shared" si="13"/>
        <v>100</v>
      </c>
      <c r="V41" s="3850" t="s">
        <v>16</v>
      </c>
      <c r="W41" s="3264">
        <f t="shared" si="14"/>
        <v>100</v>
      </c>
      <c r="X41" s="484"/>
      <c r="Y41" s="4563"/>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561"/>
      <c r="Q42" s="1533" t="str">
        <f t="shared" si="11"/>
        <v>内部装修</v>
      </c>
      <c r="R42" s="3849" t="s">
        <v>16</v>
      </c>
      <c r="S42" s="3263">
        <f t="shared" si="12"/>
        <v>100</v>
      </c>
      <c r="T42" s="3849" t="s">
        <v>16</v>
      </c>
      <c r="U42" s="3263">
        <f t="shared" si="13"/>
        <v>100</v>
      </c>
      <c r="V42" s="3849" t="s">
        <v>16</v>
      </c>
      <c r="W42" s="3263">
        <f t="shared" si="14"/>
        <v>100</v>
      </c>
      <c r="X42" s="935"/>
      <c r="Y42" s="4563"/>
      <c r="Z42" s="933" t="str">
        <f t="shared" si="18"/>
        <v>内部装修</v>
      </c>
      <c r="AA42" s="933">
        <f t="shared" si="15"/>
        <v>1</v>
      </c>
      <c r="AB42" s="933">
        <f t="shared" si="16"/>
        <v>1</v>
      </c>
      <c r="AC42" s="933">
        <f t="shared" si="17"/>
        <v>1</v>
      </c>
    </row>
    <row r="43" spans="1:29" ht="28.8">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561"/>
      <c r="Q43" s="1533" t="str">
        <f t="shared" si="11"/>
        <v>内部装修维护情况</v>
      </c>
      <c r="R43" s="3849" t="s">
        <v>16</v>
      </c>
      <c r="S43" s="3263">
        <f t="shared" si="12"/>
        <v>100</v>
      </c>
      <c r="T43" s="3849" t="s">
        <v>16</v>
      </c>
      <c r="U43" s="3263">
        <f t="shared" si="13"/>
        <v>100</v>
      </c>
      <c r="V43" s="3849" t="s">
        <v>16</v>
      </c>
      <c r="W43" s="3263">
        <f t="shared" si="14"/>
        <v>100</v>
      </c>
      <c r="X43" s="935"/>
      <c r="Y43" s="4563"/>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561"/>
      <c r="Q44" s="1731">
        <f t="shared" si="11"/>
        <v>111</v>
      </c>
      <c r="R44" s="3748" t="s">
        <v>16</v>
      </c>
      <c r="S44" s="3262">
        <f t="shared" si="12"/>
        <v>100</v>
      </c>
      <c r="T44" s="3748" t="s">
        <v>16</v>
      </c>
      <c r="U44" s="3262">
        <f t="shared" si="13"/>
        <v>100</v>
      </c>
      <c r="V44" s="3748" t="s">
        <v>16</v>
      </c>
      <c r="W44" s="3262">
        <f t="shared" si="14"/>
        <v>100</v>
      </c>
      <c r="X44" s="482"/>
      <c r="Y44" s="4563"/>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561"/>
      <c r="Q45" s="1533">
        <f t="shared" si="11"/>
        <v>111</v>
      </c>
      <c r="R45" s="3849" t="s">
        <v>16</v>
      </c>
      <c r="S45" s="3263">
        <f t="shared" si="12"/>
        <v>100</v>
      </c>
      <c r="T45" s="3849" t="s">
        <v>16</v>
      </c>
      <c r="U45" s="3263">
        <f t="shared" si="13"/>
        <v>100</v>
      </c>
      <c r="V45" s="3849" t="s">
        <v>16</v>
      </c>
      <c r="W45" s="3263">
        <f t="shared" si="14"/>
        <v>100</v>
      </c>
      <c r="X45" s="935"/>
      <c r="Y45" s="4563"/>
      <c r="Z45" s="933">
        <f t="shared" si="18"/>
        <v>111</v>
      </c>
      <c r="AA45" s="933">
        <f t="shared" si="15"/>
        <v>1</v>
      </c>
      <c r="AB45" s="933">
        <f t="shared" si="16"/>
        <v>1</v>
      </c>
      <c r="AC45" s="933">
        <f t="shared" si="17"/>
        <v>1</v>
      </c>
    </row>
    <row r="46" spans="1:29" ht="15.6"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562"/>
      <c r="Q46" s="1533">
        <f t="shared" si="11"/>
        <v>111</v>
      </c>
      <c r="R46" s="3849" t="s">
        <v>15</v>
      </c>
      <c r="S46" s="3263">
        <f t="shared" si="12"/>
        <v>100</v>
      </c>
      <c r="T46" s="3849" t="s">
        <v>15</v>
      </c>
      <c r="U46" s="3263">
        <f t="shared" si="13"/>
        <v>100</v>
      </c>
      <c r="V46" s="3849" t="s">
        <v>15</v>
      </c>
      <c r="W46" s="3263">
        <f t="shared" si="14"/>
        <v>100</v>
      </c>
      <c r="X46" s="935"/>
      <c r="Y46" s="4564"/>
      <c r="Z46" s="933">
        <f t="shared" si="18"/>
        <v>111</v>
      </c>
      <c r="AA46" s="933">
        <f t="shared" si="15"/>
        <v>1</v>
      </c>
      <c r="AB46" s="933">
        <f t="shared" si="16"/>
        <v>1</v>
      </c>
      <c r="AC46" s="933">
        <f t="shared" si="17"/>
        <v>1</v>
      </c>
    </row>
    <row r="47" spans="1:29" ht="14.4">
      <c r="A47" s="286" t="s">
        <v>1620</v>
      </c>
      <c r="B47" s="287"/>
      <c r="C47" s="787" t="s">
        <v>14</v>
      </c>
      <c r="D47" s="288"/>
      <c r="E47" s="3311"/>
      <c r="F47" s="788"/>
      <c r="G47" s="3312"/>
      <c r="H47" s="789"/>
      <c r="I47" s="3311"/>
      <c r="J47" s="789"/>
      <c r="K47" s="2885"/>
      <c r="L47" s="2015"/>
      <c r="M47" s="2008"/>
      <c r="N47" s="2008"/>
      <c r="O47" s="2008"/>
      <c r="P47" s="4551" t="str">
        <f>A47</f>
        <v>成交单价（元/平方米）</v>
      </c>
      <c r="Q47" s="4551"/>
      <c r="R47" s="4552">
        <f>E47</f>
        <v>0</v>
      </c>
      <c r="S47" s="4552"/>
      <c r="T47" s="4552">
        <f>G47</f>
        <v>0</v>
      </c>
      <c r="U47" s="4552"/>
      <c r="V47" s="4552">
        <f>I47</f>
        <v>0</v>
      </c>
      <c r="W47" s="4552"/>
      <c r="X47" s="265"/>
      <c r="Y47" s="486"/>
      <c r="Z47" s="265"/>
      <c r="AA47" s="265"/>
      <c r="AB47" s="265"/>
      <c r="AC47" s="265"/>
    </row>
    <row r="48" spans="1:29" ht="1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551" t="str">
        <f>A48</f>
        <v>比较价值（元/平方米）</v>
      </c>
      <c r="Q48" s="4551"/>
      <c r="R48" s="4552" t="e">
        <f>IF(F1="售价",ROUND(PRODUCT(R47,AA7:AA46),0),ROUND(PRODUCT(R47,AA7:AA46),1))</f>
        <v>#DIV/0!</v>
      </c>
      <c r="S48" s="4552"/>
      <c r="T48" s="4552" t="e">
        <f>IF(F1="售价",ROUND(PRODUCT(T47,AB7:AB46),0),ROUND(PRODUCT(T47,AB7:AB46),1))</f>
        <v>#DIV/0!</v>
      </c>
      <c r="U48" s="4552"/>
      <c r="V48" s="4552" t="e">
        <f>IF(F1="售价",ROUND(PRODUCT(V47,AC7:AC46),0),ROUND(PRODUCT(V47,AC7:AC46),1))</f>
        <v>#DIV/0!</v>
      </c>
      <c r="W48" s="4552"/>
      <c r="X48" s="265"/>
      <c r="Y48" s="265"/>
      <c r="Z48" s="265"/>
      <c r="AA48" s="265"/>
      <c r="AB48" s="265"/>
      <c r="AC48" s="265"/>
    </row>
    <row r="49" spans="1:29" ht="15" thickBot="1">
      <c r="A49" s="291" t="s">
        <v>1622</v>
      </c>
      <c r="B49" s="292"/>
      <c r="C49" s="3848" t="e">
        <f>R49</f>
        <v>#DIV/0!</v>
      </c>
      <c r="D49" s="241"/>
      <c r="E49" s="241"/>
      <c r="F49" s="241"/>
      <c r="G49" s="241"/>
      <c r="H49" s="241"/>
      <c r="I49" s="241"/>
      <c r="J49" s="241"/>
      <c r="K49" s="1398"/>
      <c r="L49" s="2015"/>
      <c r="M49" s="2008"/>
      <c r="N49" s="2008"/>
      <c r="O49" s="2008"/>
      <c r="P49" s="4666" t="str">
        <f>A49</f>
        <v>估价对象XX用房的比较价值（楼面单价，元/平方米）</v>
      </c>
      <c r="Q49" s="4667"/>
      <c r="R49" s="4668" t="e">
        <f>IF(F1="售价",ROUND(IF(D48="简单平均",AVERAGE(R48:V48),R48*F48+T48*H48+V48*J48),0),ROUND(IF(D48="简单平均",AVERAGE(R48:V48),R48*F48+T48*H48+V48*J48),1))</f>
        <v>#DIV/0!</v>
      </c>
      <c r="S49" s="4668"/>
      <c r="T49" s="4668"/>
      <c r="U49" s="4668"/>
      <c r="V49" s="4668"/>
      <c r="W49" s="4668"/>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2.2" thickBot="1">
      <c r="A57" s="476" t="s">
        <v>1626</v>
      </c>
      <c r="B57" s="265"/>
      <c r="C57" s="477"/>
      <c r="D57" s="477"/>
      <c r="E57" s="477"/>
      <c r="F57" s="478"/>
      <c r="G57" s="478"/>
      <c r="H57" s="477"/>
      <c r="I57" s="477"/>
      <c r="J57" s="477"/>
      <c r="K57" s="637"/>
      <c r="L57" s="638"/>
      <c r="M57" s="636"/>
      <c r="N57" s="636"/>
      <c r="O57" s="636"/>
      <c r="P57" s="1401"/>
      <c r="Q57" s="302"/>
    </row>
    <row r="58" spans="1:29" s="305" customFormat="1" ht="14.4">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c r="A59" s="306"/>
      <c r="B59" s="1402"/>
      <c r="C59" s="802">
        <v>100</v>
      </c>
      <c r="D59" s="308"/>
      <c r="E59" s="309"/>
      <c r="F59" s="309"/>
      <c r="G59" s="309"/>
      <c r="H59" s="309"/>
      <c r="I59" s="309"/>
      <c r="J59" s="309"/>
      <c r="K59" s="309"/>
      <c r="L59" s="309"/>
      <c r="M59" s="310"/>
      <c r="N59" s="309"/>
      <c r="O59" s="310"/>
      <c r="P59" s="1403"/>
    </row>
    <row r="60" spans="1:29" s="46" customFormat="1" ht="15" thickBot="1">
      <c r="A60" s="312" t="s">
        <v>1628</v>
      </c>
      <c r="B60" s="313"/>
      <c r="C60" s="314"/>
      <c r="D60" s="315"/>
      <c r="E60" s="315"/>
      <c r="F60" s="315"/>
      <c r="G60" s="315"/>
      <c r="H60" s="315"/>
      <c r="I60" s="315"/>
      <c r="J60" s="315"/>
      <c r="K60" s="315"/>
      <c r="L60" s="315"/>
      <c r="M60" s="316"/>
      <c r="N60" s="315"/>
      <c r="O60" s="316"/>
      <c r="P60" s="1403"/>
      <c r="Q60" s="302"/>
    </row>
    <row r="61" spans="1:29" s="46" customFormat="1" ht="14.4">
      <c r="A61" s="318" t="s">
        <v>1629</v>
      </c>
      <c r="B61" s="307"/>
      <c r="C61" s="319" t="s">
        <v>1630</v>
      </c>
      <c r="D61" s="20"/>
      <c r="E61" s="20"/>
      <c r="F61" s="20"/>
      <c r="G61" s="20"/>
      <c r="H61" s="20"/>
      <c r="I61" s="20"/>
      <c r="J61" s="20"/>
      <c r="K61" s="20"/>
      <c r="L61" s="320"/>
      <c r="M61" s="321"/>
      <c r="N61" s="628"/>
      <c r="O61" s="628"/>
      <c r="P61" s="1404"/>
      <c r="Q61" s="302"/>
    </row>
    <row r="62" spans="1:29" s="46" customFormat="1" ht="14.4" thickBot="1">
      <c r="A62" s="318"/>
      <c r="B62" s="307"/>
      <c r="C62" s="308">
        <v>100</v>
      </c>
      <c r="D62" s="309"/>
      <c r="E62" s="309"/>
      <c r="F62" s="309"/>
      <c r="G62" s="309"/>
      <c r="H62" s="309"/>
      <c r="I62" s="309"/>
      <c r="J62" s="309"/>
      <c r="K62" s="309"/>
      <c r="L62" s="309"/>
      <c r="M62" s="311"/>
      <c r="N62" s="628"/>
      <c r="O62" s="628"/>
      <c r="P62" s="1403"/>
      <c r="Q62" s="302"/>
    </row>
    <row r="63" spans="1:29" ht="14.4">
      <c r="A63" s="262" t="s">
        <v>1631</v>
      </c>
      <c r="B63" s="322" t="s">
        <v>1597</v>
      </c>
      <c r="C63" s="323">
        <f>C9</f>
        <v>0</v>
      </c>
      <c r="D63" s="324"/>
      <c r="E63" s="324"/>
      <c r="F63" s="324"/>
      <c r="G63" s="324"/>
      <c r="H63" s="324"/>
      <c r="I63" s="324"/>
      <c r="J63" s="324"/>
      <c r="K63" s="325"/>
      <c r="L63" s="326"/>
      <c r="M63" s="327"/>
      <c r="N63" s="629"/>
      <c r="O63" s="629"/>
      <c r="P63" s="1405"/>
      <c r="Q63" s="302"/>
    </row>
    <row r="64" spans="1:29" ht="14.4" thickBot="1">
      <c r="A64" s="254"/>
      <c r="B64" s="328"/>
      <c r="C64" s="329">
        <v>100</v>
      </c>
      <c r="D64" s="329"/>
      <c r="E64" s="329"/>
      <c r="F64" s="329"/>
      <c r="G64" s="329"/>
      <c r="H64" s="329"/>
      <c r="I64" s="329"/>
      <c r="J64" s="329"/>
      <c r="K64" s="329"/>
      <c r="L64" s="329"/>
      <c r="M64" s="330"/>
      <c r="N64" s="630"/>
      <c r="O64" s="630"/>
      <c r="P64" s="1405"/>
      <c r="Q64" s="302"/>
    </row>
    <row r="65" spans="1:17" ht="29.4" thickTop="1">
      <c r="A65" s="254"/>
      <c r="B65" s="331" t="s">
        <v>1600</v>
      </c>
      <c r="C65" s="372"/>
      <c r="D65" s="372"/>
      <c r="E65" s="372"/>
      <c r="F65" s="372"/>
      <c r="G65" s="372"/>
      <c r="H65" s="372"/>
      <c r="I65" s="372"/>
      <c r="J65" s="372"/>
      <c r="K65" s="372"/>
      <c r="L65" s="372"/>
      <c r="M65" s="372"/>
      <c r="N65" s="630"/>
      <c r="O65" s="630"/>
      <c r="P65" s="1405"/>
      <c r="Q65" s="302"/>
    </row>
    <row r="66" spans="1:17" ht="15" thickBot="1">
      <c r="A66" s="254"/>
      <c r="B66" s="336" t="s">
        <v>3881</v>
      </c>
      <c r="C66" s="329"/>
      <c r="D66" s="329"/>
      <c r="E66" s="329"/>
      <c r="F66" s="329"/>
      <c r="G66" s="329"/>
      <c r="H66" s="329"/>
      <c r="I66" s="329"/>
      <c r="J66" s="329"/>
      <c r="K66" s="329"/>
      <c r="L66" s="329"/>
      <c r="M66" s="330"/>
      <c r="N66" s="630"/>
      <c r="O66" s="630"/>
      <c r="P66" s="1405"/>
      <c r="Q66" s="302"/>
    </row>
    <row r="67" spans="1:17" ht="1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c r="A68" s="254"/>
      <c r="B68" s="341"/>
      <c r="C68" s="342">
        <v>0</v>
      </c>
      <c r="D68" s="342">
        <v>0.5</v>
      </c>
      <c r="E68" s="342">
        <v>1</v>
      </c>
      <c r="F68" s="342">
        <v>1.5</v>
      </c>
      <c r="G68" s="342">
        <v>2</v>
      </c>
      <c r="H68" s="342"/>
      <c r="I68" s="342"/>
      <c r="J68" s="342"/>
      <c r="K68" s="343"/>
      <c r="L68" s="344"/>
      <c r="M68" s="345"/>
      <c r="N68" s="629"/>
      <c r="O68" s="629"/>
      <c r="P68" s="1405"/>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4.4" thickTop="1">
      <c r="A70" s="346"/>
      <c r="B70" s="331">
        <f>B12</f>
        <v>111</v>
      </c>
      <c r="C70" s="347"/>
      <c r="D70" s="347"/>
      <c r="E70" s="347"/>
      <c r="F70" s="347"/>
      <c r="G70" s="347"/>
      <c r="H70" s="348"/>
      <c r="I70" s="348"/>
      <c r="J70" s="348"/>
      <c r="K70" s="348"/>
      <c r="L70" s="349"/>
      <c r="M70" s="350"/>
      <c r="N70" s="631"/>
      <c r="O70" s="631"/>
      <c r="P70" s="1406"/>
      <c r="Q70" s="351"/>
    </row>
    <row r="71" spans="1:17" s="279" customFormat="1" ht="14.4" thickBot="1">
      <c r="A71" s="346"/>
      <c r="B71" s="336"/>
      <c r="C71" s="352"/>
      <c r="D71" s="329"/>
      <c r="E71" s="329"/>
      <c r="F71" s="329"/>
      <c r="G71" s="329"/>
      <c r="H71" s="329"/>
      <c r="I71" s="329"/>
      <c r="J71" s="329"/>
      <c r="K71" s="329"/>
      <c r="L71" s="329"/>
      <c r="M71" s="330"/>
      <c r="N71" s="630"/>
      <c r="O71" s="630"/>
      <c r="P71" s="1406"/>
      <c r="Q71" s="351"/>
    </row>
    <row r="72" spans="1:17" s="279" customFormat="1" ht="14.4" thickTop="1">
      <c r="A72" s="346"/>
      <c r="B72" s="331">
        <f>B13</f>
        <v>111</v>
      </c>
      <c r="C72" s="347"/>
      <c r="D72" s="347"/>
      <c r="E72" s="347"/>
      <c r="F72" s="347"/>
      <c r="G72" s="347"/>
      <c r="H72" s="348"/>
      <c r="I72" s="348"/>
      <c r="J72" s="348"/>
      <c r="K72" s="348"/>
      <c r="L72" s="349"/>
      <c r="M72" s="350"/>
      <c r="N72" s="631"/>
      <c r="O72" s="631"/>
      <c r="P72" s="1407"/>
      <c r="Q72" s="353"/>
    </row>
    <row r="73" spans="1:17" s="279" customFormat="1" ht="14.4" thickBot="1">
      <c r="A73" s="346"/>
      <c r="B73" s="336"/>
      <c r="C73" s="352"/>
      <c r="D73" s="352"/>
      <c r="E73" s="352"/>
      <c r="F73" s="352"/>
      <c r="G73" s="352"/>
      <c r="H73" s="354"/>
      <c r="I73" s="354"/>
      <c r="J73" s="354"/>
      <c r="K73" s="354"/>
      <c r="L73" s="354"/>
      <c r="M73" s="355"/>
      <c r="N73" s="631"/>
      <c r="O73" s="631"/>
      <c r="P73" s="1406"/>
      <c r="Q73" s="351"/>
    </row>
    <row r="74" spans="1:17" s="279" customFormat="1" ht="14.4" thickTop="1">
      <c r="A74" s="346"/>
      <c r="B74" s="339">
        <f>B14</f>
        <v>111</v>
      </c>
      <c r="C74" s="347"/>
      <c r="D74" s="347"/>
      <c r="E74" s="347"/>
      <c r="F74" s="347"/>
      <c r="G74" s="20"/>
      <c r="H74" s="356"/>
      <c r="I74" s="356"/>
      <c r="J74" s="356"/>
      <c r="K74" s="356"/>
      <c r="L74" s="357"/>
      <c r="M74" s="358"/>
      <c r="N74" s="631"/>
      <c r="O74" s="631"/>
      <c r="P74" s="1408"/>
      <c r="Q74" s="351"/>
    </row>
    <row r="75" spans="1:17" s="279" customFormat="1" ht="14.4" thickBot="1">
      <c r="A75" s="359"/>
      <c r="B75" s="360"/>
      <c r="C75" s="361"/>
      <c r="D75" s="361"/>
      <c r="E75" s="361"/>
      <c r="F75" s="361"/>
      <c r="G75" s="361"/>
      <c r="H75" s="362"/>
      <c r="I75" s="362"/>
      <c r="J75" s="362"/>
      <c r="K75" s="362"/>
      <c r="L75" s="362"/>
      <c r="M75" s="363"/>
      <c r="N75" s="631"/>
      <c r="O75" s="631"/>
      <c r="P75" s="1406"/>
      <c r="Q75" s="351"/>
    </row>
    <row r="76" spans="1:17" ht="14.4">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 thickTop="1">
      <c r="A86" s="257"/>
      <c r="B86" s="331" t="s">
        <v>1646</v>
      </c>
      <c r="C86" s="347"/>
      <c r="D86" s="347"/>
      <c r="E86" s="347"/>
      <c r="F86" s="347"/>
      <c r="G86" s="347"/>
      <c r="H86" s="347"/>
      <c r="I86" s="347"/>
      <c r="J86" s="347"/>
      <c r="K86" s="347"/>
      <c r="L86" s="369"/>
      <c r="M86" s="370"/>
      <c r="N86" s="628"/>
      <c r="O86" s="628"/>
      <c r="P86" s="1405"/>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 thickTop="1">
      <c r="A88" s="257"/>
      <c r="B88" s="331" t="s">
        <v>1647</v>
      </c>
      <c r="C88" s="347"/>
      <c r="D88" s="347"/>
      <c r="E88" s="347"/>
      <c r="F88" s="1410"/>
      <c r="G88" s="347"/>
      <c r="H88" s="347"/>
      <c r="I88" s="347"/>
      <c r="J88" s="347"/>
      <c r="K88" s="347"/>
      <c r="L88" s="347"/>
      <c r="M88" s="370"/>
      <c r="N88" s="628"/>
      <c r="O88" s="628"/>
      <c r="P88" s="1405"/>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4.4" thickTop="1">
      <c r="A90" s="346"/>
      <c r="B90" s="331">
        <f>B27</f>
        <v>111</v>
      </c>
      <c r="C90" s="347"/>
      <c r="D90" s="347"/>
      <c r="E90" s="347"/>
      <c r="F90" s="347"/>
      <c r="G90" s="347"/>
      <c r="H90" s="348"/>
      <c r="I90" s="348"/>
      <c r="J90" s="348"/>
      <c r="K90" s="348"/>
      <c r="L90" s="349"/>
      <c r="M90" s="350"/>
      <c r="N90" s="631"/>
      <c r="O90" s="631"/>
      <c r="P90" s="1406"/>
      <c r="Q90" s="351"/>
    </row>
    <row r="91" spans="1:17" s="279" customFormat="1" ht="14.4" thickBot="1">
      <c r="A91" s="346"/>
      <c r="B91" s="336"/>
      <c r="C91" s="352"/>
      <c r="D91" s="352"/>
      <c r="E91" s="352"/>
      <c r="F91" s="352"/>
      <c r="G91" s="352"/>
      <c r="H91" s="354"/>
      <c r="I91" s="354"/>
      <c r="J91" s="354"/>
      <c r="K91" s="354"/>
      <c r="L91" s="354"/>
      <c r="M91" s="355"/>
      <c r="N91" s="631"/>
      <c r="O91" s="631"/>
      <c r="P91" s="1406"/>
      <c r="Q91" s="351"/>
    </row>
    <row r="92" spans="1:17" ht="14.4" thickTop="1">
      <c r="A92" s="254"/>
      <c r="B92" s="331">
        <f>B28</f>
        <v>111</v>
      </c>
      <c r="C92" s="347"/>
      <c r="D92" s="347"/>
      <c r="E92" s="347"/>
      <c r="F92" s="347"/>
      <c r="G92" s="372"/>
      <c r="H92" s="372"/>
      <c r="I92" s="372"/>
      <c r="J92" s="372"/>
      <c r="K92" s="373"/>
      <c r="L92" s="374"/>
      <c r="M92" s="375"/>
      <c r="N92" s="629"/>
      <c r="O92" s="629"/>
      <c r="P92" s="1405"/>
      <c r="Q92" s="302"/>
    </row>
    <row r="93" spans="1:17" ht="14.4" thickBot="1">
      <c r="A93" s="254"/>
      <c r="B93" s="336"/>
      <c r="C93" s="352"/>
      <c r="D93" s="329"/>
      <c r="E93" s="329"/>
      <c r="F93" s="329"/>
      <c r="G93" s="329"/>
      <c r="H93" s="329"/>
      <c r="I93" s="329"/>
      <c r="J93" s="329"/>
      <c r="K93" s="329"/>
      <c r="L93" s="329"/>
      <c r="M93" s="330"/>
      <c r="N93" s="630"/>
      <c r="O93" s="630"/>
      <c r="P93" s="1405"/>
      <c r="Q93" s="302"/>
    </row>
    <row r="94" spans="1:17" ht="14.4" thickTop="1">
      <c r="A94" s="254"/>
      <c r="B94" s="331">
        <f>B29</f>
        <v>111</v>
      </c>
      <c r="C94" s="347"/>
      <c r="D94" s="347"/>
      <c r="E94" s="347"/>
      <c r="F94" s="347"/>
      <c r="G94" s="372"/>
      <c r="H94" s="372"/>
      <c r="I94" s="372"/>
      <c r="J94" s="372"/>
      <c r="K94" s="373"/>
      <c r="L94" s="374"/>
      <c r="M94" s="375"/>
      <c r="N94" s="629"/>
      <c r="O94" s="629"/>
      <c r="P94" s="1405"/>
      <c r="Q94" s="302"/>
    </row>
    <row r="95" spans="1:17" ht="14.4" thickBot="1">
      <c r="A95" s="254"/>
      <c r="B95" s="336"/>
      <c r="C95" s="352"/>
      <c r="D95" s="352"/>
      <c r="E95" s="352"/>
      <c r="F95" s="352"/>
      <c r="G95" s="329"/>
      <c r="H95" s="329"/>
      <c r="I95" s="329"/>
      <c r="J95" s="329"/>
      <c r="K95" s="329"/>
      <c r="L95" s="329"/>
      <c r="M95" s="330"/>
      <c r="N95" s="630"/>
      <c r="O95" s="630"/>
      <c r="P95" s="1405"/>
      <c r="Q95" s="302"/>
    </row>
    <row r="96" spans="1:17" ht="14.4" thickTop="1">
      <c r="A96" s="254"/>
      <c r="B96" s="331">
        <f>B30</f>
        <v>111</v>
      </c>
      <c r="C96" s="347"/>
      <c r="D96" s="347"/>
      <c r="E96" s="347"/>
      <c r="F96" s="347"/>
      <c r="G96" s="372"/>
      <c r="H96" s="372"/>
      <c r="I96" s="372"/>
      <c r="J96" s="372"/>
      <c r="K96" s="373"/>
      <c r="L96" s="374"/>
      <c r="M96" s="375"/>
      <c r="N96" s="629"/>
      <c r="O96" s="629"/>
      <c r="P96" s="1405"/>
      <c r="Q96" s="302"/>
    </row>
    <row r="97" spans="1:17" ht="14.4" thickBot="1">
      <c r="A97" s="254"/>
      <c r="B97" s="336"/>
      <c r="C97" s="361"/>
      <c r="D97" s="361"/>
      <c r="E97" s="361"/>
      <c r="F97" s="361"/>
      <c r="G97" s="329"/>
      <c r="H97" s="329"/>
      <c r="I97" s="329"/>
      <c r="J97" s="329"/>
      <c r="K97" s="329"/>
      <c r="L97" s="329"/>
      <c r="M97" s="330"/>
      <c r="N97" s="630"/>
      <c r="O97" s="630"/>
      <c r="P97" s="1405"/>
      <c r="Q97" s="302"/>
    </row>
    <row r="98" spans="1:17" ht="14.4" thickTop="1">
      <c r="A98" s="254"/>
      <c r="B98" s="339">
        <f>B31</f>
        <v>111</v>
      </c>
      <c r="C98" s="376"/>
      <c r="D98" s="376"/>
      <c r="E98" s="376"/>
      <c r="F98" s="376"/>
      <c r="G98" s="376"/>
      <c r="H98" s="376"/>
      <c r="I98" s="376"/>
      <c r="J98" s="376"/>
      <c r="K98" s="377"/>
      <c r="L98" s="378"/>
      <c r="M98" s="379"/>
      <c r="N98" s="629"/>
      <c r="O98" s="629"/>
      <c r="P98" s="1405"/>
      <c r="Q98" s="302"/>
    </row>
    <row r="99" spans="1:17" ht="14.4" thickBot="1">
      <c r="A99" s="260"/>
      <c r="B99" s="360"/>
      <c r="C99" s="380"/>
      <c r="D99" s="380"/>
      <c r="E99" s="380"/>
      <c r="F99" s="380"/>
      <c r="G99" s="380"/>
      <c r="H99" s="380"/>
      <c r="I99" s="380"/>
      <c r="J99" s="380"/>
      <c r="K99" s="380"/>
      <c r="L99" s="380"/>
      <c r="M99" s="381"/>
      <c r="N99" s="630"/>
      <c r="O99" s="630"/>
      <c r="P99" s="1405"/>
      <c r="Q99" s="302"/>
    </row>
    <row r="100" spans="1:17" ht="14.4">
      <c r="A100" s="262" t="s">
        <v>1606</v>
      </c>
      <c r="B100" s="322" t="s">
        <v>1648</v>
      </c>
      <c r="C100" s="324"/>
      <c r="D100" s="324"/>
      <c r="E100" s="324"/>
      <c r="F100" s="324"/>
      <c r="G100" s="324"/>
      <c r="H100" s="324"/>
      <c r="I100" s="324"/>
      <c r="J100" s="324"/>
      <c r="K100" s="325"/>
      <c r="L100" s="326"/>
      <c r="M100" s="327"/>
      <c r="N100" s="629"/>
      <c r="O100" s="629"/>
      <c r="P100" s="1405"/>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4.4"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28.2"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9.4"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4.4"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29.4"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4.4"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4.4" thickBot="1">
      <c r="A127" s="346"/>
      <c r="B127" s="336"/>
      <c r="C127" s="352"/>
      <c r="D127" s="329"/>
      <c r="E127" s="329"/>
      <c r="F127" s="329"/>
      <c r="G127" s="352"/>
      <c r="H127" s="354"/>
      <c r="I127" s="354"/>
      <c r="J127" s="354"/>
      <c r="K127" s="354"/>
      <c r="L127" s="354"/>
      <c r="M127" s="355"/>
      <c r="N127" s="631"/>
      <c r="O127" s="631"/>
      <c r="P127" s="1406"/>
      <c r="Q127" s="351"/>
    </row>
    <row r="128" spans="1:17" ht="14.4" thickTop="1">
      <c r="A128" s="280"/>
      <c r="B128" s="331">
        <f>B45</f>
        <v>111</v>
      </c>
      <c r="C128" s="347"/>
      <c r="D128" s="347"/>
      <c r="E128" s="347"/>
      <c r="F128" s="347"/>
      <c r="G128" s="372"/>
      <c r="H128" s="372"/>
      <c r="I128" s="372"/>
      <c r="J128" s="372"/>
      <c r="K128" s="373"/>
      <c r="L128" s="374"/>
      <c r="M128" s="375"/>
      <c r="N128" s="629"/>
      <c r="O128" s="629"/>
      <c r="P128" s="1405"/>
      <c r="Q128" s="302"/>
    </row>
    <row r="129" spans="1:17" ht="14.4" thickBot="1">
      <c r="A129" s="254"/>
      <c r="B129" s="336"/>
      <c r="C129" s="352"/>
      <c r="D129" s="352"/>
      <c r="E129" s="352"/>
      <c r="F129" s="352"/>
      <c r="G129" s="329"/>
      <c r="H129" s="329"/>
      <c r="I129" s="329"/>
      <c r="J129" s="329"/>
      <c r="K129" s="329"/>
      <c r="L129" s="329"/>
      <c r="M129" s="330"/>
      <c r="N129" s="630"/>
      <c r="O129" s="630"/>
      <c r="P129" s="1405"/>
      <c r="Q129" s="302"/>
    </row>
    <row r="130" spans="1:17" ht="14.4" thickTop="1">
      <c r="A130" s="280"/>
      <c r="B130" s="339">
        <f>B46</f>
        <v>111</v>
      </c>
      <c r="C130" s="347"/>
      <c r="D130" s="347"/>
      <c r="E130" s="347"/>
      <c r="F130" s="347"/>
      <c r="G130" s="376"/>
      <c r="H130" s="376"/>
      <c r="I130" s="376"/>
      <c r="J130" s="376"/>
      <c r="K130" s="20"/>
      <c r="L130" s="320"/>
      <c r="M130" s="379"/>
      <c r="N130" s="629"/>
      <c r="O130" s="629"/>
      <c r="P130" s="1405"/>
      <c r="Q130" s="302"/>
    </row>
    <row r="131" spans="1:17" ht="14.4"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6.2"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ht="14.4">
      <c r="B147" s="1411" t="s">
        <v>1676</v>
      </c>
    </row>
    <row r="148" spans="2:11" ht="14.4">
      <c r="B148" s="1411" t="s">
        <v>1677</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57408.26</v>
      </c>
      <c r="E3" s="3961" t="s">
        <v>3478</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4.4">
      <c r="A4" s="235" t="s">
        <v>1681</v>
      </c>
      <c r="B4" s="236"/>
      <c r="C4" s="4670" t="s">
        <v>1682</v>
      </c>
      <c r="D4" s="4671"/>
      <c r="E4" s="4672" t="s">
        <v>1683</v>
      </c>
      <c r="F4" s="4673"/>
      <c r="G4" s="4670" t="s">
        <v>1684</v>
      </c>
      <c r="H4" s="4671"/>
      <c r="I4" s="4670" t="s">
        <v>1685</v>
      </c>
      <c r="J4" s="4671"/>
      <c r="K4" s="2940" t="s">
        <v>1686</v>
      </c>
      <c r="L4" s="2007"/>
      <c r="M4" s="2008"/>
      <c r="N4" s="2008"/>
      <c r="O4" s="2008"/>
      <c r="P4" s="4674" t="s">
        <v>1687</v>
      </c>
      <c r="Q4" s="4675"/>
      <c r="R4" s="4678" t="s">
        <v>1683</v>
      </c>
      <c r="S4" s="4679"/>
      <c r="T4" s="4678" t="s">
        <v>1684</v>
      </c>
      <c r="U4" s="4679"/>
      <c r="V4" s="4586" t="s">
        <v>1685</v>
      </c>
      <c r="W4" s="4586"/>
      <c r="X4" s="935"/>
      <c r="Y4" s="4685" t="s">
        <v>1687</v>
      </c>
      <c r="Z4" s="4686"/>
      <c r="AA4" s="4669" t="s">
        <v>1683</v>
      </c>
      <c r="AB4" s="4691" t="s">
        <v>1684</v>
      </c>
      <c r="AC4" s="4669" t="s">
        <v>1685</v>
      </c>
    </row>
    <row r="5" spans="1:29">
      <c r="A5" s="238"/>
      <c r="B5" s="239"/>
      <c r="C5" s="4682" t="s">
        <v>1585</v>
      </c>
      <c r="D5" s="4683"/>
      <c r="E5" s="4689" t="s">
        <v>1586</v>
      </c>
      <c r="F5" s="4690"/>
      <c r="G5" s="4682" t="s">
        <v>1587</v>
      </c>
      <c r="H5" s="4683"/>
      <c r="I5" s="4682" t="s">
        <v>1588</v>
      </c>
      <c r="J5" s="4683"/>
      <c r="K5" s="2940"/>
      <c r="L5" s="2007"/>
      <c r="M5" s="2008"/>
      <c r="N5" s="2008"/>
      <c r="O5" s="2008"/>
      <c r="P5" s="4676"/>
      <c r="Q5" s="4576"/>
      <c r="R5" s="4581"/>
      <c r="S5" s="4582"/>
      <c r="T5" s="4581"/>
      <c r="U5" s="4582"/>
      <c r="V5" s="4586"/>
      <c r="W5" s="4586"/>
      <c r="X5" s="935"/>
      <c r="Y5" s="4597"/>
      <c r="Z5" s="4598"/>
      <c r="AA5" s="4606"/>
      <c r="AB5" s="4691"/>
      <c r="AC5" s="4606"/>
    </row>
    <row r="6" spans="1:29" ht="15" thickBot="1">
      <c r="A6" s="240"/>
      <c r="B6" s="241"/>
      <c r="C6" s="4680" t="s">
        <v>1589</v>
      </c>
      <c r="D6" s="4681"/>
      <c r="E6" s="4687" t="s">
        <v>1589</v>
      </c>
      <c r="F6" s="4688"/>
      <c r="G6" s="4680" t="s">
        <v>1589</v>
      </c>
      <c r="H6" s="4681"/>
      <c r="I6" s="4680" t="s">
        <v>1589</v>
      </c>
      <c r="J6" s="4681"/>
      <c r="K6" s="2940" t="s">
        <v>1590</v>
      </c>
      <c r="L6" s="2007"/>
      <c r="M6" s="2008"/>
      <c r="N6" s="2008"/>
      <c r="O6" s="2008"/>
      <c r="P6" s="4677"/>
      <c r="Q6" s="4578"/>
      <c r="R6" s="4581"/>
      <c r="S6" s="4582"/>
      <c r="T6" s="4583"/>
      <c r="U6" s="4584"/>
      <c r="V6" s="4586"/>
      <c r="W6" s="4586"/>
      <c r="X6" s="935"/>
      <c r="Y6" s="4599"/>
      <c r="Z6" s="4600"/>
      <c r="AA6" s="4607"/>
      <c r="AB6" s="4691"/>
      <c r="AC6" s="4607"/>
    </row>
    <row r="7" spans="1:29" s="46" customFormat="1" ht="15" thickBot="1">
      <c r="A7" s="242" t="s">
        <v>1591</v>
      </c>
      <c r="B7" s="243"/>
      <c r="C7" s="244">
        <f>'数据-取费表'!B2</f>
        <v>46049</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684" t="s">
        <v>1592</v>
      </c>
      <c r="Q7" s="4601"/>
      <c r="R7" s="3748" t="s">
        <v>13</v>
      </c>
      <c r="S7" s="3262">
        <f t="shared" ref="S7:S15" si="0">F7</f>
        <v>0</v>
      </c>
      <c r="T7" s="3748" t="s">
        <v>13</v>
      </c>
      <c r="U7" s="3262">
        <f t="shared" ref="U7:U15" si="1">H7</f>
        <v>0</v>
      </c>
      <c r="V7" s="3748" t="s">
        <v>13</v>
      </c>
      <c r="W7" s="3262">
        <f t="shared" ref="W7:W15" si="2">J7</f>
        <v>0</v>
      </c>
      <c r="X7" s="482"/>
      <c r="Y7" s="4593" t="s">
        <v>1592</v>
      </c>
      <c r="Z7" s="4594"/>
      <c r="AA7" s="28" t="e">
        <f>D7/F7</f>
        <v>#DIV/0!</v>
      </c>
      <c r="AB7" s="28" t="e">
        <f>D7/H7</f>
        <v>#DIV/0!</v>
      </c>
      <c r="AC7" s="28" t="e">
        <f>D7/J7</f>
        <v>#DIV/0!</v>
      </c>
    </row>
    <row r="8" spans="1:29" s="46" customFormat="1" ht="1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684" t="s">
        <v>1595</v>
      </c>
      <c r="Q8" s="4592"/>
      <c r="R8" s="3748" t="s">
        <v>13</v>
      </c>
      <c r="S8" s="3262">
        <f t="shared" si="0"/>
        <v>100</v>
      </c>
      <c r="T8" s="3748" t="s">
        <v>13</v>
      </c>
      <c r="U8" s="3262">
        <f t="shared" si="1"/>
        <v>100</v>
      </c>
      <c r="V8" s="3748" t="s">
        <v>13</v>
      </c>
      <c r="W8" s="3262">
        <f t="shared" si="2"/>
        <v>100</v>
      </c>
      <c r="X8" s="482"/>
      <c r="Y8" s="4593" t="s">
        <v>1595</v>
      </c>
      <c r="Z8" s="4594"/>
      <c r="AA8" s="28">
        <f t="shared" ref="AA8:AA46" si="3">D8/F8</f>
        <v>1</v>
      </c>
      <c r="AB8" s="28">
        <f t="shared" ref="AB8:AB46" si="4">D8/H8</f>
        <v>1</v>
      </c>
      <c r="AC8" s="28">
        <f t="shared" ref="AC8:AC46" si="5">D8/J8</f>
        <v>1</v>
      </c>
    </row>
    <row r="9" spans="1:29" s="46" customFormat="1" ht="14.4">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50" t="s">
        <v>1598</v>
      </c>
      <c r="Q9" s="1731" t="str">
        <f t="shared" ref="Q9:Q15" si="6">B9</f>
        <v>用途</v>
      </c>
      <c r="R9" s="3748" t="s">
        <v>13</v>
      </c>
      <c r="S9" s="3262">
        <f t="shared" si="0"/>
        <v>100</v>
      </c>
      <c r="T9" s="3748" t="s">
        <v>13</v>
      </c>
      <c r="U9" s="3262">
        <f t="shared" si="1"/>
        <v>100</v>
      </c>
      <c r="V9" s="3748" t="s">
        <v>13</v>
      </c>
      <c r="W9" s="3262">
        <f t="shared" si="2"/>
        <v>100</v>
      </c>
      <c r="X9" s="482"/>
      <c r="Y9" s="4565"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50"/>
      <c r="Q10" s="1731" t="str">
        <f t="shared" si="6"/>
        <v>土地使用年限（年）</v>
      </c>
      <c r="R10" s="3748" t="s">
        <v>13</v>
      </c>
      <c r="S10" s="3262">
        <f t="shared" si="0"/>
        <v>100</v>
      </c>
      <c r="T10" s="3748" t="s">
        <v>13</v>
      </c>
      <c r="U10" s="3262">
        <f t="shared" si="1"/>
        <v>100</v>
      </c>
      <c r="V10" s="3748" t="s">
        <v>13</v>
      </c>
      <c r="W10" s="3262">
        <f t="shared" si="2"/>
        <v>100</v>
      </c>
      <c r="X10" s="482"/>
      <c r="Y10" s="4565"/>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50"/>
      <c r="Q11" s="1731" t="str">
        <f t="shared" si="6"/>
        <v>容积率</v>
      </c>
      <c r="R11" s="3748" t="s">
        <v>13</v>
      </c>
      <c r="S11" s="3262">
        <f t="shared" si="0"/>
        <v>100</v>
      </c>
      <c r="T11" s="3748" t="s">
        <v>13</v>
      </c>
      <c r="U11" s="3262">
        <f t="shared" si="1"/>
        <v>100</v>
      </c>
      <c r="V11" s="3748" t="s">
        <v>13</v>
      </c>
      <c r="W11" s="3262">
        <f t="shared" si="2"/>
        <v>100</v>
      </c>
      <c r="X11" s="482"/>
      <c r="Y11" s="4565"/>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50"/>
      <c r="Q12" s="1731">
        <f t="shared" si="6"/>
        <v>111</v>
      </c>
      <c r="R12" s="3748" t="s">
        <v>13</v>
      </c>
      <c r="S12" s="3262">
        <f t="shared" si="0"/>
        <v>100</v>
      </c>
      <c r="T12" s="3748" t="s">
        <v>13</v>
      </c>
      <c r="U12" s="3262">
        <f t="shared" si="1"/>
        <v>100</v>
      </c>
      <c r="V12" s="3748" t="s">
        <v>13</v>
      </c>
      <c r="W12" s="3262">
        <f t="shared" si="2"/>
        <v>100</v>
      </c>
      <c r="X12" s="482"/>
      <c r="Y12" s="4565"/>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50"/>
      <c r="Q13" s="1731">
        <f t="shared" si="6"/>
        <v>111</v>
      </c>
      <c r="R13" s="3748" t="s">
        <v>13</v>
      </c>
      <c r="S13" s="3262">
        <f t="shared" si="0"/>
        <v>100</v>
      </c>
      <c r="T13" s="3748" t="s">
        <v>13</v>
      </c>
      <c r="U13" s="3262">
        <f t="shared" si="1"/>
        <v>100</v>
      </c>
      <c r="V13" s="3748" t="s">
        <v>13</v>
      </c>
      <c r="W13" s="3262">
        <f t="shared" si="2"/>
        <v>100</v>
      </c>
      <c r="X13" s="482"/>
      <c r="Y13" s="4565"/>
      <c r="Z13" s="28">
        <f t="shared" si="7"/>
        <v>111</v>
      </c>
      <c r="AA13" s="28">
        <f t="shared" si="3"/>
        <v>1</v>
      </c>
      <c r="AB13" s="28">
        <f t="shared" si="4"/>
        <v>1</v>
      </c>
      <c r="AC13" s="28">
        <f t="shared" si="5"/>
        <v>1</v>
      </c>
    </row>
    <row r="14" spans="1:29" ht="15.6"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50"/>
      <c r="Q14" s="1731">
        <f t="shared" si="6"/>
        <v>111</v>
      </c>
      <c r="R14" s="3748" t="s">
        <v>13</v>
      </c>
      <c r="S14" s="3262">
        <f t="shared" si="0"/>
        <v>100</v>
      </c>
      <c r="T14" s="3748" t="s">
        <v>13</v>
      </c>
      <c r="U14" s="3262">
        <f t="shared" si="1"/>
        <v>100</v>
      </c>
      <c r="V14" s="3748" t="s">
        <v>13</v>
      </c>
      <c r="W14" s="3262">
        <f t="shared" si="2"/>
        <v>100</v>
      </c>
      <c r="X14" s="482"/>
      <c r="Y14" s="4565"/>
      <c r="Z14" s="28">
        <f t="shared" si="7"/>
        <v>111</v>
      </c>
      <c r="AA14" s="28">
        <f t="shared" si="3"/>
        <v>1</v>
      </c>
      <c r="AB14" s="28">
        <f t="shared" si="4"/>
        <v>1</v>
      </c>
      <c r="AC14" s="28">
        <f t="shared" si="5"/>
        <v>1</v>
      </c>
    </row>
    <row r="15" spans="1:29" ht="15">
      <c r="A15" s="262" t="s">
        <v>1602</v>
      </c>
      <c r="B15" s="2872" t="s">
        <v>1689</v>
      </c>
      <c r="C15" s="2896">
        <f>估价对象房地状况!C4</f>
        <v>0</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56" t="s">
        <v>1603</v>
      </c>
      <c r="Q15" s="1533" t="str">
        <f t="shared" si="6"/>
        <v>商业繁华度</v>
      </c>
      <c r="R15" s="3849" t="s">
        <v>13</v>
      </c>
      <c r="S15" s="3263">
        <f t="shared" si="0"/>
        <v>100</v>
      </c>
      <c r="T15" s="3849" t="s">
        <v>13</v>
      </c>
      <c r="U15" s="3263">
        <f t="shared" si="1"/>
        <v>100</v>
      </c>
      <c r="V15" s="3849" t="s">
        <v>13</v>
      </c>
      <c r="W15" s="3263">
        <f t="shared" si="2"/>
        <v>100</v>
      </c>
      <c r="X15" s="935"/>
      <c r="Y15" s="4558"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57"/>
      <c r="Q16" s="1533"/>
      <c r="R16" s="3849"/>
      <c r="S16" s="3263"/>
      <c r="T16" s="3849"/>
      <c r="U16" s="3263"/>
      <c r="V16" s="3849"/>
      <c r="W16" s="3263"/>
      <c r="X16" s="935"/>
      <c r="Y16" s="4559"/>
      <c r="Z16" s="933"/>
      <c r="AA16" s="933">
        <v>1</v>
      </c>
      <c r="AB16" s="933">
        <v>1</v>
      </c>
      <c r="AC16" s="933">
        <v>1</v>
      </c>
    </row>
    <row r="17" spans="1:29" ht="15">
      <c r="A17" s="254"/>
      <c r="B17" s="2874" t="s">
        <v>1239</v>
      </c>
      <c r="C17" s="2898">
        <f>估价对象房地状况!C6</f>
        <v>0</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57"/>
      <c r="Q17" s="1533" t="str">
        <f>B17</f>
        <v>交通便捷度</v>
      </c>
      <c r="R17" s="3849" t="s">
        <v>13</v>
      </c>
      <c r="S17" s="3263">
        <f>F17</f>
        <v>100</v>
      </c>
      <c r="T17" s="3849" t="s">
        <v>13</v>
      </c>
      <c r="U17" s="3263">
        <f>H17</f>
        <v>100</v>
      </c>
      <c r="V17" s="3849" t="s">
        <v>13</v>
      </c>
      <c r="W17" s="3263">
        <f>J17</f>
        <v>100</v>
      </c>
      <c r="X17" s="935"/>
      <c r="Y17" s="4559"/>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57"/>
      <c r="Q18" s="1533"/>
      <c r="R18" s="3849"/>
      <c r="S18" s="3263"/>
      <c r="T18" s="3849"/>
      <c r="U18" s="3263"/>
      <c r="V18" s="3849"/>
      <c r="W18" s="3263"/>
      <c r="X18" s="935"/>
      <c r="Y18" s="4559"/>
      <c r="Z18" s="933"/>
      <c r="AA18" s="933">
        <v>1</v>
      </c>
      <c r="AB18" s="933">
        <v>1</v>
      </c>
      <c r="AC18" s="933">
        <v>1</v>
      </c>
    </row>
    <row r="19" spans="1:29" ht="15">
      <c r="A19" s="254"/>
      <c r="B19" s="2874" t="s">
        <v>1690</v>
      </c>
      <c r="C19" s="2898">
        <f>估价对象房地状况!C7</f>
        <v>0</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57"/>
      <c r="Q19" s="1533" t="str">
        <f>B19</f>
        <v>公共配套设施</v>
      </c>
      <c r="R19" s="3849" t="s">
        <v>13</v>
      </c>
      <c r="S19" s="3263">
        <f>F19</f>
        <v>100</v>
      </c>
      <c r="T19" s="3849" t="s">
        <v>13</v>
      </c>
      <c r="U19" s="3263">
        <f>H19</f>
        <v>100</v>
      </c>
      <c r="V19" s="3849" t="s">
        <v>13</v>
      </c>
      <c r="W19" s="3263">
        <f>J19</f>
        <v>100</v>
      </c>
      <c r="X19" s="935"/>
      <c r="Y19" s="4559"/>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57"/>
      <c r="Q20" s="1533"/>
      <c r="R20" s="3849"/>
      <c r="S20" s="3263"/>
      <c r="T20" s="3849"/>
      <c r="U20" s="3263"/>
      <c r="V20" s="3849"/>
      <c r="W20" s="3263"/>
      <c r="X20" s="935"/>
      <c r="Y20" s="4559"/>
      <c r="Z20" s="933"/>
      <c r="AA20" s="933">
        <v>1</v>
      </c>
      <c r="AB20" s="933">
        <v>1</v>
      </c>
      <c r="AC20" s="933">
        <v>1</v>
      </c>
    </row>
    <row r="21" spans="1:29" ht="15">
      <c r="A21" s="254"/>
      <c r="B21" s="2876" t="s">
        <v>1691</v>
      </c>
      <c r="C21" s="2898">
        <f>估价对象房地状况!C8</f>
        <v>0</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57"/>
      <c r="Q21" s="1533" t="str">
        <f>B21</f>
        <v>基础设施水平</v>
      </c>
      <c r="R21" s="3849" t="s">
        <v>13</v>
      </c>
      <c r="S21" s="3263">
        <f>F21</f>
        <v>100</v>
      </c>
      <c r="T21" s="3849" t="s">
        <v>13</v>
      </c>
      <c r="U21" s="3263">
        <f>H21</f>
        <v>100</v>
      </c>
      <c r="V21" s="3849" t="s">
        <v>13</v>
      </c>
      <c r="W21" s="3263">
        <f>J21</f>
        <v>100</v>
      </c>
      <c r="X21" s="935"/>
      <c r="Y21" s="4559"/>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57"/>
      <c r="Q22" s="1533"/>
      <c r="R22" s="3849"/>
      <c r="S22" s="3263"/>
      <c r="T22" s="3849"/>
      <c r="U22" s="3263"/>
      <c r="V22" s="3849"/>
      <c r="W22" s="3263"/>
      <c r="X22" s="935"/>
      <c r="Y22" s="4559"/>
      <c r="Z22" s="933"/>
      <c r="AA22" s="933">
        <v>1</v>
      </c>
      <c r="AB22" s="933">
        <v>1</v>
      </c>
      <c r="AC22" s="933">
        <v>1</v>
      </c>
    </row>
    <row r="23" spans="1:29" ht="15">
      <c r="A23" s="254"/>
      <c r="B23" s="2874" t="s">
        <v>1241</v>
      </c>
      <c r="C23" s="2912">
        <f>估价对象房地状况!C9</f>
        <v>0</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57"/>
      <c r="Q23" s="1533" t="str">
        <f>B23</f>
        <v>自然及人文环境</v>
      </c>
      <c r="R23" s="3849" t="s">
        <v>13</v>
      </c>
      <c r="S23" s="3263">
        <f>F23</f>
        <v>100</v>
      </c>
      <c r="T23" s="3849" t="s">
        <v>13</v>
      </c>
      <c r="U23" s="3263">
        <f>H23</f>
        <v>100</v>
      </c>
      <c r="V23" s="3849" t="s">
        <v>13</v>
      </c>
      <c r="W23" s="3263">
        <f>J23</f>
        <v>100</v>
      </c>
      <c r="X23" s="935"/>
      <c r="Y23" s="4559"/>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57"/>
      <c r="Q24" s="1533"/>
      <c r="R24" s="3849"/>
      <c r="S24" s="3263"/>
      <c r="T24" s="3849"/>
      <c r="U24" s="3263"/>
      <c r="V24" s="3849"/>
      <c r="W24" s="3263"/>
      <c r="X24" s="935"/>
      <c r="Y24" s="4559"/>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57"/>
      <c r="Q25" s="1533" t="str">
        <f t="shared" ref="Q25:Q46" si="11">B25</f>
        <v>临街状况</v>
      </c>
      <c r="R25" s="3849" t="s">
        <v>13</v>
      </c>
      <c r="S25" s="3263">
        <f>F25</f>
        <v>100</v>
      </c>
      <c r="T25" s="3849" t="s">
        <v>13</v>
      </c>
      <c r="U25" s="3263">
        <f>H25</f>
        <v>100</v>
      </c>
      <c r="V25" s="3849" t="s">
        <v>13</v>
      </c>
      <c r="W25" s="3263">
        <f>J25</f>
        <v>100</v>
      </c>
      <c r="X25" s="935"/>
      <c r="Y25" s="4559"/>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57"/>
      <c r="Q26" s="1533" t="str">
        <f t="shared" si="11"/>
        <v>平面位置/可视性</v>
      </c>
      <c r="R26" s="3849" t="s">
        <v>13</v>
      </c>
      <c r="S26" s="3263">
        <f>F26</f>
        <v>100</v>
      </c>
      <c r="T26" s="3849" t="s">
        <v>13</v>
      </c>
      <c r="U26" s="3263">
        <f>H26</f>
        <v>100</v>
      </c>
      <c r="V26" s="3849" t="s">
        <v>13</v>
      </c>
      <c r="W26" s="3263">
        <f>J26</f>
        <v>100</v>
      </c>
      <c r="X26" s="935"/>
      <c r="Y26" s="4559"/>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57"/>
      <c r="Q27" s="1731" t="str">
        <f t="shared" si="11"/>
        <v>人流量</v>
      </c>
      <c r="R27" s="3748" t="s">
        <v>13</v>
      </c>
      <c r="S27" s="3262">
        <f>F27</f>
        <v>100</v>
      </c>
      <c r="T27" s="3748" t="s">
        <v>13</v>
      </c>
      <c r="U27" s="3262">
        <f>H27</f>
        <v>100</v>
      </c>
      <c r="V27" s="3748" t="s">
        <v>13</v>
      </c>
      <c r="W27" s="3262">
        <f>J27</f>
        <v>100</v>
      </c>
      <c r="X27" s="482"/>
      <c r="Y27" s="4559"/>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57"/>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559"/>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57"/>
      <c r="Q29" s="1533">
        <f t="shared" si="11"/>
        <v>111</v>
      </c>
      <c r="R29" s="3849" t="s">
        <v>13</v>
      </c>
      <c r="S29" s="3263">
        <f t="shared" si="12"/>
        <v>100</v>
      </c>
      <c r="T29" s="3849" t="s">
        <v>13</v>
      </c>
      <c r="U29" s="3263">
        <f t="shared" si="13"/>
        <v>100</v>
      </c>
      <c r="V29" s="3849" t="s">
        <v>13</v>
      </c>
      <c r="W29" s="3263">
        <f t="shared" si="14"/>
        <v>100</v>
      </c>
      <c r="X29" s="935"/>
      <c r="Y29" s="4559"/>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57"/>
      <c r="Q30" s="1533">
        <f t="shared" si="11"/>
        <v>111</v>
      </c>
      <c r="R30" s="3849" t="s">
        <v>13</v>
      </c>
      <c r="S30" s="3263">
        <f t="shared" si="12"/>
        <v>100</v>
      </c>
      <c r="T30" s="3849" t="s">
        <v>13</v>
      </c>
      <c r="U30" s="3263">
        <f t="shared" si="13"/>
        <v>100</v>
      </c>
      <c r="V30" s="3849" t="s">
        <v>13</v>
      </c>
      <c r="W30" s="3263">
        <f t="shared" si="14"/>
        <v>100</v>
      </c>
      <c r="X30" s="935"/>
      <c r="Y30" s="4559"/>
      <c r="Z30" s="933">
        <f t="shared" si="15"/>
        <v>111</v>
      </c>
      <c r="AA30" s="933">
        <f t="shared" si="3"/>
        <v>1</v>
      </c>
      <c r="AB30" s="933">
        <f t="shared" si="4"/>
        <v>1</v>
      </c>
      <c r="AC30" s="933">
        <f t="shared" si="5"/>
        <v>1</v>
      </c>
    </row>
    <row r="31" spans="1:29" ht="15.6"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57"/>
      <c r="Q31" s="1533">
        <f t="shared" si="11"/>
        <v>111</v>
      </c>
      <c r="R31" s="3849" t="s">
        <v>13</v>
      </c>
      <c r="S31" s="3263">
        <f t="shared" si="12"/>
        <v>100</v>
      </c>
      <c r="T31" s="3849" t="s">
        <v>13</v>
      </c>
      <c r="U31" s="3263">
        <f t="shared" si="13"/>
        <v>100</v>
      </c>
      <c r="V31" s="3849" t="s">
        <v>13</v>
      </c>
      <c r="W31" s="3263">
        <f t="shared" si="14"/>
        <v>100</v>
      </c>
      <c r="X31" s="935"/>
      <c r="Y31" s="4559"/>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560" t="s">
        <v>1608</v>
      </c>
      <c r="Q32" s="1533" t="str">
        <f t="shared" si="11"/>
        <v>商业类型</v>
      </c>
      <c r="R32" s="3849" t="s">
        <v>13</v>
      </c>
      <c r="S32" s="3263">
        <f t="shared" si="12"/>
        <v>100</v>
      </c>
      <c r="T32" s="3849" t="s">
        <v>13</v>
      </c>
      <c r="U32" s="3263">
        <f t="shared" si="13"/>
        <v>100</v>
      </c>
      <c r="V32" s="3849" t="s">
        <v>13</v>
      </c>
      <c r="W32" s="3263">
        <f t="shared" si="14"/>
        <v>100</v>
      </c>
      <c r="X32" s="935"/>
      <c r="Y32" s="4563"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561"/>
      <c r="Q33" s="2941" t="str">
        <f t="shared" si="11"/>
        <v>项目建筑规模</v>
      </c>
      <c r="R33" s="3850" t="s">
        <v>13</v>
      </c>
      <c r="S33" s="3264" t="e">
        <f t="shared" si="12"/>
        <v>#N/A</v>
      </c>
      <c r="T33" s="3850" t="s">
        <v>13</v>
      </c>
      <c r="U33" s="3264" t="e">
        <f t="shared" si="13"/>
        <v>#N/A</v>
      </c>
      <c r="V33" s="3850" t="s">
        <v>13</v>
      </c>
      <c r="W33" s="3264" t="e">
        <f t="shared" si="14"/>
        <v>#N/A</v>
      </c>
      <c r="X33" s="484"/>
      <c r="Y33" s="4563"/>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561"/>
      <c r="Q34" s="1533" t="str">
        <f t="shared" si="11"/>
        <v>建筑结构</v>
      </c>
      <c r="R34" s="3849" t="s">
        <v>13</v>
      </c>
      <c r="S34" s="3263">
        <f t="shared" si="12"/>
        <v>100</v>
      </c>
      <c r="T34" s="3849" t="s">
        <v>13</v>
      </c>
      <c r="U34" s="3263">
        <f t="shared" si="13"/>
        <v>100</v>
      </c>
      <c r="V34" s="3849" t="s">
        <v>13</v>
      </c>
      <c r="W34" s="3263">
        <f t="shared" si="14"/>
        <v>100</v>
      </c>
      <c r="X34" s="935"/>
      <c r="Y34" s="4563"/>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561"/>
      <c r="Q35" s="1533" t="str">
        <f t="shared" si="11"/>
        <v>公共部分装修</v>
      </c>
      <c r="R35" s="3849" t="s">
        <v>13</v>
      </c>
      <c r="S35" s="3263">
        <f t="shared" si="12"/>
        <v>100</v>
      </c>
      <c r="T35" s="3849" t="s">
        <v>13</v>
      </c>
      <c r="U35" s="3263">
        <f t="shared" si="13"/>
        <v>100</v>
      </c>
      <c r="V35" s="3849" t="s">
        <v>13</v>
      </c>
      <c r="W35" s="3263">
        <f t="shared" si="14"/>
        <v>100</v>
      </c>
      <c r="X35" s="935"/>
      <c r="Y35" s="4563"/>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561"/>
      <c r="Q36" s="1533" t="str">
        <f t="shared" si="11"/>
        <v>成新度</v>
      </c>
      <c r="R36" s="3849" t="s">
        <v>13</v>
      </c>
      <c r="S36" s="3263" t="e">
        <f t="shared" si="12"/>
        <v>#N/A</v>
      </c>
      <c r="T36" s="3849" t="s">
        <v>13</v>
      </c>
      <c r="U36" s="3263" t="e">
        <f t="shared" si="13"/>
        <v>#N/A</v>
      </c>
      <c r="V36" s="3849" t="s">
        <v>13</v>
      </c>
      <c r="W36" s="3263" t="e">
        <f t="shared" si="14"/>
        <v>#N/A</v>
      </c>
      <c r="X36" s="935"/>
      <c r="Y36" s="4563"/>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561"/>
      <c r="Q37" s="1731" t="str">
        <f t="shared" si="11"/>
        <v>市政基础设施</v>
      </c>
      <c r="R37" s="3748" t="s">
        <v>13</v>
      </c>
      <c r="S37" s="3262">
        <f t="shared" si="12"/>
        <v>100</v>
      </c>
      <c r="T37" s="3748" t="s">
        <v>13</v>
      </c>
      <c r="U37" s="3262">
        <f t="shared" si="13"/>
        <v>100</v>
      </c>
      <c r="V37" s="3748" t="s">
        <v>13</v>
      </c>
      <c r="W37" s="3262">
        <f t="shared" si="14"/>
        <v>100</v>
      </c>
      <c r="X37" s="482"/>
      <c r="Y37" s="4563"/>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561" t="s">
        <v>1608</v>
      </c>
      <c r="Q38" s="1533" t="str">
        <f t="shared" si="11"/>
        <v>业态</v>
      </c>
      <c r="R38" s="3849" t="s">
        <v>13</v>
      </c>
      <c r="S38" s="3263">
        <f t="shared" si="12"/>
        <v>100</v>
      </c>
      <c r="T38" s="3849" t="s">
        <v>13</v>
      </c>
      <c r="U38" s="3263">
        <f t="shared" si="13"/>
        <v>100</v>
      </c>
      <c r="V38" s="3849" t="s">
        <v>13</v>
      </c>
      <c r="W38" s="3263">
        <f t="shared" si="14"/>
        <v>100</v>
      </c>
      <c r="X38" s="935"/>
      <c r="Y38" s="4563"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561"/>
      <c r="Q39" s="1533" t="str">
        <f t="shared" si="11"/>
        <v>层高</v>
      </c>
      <c r="R39" s="3849" t="s">
        <v>13</v>
      </c>
      <c r="S39" s="3263">
        <f t="shared" si="12"/>
        <v>100</v>
      </c>
      <c r="T39" s="3849" t="s">
        <v>13</v>
      </c>
      <c r="U39" s="3263">
        <f t="shared" si="13"/>
        <v>100</v>
      </c>
      <c r="V39" s="3849" t="s">
        <v>13</v>
      </c>
      <c r="W39" s="3263">
        <f t="shared" si="14"/>
        <v>100</v>
      </c>
      <c r="X39" s="935"/>
      <c r="Y39" s="4563"/>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561"/>
      <c r="Q40" s="1533" t="str">
        <f t="shared" si="11"/>
        <v>单套建筑面积</v>
      </c>
      <c r="R40" s="3849" t="s">
        <v>13</v>
      </c>
      <c r="S40" s="3263">
        <f t="shared" si="12"/>
        <v>100</v>
      </c>
      <c r="T40" s="3849" t="s">
        <v>13</v>
      </c>
      <c r="U40" s="3263">
        <f t="shared" si="13"/>
        <v>100</v>
      </c>
      <c r="V40" s="3849" t="s">
        <v>13</v>
      </c>
      <c r="W40" s="3263">
        <f t="shared" si="14"/>
        <v>100</v>
      </c>
      <c r="X40" s="935"/>
      <c r="Y40" s="4563"/>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561"/>
      <c r="Q41" s="2941" t="str">
        <f t="shared" si="11"/>
        <v>进深比</v>
      </c>
      <c r="R41" s="3850" t="s">
        <v>13</v>
      </c>
      <c r="S41" s="3264">
        <f t="shared" si="12"/>
        <v>100</v>
      </c>
      <c r="T41" s="3850" t="s">
        <v>13</v>
      </c>
      <c r="U41" s="3264">
        <f t="shared" si="13"/>
        <v>100</v>
      </c>
      <c r="V41" s="3850" t="s">
        <v>13</v>
      </c>
      <c r="W41" s="3264">
        <f t="shared" si="14"/>
        <v>100</v>
      </c>
      <c r="X41" s="484"/>
      <c r="Y41" s="4563"/>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561"/>
      <c r="Q42" s="1533" t="str">
        <f t="shared" si="11"/>
        <v>内部装修</v>
      </c>
      <c r="R42" s="3849" t="s">
        <v>13</v>
      </c>
      <c r="S42" s="3263">
        <f t="shared" si="12"/>
        <v>100</v>
      </c>
      <c r="T42" s="3849" t="s">
        <v>13</v>
      </c>
      <c r="U42" s="3263">
        <f t="shared" si="13"/>
        <v>100</v>
      </c>
      <c r="V42" s="3849" t="s">
        <v>13</v>
      </c>
      <c r="W42" s="3263">
        <f t="shared" si="14"/>
        <v>100</v>
      </c>
      <c r="X42" s="935"/>
      <c r="Y42" s="4563"/>
      <c r="Z42" s="933" t="str">
        <f t="shared" si="15"/>
        <v>内部装修</v>
      </c>
      <c r="AA42" s="933">
        <f t="shared" si="3"/>
        <v>1</v>
      </c>
      <c r="AB42" s="933">
        <f t="shared" si="4"/>
        <v>1</v>
      </c>
      <c r="AC42" s="933">
        <f t="shared" si="5"/>
        <v>1</v>
      </c>
    </row>
    <row r="43" spans="1:29" ht="28.8">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561"/>
      <c r="Q43" s="1533" t="str">
        <f t="shared" si="11"/>
        <v>内部装修维护情况</v>
      </c>
      <c r="R43" s="3849" t="s">
        <v>13</v>
      </c>
      <c r="S43" s="3263">
        <f t="shared" si="12"/>
        <v>100</v>
      </c>
      <c r="T43" s="3849" t="s">
        <v>13</v>
      </c>
      <c r="U43" s="3263">
        <f t="shared" si="13"/>
        <v>100</v>
      </c>
      <c r="V43" s="3849" t="s">
        <v>13</v>
      </c>
      <c r="W43" s="3263">
        <f t="shared" si="14"/>
        <v>100</v>
      </c>
      <c r="X43" s="935"/>
      <c r="Y43" s="4563"/>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561"/>
      <c r="Q44" s="1731">
        <f t="shared" si="11"/>
        <v>111</v>
      </c>
      <c r="R44" s="3748" t="s">
        <v>13</v>
      </c>
      <c r="S44" s="3262">
        <f t="shared" si="12"/>
        <v>100</v>
      </c>
      <c r="T44" s="3748" t="s">
        <v>13</v>
      </c>
      <c r="U44" s="3262">
        <f t="shared" si="13"/>
        <v>100</v>
      </c>
      <c r="V44" s="3748" t="s">
        <v>13</v>
      </c>
      <c r="W44" s="3262">
        <f t="shared" si="14"/>
        <v>100</v>
      </c>
      <c r="X44" s="482"/>
      <c r="Y44" s="4563"/>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561"/>
      <c r="Q45" s="1533">
        <f t="shared" si="11"/>
        <v>111</v>
      </c>
      <c r="R45" s="3849" t="s">
        <v>13</v>
      </c>
      <c r="S45" s="3263">
        <f t="shared" si="12"/>
        <v>100</v>
      </c>
      <c r="T45" s="3849" t="s">
        <v>13</v>
      </c>
      <c r="U45" s="3263">
        <f t="shared" si="13"/>
        <v>100</v>
      </c>
      <c r="V45" s="3849" t="s">
        <v>13</v>
      </c>
      <c r="W45" s="3263">
        <f t="shared" si="14"/>
        <v>100</v>
      </c>
      <c r="X45" s="935"/>
      <c r="Y45" s="4563"/>
      <c r="Z45" s="933">
        <f t="shared" si="15"/>
        <v>111</v>
      </c>
      <c r="AA45" s="933">
        <f t="shared" si="3"/>
        <v>1</v>
      </c>
      <c r="AB45" s="933">
        <f t="shared" si="4"/>
        <v>1</v>
      </c>
      <c r="AC45" s="933">
        <f t="shared" si="5"/>
        <v>1</v>
      </c>
    </row>
    <row r="46" spans="1:29" ht="15.6"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562"/>
      <c r="Q46" s="1533">
        <f t="shared" si="11"/>
        <v>111</v>
      </c>
      <c r="R46" s="3849" t="s">
        <v>13</v>
      </c>
      <c r="S46" s="3263">
        <f t="shared" si="12"/>
        <v>100</v>
      </c>
      <c r="T46" s="3849" t="s">
        <v>13</v>
      </c>
      <c r="U46" s="3263">
        <f t="shared" si="13"/>
        <v>100</v>
      </c>
      <c r="V46" s="3849" t="s">
        <v>13</v>
      </c>
      <c r="W46" s="3263">
        <f t="shared" si="14"/>
        <v>100</v>
      </c>
      <c r="X46" s="935"/>
      <c r="Y46" s="4564"/>
      <c r="Z46" s="933">
        <f t="shared" si="15"/>
        <v>111</v>
      </c>
      <c r="AA46" s="933">
        <f t="shared" si="3"/>
        <v>1</v>
      </c>
      <c r="AB46" s="933">
        <f t="shared" si="4"/>
        <v>1</v>
      </c>
      <c r="AC46" s="933">
        <f t="shared" si="5"/>
        <v>1</v>
      </c>
    </row>
    <row r="47" spans="1:29" ht="14.4">
      <c r="A47" s="286" t="s">
        <v>1620</v>
      </c>
      <c r="B47" s="287"/>
      <c r="C47" s="787" t="s">
        <v>0</v>
      </c>
      <c r="D47" s="288"/>
      <c r="E47" s="3311"/>
      <c r="F47" s="3259"/>
      <c r="G47" s="3312"/>
      <c r="H47" s="3260"/>
      <c r="I47" s="3311"/>
      <c r="J47" s="3260"/>
      <c r="K47" s="2939"/>
      <c r="L47" s="2015"/>
      <c r="M47" s="2008"/>
      <c r="N47" s="2008"/>
      <c r="O47" s="2008"/>
      <c r="P47" s="4551" t="str">
        <f>A47</f>
        <v>成交单价（元/平方米）</v>
      </c>
      <c r="Q47" s="4551"/>
      <c r="R47" s="4552">
        <f>E47</f>
        <v>0</v>
      </c>
      <c r="S47" s="4552"/>
      <c r="T47" s="4552">
        <f>G47</f>
        <v>0</v>
      </c>
      <c r="U47" s="4552"/>
      <c r="V47" s="4552">
        <f>I47</f>
        <v>0</v>
      </c>
      <c r="W47" s="4552"/>
      <c r="X47" s="265"/>
      <c r="Y47" s="486"/>
      <c r="Z47" s="265"/>
      <c r="AA47" s="265"/>
      <c r="AB47" s="265"/>
      <c r="AC47" s="265"/>
    </row>
    <row r="48" spans="1:29" ht="1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551" t="str">
        <f>A48</f>
        <v>比较价值（元/平方米）</v>
      </c>
      <c r="Q48" s="4551"/>
      <c r="R48" s="4552" t="e">
        <f>IF(F1="售价",ROUND(PRODUCT(R47,AA7:AA46),0),ROUND(PRODUCT(R47,AA7:AA46),1))</f>
        <v>#DIV/0!</v>
      </c>
      <c r="S48" s="4552"/>
      <c r="T48" s="4552" t="e">
        <f>IF(F1="售价",ROUND(PRODUCT(T47,AB7:AB46),0),ROUND(PRODUCT(T47,AB7:AB46),1))</f>
        <v>#DIV/0!</v>
      </c>
      <c r="U48" s="4552"/>
      <c r="V48" s="4552" t="e">
        <f>IF(F1="售价",ROUND(PRODUCT(V47,AC7:AC46),0),ROUND(PRODUCT(V47,AC7:AC46),1))</f>
        <v>#DIV/0!</v>
      </c>
      <c r="W48" s="4552"/>
      <c r="X48" s="265"/>
      <c r="Y48" s="265"/>
      <c r="Z48" s="265"/>
      <c r="AA48" s="265"/>
      <c r="AB48" s="265"/>
      <c r="AC48" s="265"/>
    </row>
    <row r="49" spans="1:29" ht="15" thickBot="1">
      <c r="A49" s="291" t="s">
        <v>1706</v>
      </c>
      <c r="B49" s="292"/>
      <c r="C49" s="3859" t="e">
        <f>R49</f>
        <v>#DIV/0!</v>
      </c>
      <c r="D49" s="241"/>
      <c r="E49" s="241"/>
      <c r="F49" s="241"/>
      <c r="G49" s="241"/>
      <c r="H49" s="241"/>
      <c r="I49" s="241"/>
      <c r="J49" s="241"/>
      <c r="K49" s="487"/>
      <c r="L49" s="2015"/>
      <c r="M49" s="2008"/>
      <c r="N49" s="2008"/>
      <c r="O49" s="2008"/>
      <c r="P49" s="4666" t="str">
        <f>A49</f>
        <v>估价对象XX用房的比较价值（楼面单价，元/平方米）</v>
      </c>
      <c r="Q49" s="4667"/>
      <c r="R49" s="4668" t="e">
        <f>IF(F1="售价",ROUND(IF(D48="简单平均",AVERAGE(R48:V48),R48*F48+T48*H48+V48*J48),0),ROUND(IF(D48="简单平均",AVERAGE(R48:V48),R48*F48+T48*H48+V48*J48),1))</f>
        <v>#DIV/0!</v>
      </c>
      <c r="S49" s="4668"/>
      <c r="T49" s="4668"/>
      <c r="U49" s="4668"/>
      <c r="V49" s="4668"/>
      <c r="W49" s="4668"/>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2.2"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4.4">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4.4">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4.4"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ht="14.4">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4.4"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9.4"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 thickBot="1">
      <c r="A66" s="254"/>
      <c r="B66" s="336" t="s">
        <v>3882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4.4"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4.4"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4.4"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4.4"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4.4"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4.4"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ht="14.4">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4.4"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4.4"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4.4"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4.4"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4.4"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4.4"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4.4"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4.4"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4.4"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4.4"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4.4"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ht="14.4">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4.4"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28.2"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4.4"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29.4"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4.4"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4.4"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4.4"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4.4"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4.4"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4.4"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0" customWidth="1"/>
    <col min="2" max="2" width="37.21875" style="1060" customWidth="1"/>
    <col min="3" max="3" width="11.33203125" style="1060" customWidth="1"/>
    <col min="4" max="4" width="31.77734375" style="1060" customWidth="1"/>
    <col min="5" max="5" width="0.44140625" style="1060" customWidth="1"/>
    <col min="6" max="7" width="13" style="1060" customWidth="1"/>
    <col min="8" max="16384" width="9" style="1060"/>
  </cols>
  <sheetData>
    <row r="1" spans="1:5" ht="17.399999999999999">
      <c r="A1" s="1059" t="s">
        <v>893</v>
      </c>
    </row>
    <row r="2" spans="1:5" ht="78" customHeight="1">
      <c r="A2" s="43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0"/>
      <c r="C2" s="4340"/>
      <c r="D2" s="4340"/>
      <c r="E2" s="4340"/>
    </row>
    <row r="3" spans="1:5" ht="17.399999999999999">
      <c r="A3" s="4341" t="str">
        <f>IF(项目基本情况!B9="房地产市场价值","估价结果一览表（市场价值不需“结果表-1”）","估价结果一览表")</f>
        <v>估价结果一览表</v>
      </c>
      <c r="B3" s="4341"/>
      <c r="C3" s="4341"/>
      <c r="D3" s="4341"/>
      <c r="E3" s="4341"/>
    </row>
    <row r="4" spans="1:5" ht="18" thickBot="1">
      <c r="A4" s="1061"/>
      <c r="B4" s="4339" t="s">
        <v>902</v>
      </c>
      <c r="C4" s="4339"/>
      <c r="D4" s="4339"/>
      <c r="E4" s="1061"/>
    </row>
    <row r="5" spans="1:5" ht="16.2" thickTop="1">
      <c r="B5" s="4337" t="s">
        <v>894</v>
      </c>
      <c r="C5" s="1062" t="s">
        <v>895</v>
      </c>
      <c r="D5" s="558">
        <f ca="1">结果表!H101</f>
        <v>168398</v>
      </c>
    </row>
    <row r="6" spans="1:5" ht="31.2">
      <c r="B6" s="4337"/>
      <c r="C6" s="1062" t="s">
        <v>896</v>
      </c>
      <c r="D6" s="558" t="str">
        <f ca="1">NUMBERSTRING(INT(D5*10000),2)&amp;"元整"</f>
        <v>壹拾陆亿捌仟叁佰玖拾捌万元整</v>
      </c>
    </row>
    <row r="7" spans="1:5" ht="15.6">
      <c r="B7" s="4342"/>
      <c r="C7" s="1063" t="s">
        <v>897</v>
      </c>
      <c r="D7" s="559">
        <f ca="1">结果表!H102</f>
        <v>29333</v>
      </c>
    </row>
    <row r="8" spans="1:5" ht="15.6">
      <c r="B8" s="4343" t="str">
        <f>结果表!E103</f>
        <v>2.估价师知悉的法定优先受偿款</v>
      </c>
      <c r="C8" s="1064" t="s">
        <v>898</v>
      </c>
      <c r="D8" s="559">
        <f>结果表!H103</f>
        <v>0</v>
      </c>
    </row>
    <row r="9" spans="1:5" ht="15.6">
      <c r="B9" s="4345"/>
      <c r="C9" s="1062" t="s">
        <v>896</v>
      </c>
      <c r="D9" s="558" t="str">
        <f>NUMBERSTRING(INT(D8*10000),2)&amp;"元整"</f>
        <v>零元整</v>
      </c>
    </row>
    <row r="10" spans="1:5" ht="15.6">
      <c r="B10" s="1065" t="s">
        <v>901</v>
      </c>
      <c r="C10" s="1066" t="s">
        <v>899</v>
      </c>
      <c r="D10" s="560">
        <f>结果表!H104</f>
        <v>0</v>
      </c>
    </row>
    <row r="11" spans="1:5" ht="15.6">
      <c r="B11" s="1065" t="s">
        <v>903</v>
      </c>
      <c r="C11" s="1066" t="s">
        <v>904</v>
      </c>
      <c r="D11" s="560">
        <f>结果表!H105</f>
        <v>0</v>
      </c>
    </row>
    <row r="12" spans="1:5" ht="15.6">
      <c r="B12" s="1065" t="s">
        <v>905</v>
      </c>
      <c r="C12" s="1066" t="s">
        <v>904</v>
      </c>
      <c r="D12" s="560">
        <f>结果表!H106</f>
        <v>0</v>
      </c>
    </row>
    <row r="13" spans="1:5" ht="15.6">
      <c r="B13" s="4336" t="str">
        <f>结果表!E107</f>
        <v>3.房地产抵押价值</v>
      </c>
      <c r="C13" s="1067" t="s">
        <v>895</v>
      </c>
      <c r="D13" s="561">
        <f ca="1">结果表!H107</f>
        <v>168398</v>
      </c>
    </row>
    <row r="14" spans="1:5" ht="31.2">
      <c r="B14" s="4337"/>
      <c r="C14" s="1062" t="s">
        <v>896</v>
      </c>
      <c r="D14" s="558" t="str">
        <f ca="1">NUMBERSTRING(INT(D13*10000),2)&amp;"元整"</f>
        <v>壹拾陆亿捌仟叁佰玖拾捌万元整</v>
      </c>
    </row>
    <row r="15" spans="1:5" ht="15.6">
      <c r="B15" s="4342"/>
      <c r="C15" s="1063" t="s">
        <v>906</v>
      </c>
      <c r="D15" s="566">
        <f ca="1">结果表!H108</f>
        <v>29333</v>
      </c>
    </row>
    <row r="16" spans="1:5" ht="15.6">
      <c r="B16" s="4343" t="str">
        <f>结果表!E109</f>
        <v>——</v>
      </c>
      <c r="C16" s="1067" t="s">
        <v>907</v>
      </c>
      <c r="D16" s="1068" t="str">
        <f>结果表!H109</f>
        <v>——</v>
      </c>
    </row>
    <row r="17" spans="1:5" ht="15.6">
      <c r="B17" s="4344"/>
      <c r="C17" s="1062" t="s">
        <v>908</v>
      </c>
      <c r="D17" s="558" t="e">
        <f>NUMBERSTRING(INT(D16*10000),2)&amp;"元整"</f>
        <v>#VALUE!</v>
      </c>
    </row>
    <row r="18" spans="1:5" ht="15.6">
      <c r="B18" s="4345"/>
      <c r="C18" s="1063" t="s">
        <v>897</v>
      </c>
      <c r="D18" s="566" t="str">
        <f>结果表!H110</f>
        <v>——</v>
      </c>
    </row>
    <row r="19" spans="1:5" ht="15.6">
      <c r="B19" s="4336" t="str">
        <f>结果表!E111</f>
        <v>——</v>
      </c>
      <c r="C19" s="1067" t="s">
        <v>895</v>
      </c>
      <c r="D19" s="559" t="str">
        <f>结果表!H111</f>
        <v>——</v>
      </c>
    </row>
    <row r="20" spans="1:5" ht="15.6">
      <c r="B20" s="4337"/>
      <c r="C20" s="1062" t="s">
        <v>908</v>
      </c>
      <c r="D20" s="558" t="e">
        <f>NUMBERSTRING(INT(D19*10000),2)&amp;"元整"</f>
        <v>#VALUE!</v>
      </c>
    </row>
    <row r="21" spans="1:5" ht="16.2" thickBot="1">
      <c r="B21" s="4338"/>
      <c r="C21" s="1069" t="s">
        <v>906</v>
      </c>
      <c r="D21" s="567" t="str">
        <f>结果表!H112</f>
        <v>——</v>
      </c>
    </row>
    <row r="22" spans="1:5" ht="14.4" thickTop="1">
      <c r="B22" s="1070" t="s">
        <v>909</v>
      </c>
    </row>
    <row r="24" spans="1:5" ht="17.399999999999999">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K79" sqref="K79:M80"/>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293" customWidth="1"/>
    <col min="17" max="17" width="19.44140625" style="3293" customWidth="1"/>
    <col min="18" max="18" width="6.109375" style="3293" customWidth="1"/>
    <col min="19" max="19" width="4.33203125" style="3293" customWidth="1"/>
    <col min="20" max="20" width="6.109375" style="3293" customWidth="1"/>
    <col min="21" max="21" width="4.33203125" style="3293" customWidth="1"/>
    <col min="22" max="22" width="6.109375" style="3293" customWidth="1"/>
    <col min="23" max="23" width="4.33203125" style="329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57408.26</v>
      </c>
      <c r="E3" s="3961" t="s">
        <v>3478</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4.4">
      <c r="A4" s="235" t="s">
        <v>1681</v>
      </c>
      <c r="B4" s="236"/>
      <c r="C4" s="4569" t="s">
        <v>1682</v>
      </c>
      <c r="D4" s="4570"/>
      <c r="E4" s="4571" t="s">
        <v>1683</v>
      </c>
      <c r="F4" s="4572"/>
      <c r="G4" s="4569" t="s">
        <v>1684</v>
      </c>
      <c r="H4" s="4570"/>
      <c r="I4" s="4569" t="s">
        <v>1685</v>
      </c>
      <c r="J4" s="4570"/>
      <c r="K4" s="393" t="s">
        <v>1686</v>
      </c>
      <c r="L4" s="610"/>
      <c r="M4" s="611"/>
      <c r="N4" s="611"/>
      <c r="O4" s="611"/>
      <c r="P4" s="4674" t="s">
        <v>1687</v>
      </c>
      <c r="Q4" s="4675"/>
      <c r="R4" s="4678" t="s">
        <v>1683</v>
      </c>
      <c r="S4" s="4679"/>
      <c r="T4" s="4678" t="s">
        <v>1684</v>
      </c>
      <c r="U4" s="4679"/>
      <c r="V4" s="4586" t="s">
        <v>1685</v>
      </c>
      <c r="W4" s="4586"/>
      <c r="X4" s="935"/>
      <c r="Y4" s="4685" t="s">
        <v>1687</v>
      </c>
      <c r="Z4" s="4686"/>
      <c r="AA4" s="4669" t="s">
        <v>1683</v>
      </c>
      <c r="AB4" s="4606" t="s">
        <v>1684</v>
      </c>
      <c r="AC4" s="4669" t="s">
        <v>1685</v>
      </c>
    </row>
    <row r="5" spans="1:29">
      <c r="A5" s="238"/>
      <c r="B5" s="239"/>
      <c r="C5" s="4602" t="s">
        <v>1585</v>
      </c>
      <c r="D5" s="4590"/>
      <c r="E5" s="4697" t="s">
        <v>1586</v>
      </c>
      <c r="F5" s="4609"/>
      <c r="G5" s="4602" t="s">
        <v>1587</v>
      </c>
      <c r="H5" s="4590"/>
      <c r="I5" s="4602" t="s">
        <v>1588</v>
      </c>
      <c r="J5" s="4590"/>
      <c r="K5" s="393"/>
      <c r="L5" s="610"/>
      <c r="M5" s="611"/>
      <c r="N5" s="611"/>
      <c r="O5" s="611"/>
      <c r="P5" s="4676"/>
      <c r="Q5" s="4576"/>
      <c r="R5" s="4581"/>
      <c r="S5" s="4582"/>
      <c r="T5" s="4581"/>
      <c r="U5" s="4582"/>
      <c r="V5" s="4586"/>
      <c r="W5" s="4586"/>
      <c r="X5" s="935"/>
      <c r="Y5" s="4597"/>
      <c r="Z5" s="4598"/>
      <c r="AA5" s="4606"/>
      <c r="AB5" s="4606"/>
      <c r="AC5" s="4606"/>
    </row>
    <row r="6" spans="1:29" ht="15" thickBot="1">
      <c r="A6" s="240"/>
      <c r="B6" s="241"/>
      <c r="C6" s="4587" t="s">
        <v>1589</v>
      </c>
      <c r="D6" s="4588"/>
      <c r="E6" s="4603" t="s">
        <v>1589</v>
      </c>
      <c r="F6" s="4604"/>
      <c r="G6" s="4587" t="s">
        <v>1589</v>
      </c>
      <c r="H6" s="4588"/>
      <c r="I6" s="4587" t="s">
        <v>1589</v>
      </c>
      <c r="J6" s="4588"/>
      <c r="K6" s="393" t="s">
        <v>1590</v>
      </c>
      <c r="L6" s="610"/>
      <c r="M6" s="611"/>
      <c r="N6" s="611"/>
      <c r="O6" s="611"/>
      <c r="P6" s="4677"/>
      <c r="Q6" s="4578"/>
      <c r="R6" s="4581"/>
      <c r="S6" s="4582"/>
      <c r="T6" s="4583"/>
      <c r="U6" s="4584"/>
      <c r="V6" s="4586"/>
      <c r="W6" s="4586"/>
      <c r="X6" s="935"/>
      <c r="Y6" s="4599"/>
      <c r="Z6" s="4600"/>
      <c r="AA6" s="4607"/>
      <c r="AB6" s="4607"/>
      <c r="AC6" s="4607"/>
    </row>
    <row r="7" spans="1:29" s="46" customFormat="1" ht="15" thickBot="1">
      <c r="A7" s="242" t="s">
        <v>1591</v>
      </c>
      <c r="B7" s="243"/>
      <c r="C7" s="244">
        <f>'数据-取费表'!B2</f>
        <v>46049</v>
      </c>
      <c r="D7" s="2976">
        <v>100</v>
      </c>
      <c r="E7" s="245"/>
      <c r="F7" s="3861">
        <f>SUMIF(52:52,YEAR(E7)&amp;"-"&amp;MONTH(E7),53:53)</f>
        <v>0</v>
      </c>
      <c r="G7" s="245"/>
      <c r="H7" s="3867">
        <f>SUMIF(52:52,YEAR(G7)&amp;"-"&amp;MONTH(G7),53:53)</f>
        <v>0</v>
      </c>
      <c r="I7" s="245"/>
      <c r="J7" s="3867">
        <f>SUMIF(52:52,YEAR(I7)&amp;"-"&amp;MONTH(I7),53:53)</f>
        <v>0</v>
      </c>
      <c r="K7" s="22"/>
      <c r="L7" s="612"/>
      <c r="M7" s="613"/>
      <c r="N7" s="613"/>
      <c r="O7" s="613"/>
      <c r="P7" s="4684" t="s">
        <v>1592</v>
      </c>
      <c r="Q7" s="4601"/>
      <c r="R7" s="3873" t="s">
        <v>13</v>
      </c>
      <c r="S7" s="3654">
        <f t="shared" ref="S7:S15" si="0">F7</f>
        <v>0</v>
      </c>
      <c r="T7" s="3873" t="s">
        <v>13</v>
      </c>
      <c r="U7" s="3654">
        <f t="shared" ref="U7:U15" si="1">H7</f>
        <v>0</v>
      </c>
      <c r="V7" s="3873" t="s">
        <v>13</v>
      </c>
      <c r="W7" s="3654">
        <f t="shared" ref="W7:W15" si="2">J7</f>
        <v>0</v>
      </c>
      <c r="X7" s="482"/>
      <c r="Y7" s="4593" t="s">
        <v>1592</v>
      </c>
      <c r="Z7" s="4594"/>
      <c r="AA7" s="28" t="e">
        <f>D7/F7</f>
        <v>#DIV/0!</v>
      </c>
      <c r="AB7" s="28" t="e">
        <f>D7/H7</f>
        <v>#DIV/0!</v>
      </c>
      <c r="AC7" s="28" t="e">
        <f>D7/J7</f>
        <v>#DIV/0!</v>
      </c>
    </row>
    <row r="8" spans="1:29" s="46" customFormat="1" ht="1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684" t="s">
        <v>1595</v>
      </c>
      <c r="Q8" s="4592"/>
      <c r="R8" s="3873" t="s">
        <v>13</v>
      </c>
      <c r="S8" s="3654">
        <f t="shared" si="0"/>
        <v>100</v>
      </c>
      <c r="T8" s="3873" t="s">
        <v>13</v>
      </c>
      <c r="U8" s="3654">
        <f t="shared" si="1"/>
        <v>100</v>
      </c>
      <c r="V8" s="3873" t="s">
        <v>13</v>
      </c>
      <c r="W8" s="3654">
        <f t="shared" si="2"/>
        <v>100</v>
      </c>
      <c r="X8" s="482"/>
      <c r="Y8" s="4593" t="s">
        <v>1595</v>
      </c>
      <c r="Z8" s="4594"/>
      <c r="AA8" s="28">
        <f t="shared" ref="AA8:AA40" si="3">D8/F8</f>
        <v>1</v>
      </c>
      <c r="AB8" s="28">
        <f t="shared" ref="AB8:AB40" si="4">D8/H8</f>
        <v>1</v>
      </c>
      <c r="AC8" s="28">
        <f t="shared" ref="AC8:AC40" si="5">D8/J8</f>
        <v>1</v>
      </c>
    </row>
    <row r="9" spans="1:29" s="46" customFormat="1" ht="14.4">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551" t="s">
        <v>1598</v>
      </c>
      <c r="Q9" s="1731" t="str">
        <f t="shared" ref="Q9:Q15" si="6">B9</f>
        <v>用途</v>
      </c>
      <c r="R9" s="3873" t="s">
        <v>13</v>
      </c>
      <c r="S9" s="3654">
        <f t="shared" si="0"/>
        <v>100</v>
      </c>
      <c r="T9" s="3873" t="s">
        <v>13</v>
      </c>
      <c r="U9" s="3654">
        <f t="shared" si="1"/>
        <v>100</v>
      </c>
      <c r="V9" s="3873" t="s">
        <v>13</v>
      </c>
      <c r="W9" s="3654">
        <f t="shared" si="2"/>
        <v>100</v>
      </c>
      <c r="X9" s="482"/>
      <c r="Y9" s="4565" t="s">
        <v>1599</v>
      </c>
      <c r="Z9" s="28" t="str">
        <f t="shared" ref="Z9:Z15" si="7">Q9</f>
        <v>用途</v>
      </c>
      <c r="AA9" s="28">
        <f t="shared" si="3"/>
        <v>1</v>
      </c>
      <c r="AB9" s="28">
        <f t="shared" si="4"/>
        <v>1</v>
      </c>
      <c r="AC9" s="28">
        <f t="shared" si="5"/>
        <v>1</v>
      </c>
    </row>
    <row r="10" spans="1:29" s="253" customFormat="1" ht="28.8">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551"/>
      <c r="Q10" s="1731" t="str">
        <f t="shared" si="6"/>
        <v>土地使用年限（年）</v>
      </c>
      <c r="R10" s="3873" t="s">
        <v>13</v>
      </c>
      <c r="S10" s="3654">
        <f t="shared" si="0"/>
        <v>100</v>
      </c>
      <c r="T10" s="3873" t="s">
        <v>13</v>
      </c>
      <c r="U10" s="3654">
        <f t="shared" si="1"/>
        <v>100</v>
      </c>
      <c r="V10" s="3873" t="s">
        <v>13</v>
      </c>
      <c r="W10" s="3654">
        <f t="shared" si="2"/>
        <v>100</v>
      </c>
      <c r="X10" s="482"/>
      <c r="Y10" s="4565"/>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551"/>
      <c r="Q11" s="1731" t="str">
        <f t="shared" si="6"/>
        <v>容积率</v>
      </c>
      <c r="R11" s="3873" t="s">
        <v>13</v>
      </c>
      <c r="S11" s="3654">
        <f t="shared" si="0"/>
        <v>100</v>
      </c>
      <c r="T11" s="3873" t="s">
        <v>13</v>
      </c>
      <c r="U11" s="3654">
        <f t="shared" si="1"/>
        <v>100</v>
      </c>
      <c r="V11" s="3873" t="s">
        <v>13</v>
      </c>
      <c r="W11" s="3654">
        <f t="shared" si="2"/>
        <v>100</v>
      </c>
      <c r="X11" s="482"/>
      <c r="Y11" s="4565"/>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551"/>
      <c r="Q12" s="1731">
        <f t="shared" si="6"/>
        <v>111</v>
      </c>
      <c r="R12" s="3873" t="s">
        <v>13</v>
      </c>
      <c r="S12" s="3654">
        <f t="shared" si="0"/>
        <v>100</v>
      </c>
      <c r="T12" s="3873" t="s">
        <v>13</v>
      </c>
      <c r="U12" s="3654">
        <f t="shared" si="1"/>
        <v>100</v>
      </c>
      <c r="V12" s="3873" t="s">
        <v>13</v>
      </c>
      <c r="W12" s="3654">
        <f t="shared" si="2"/>
        <v>100</v>
      </c>
      <c r="X12" s="482"/>
      <c r="Y12" s="4565"/>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551"/>
      <c r="Q13" s="1731">
        <f t="shared" si="6"/>
        <v>111</v>
      </c>
      <c r="R13" s="3873" t="s">
        <v>13</v>
      </c>
      <c r="S13" s="3654">
        <f t="shared" si="0"/>
        <v>100</v>
      </c>
      <c r="T13" s="3873" t="s">
        <v>13</v>
      </c>
      <c r="U13" s="3654">
        <f t="shared" si="1"/>
        <v>100</v>
      </c>
      <c r="V13" s="3873" t="s">
        <v>13</v>
      </c>
      <c r="W13" s="3654">
        <f t="shared" si="2"/>
        <v>100</v>
      </c>
      <c r="X13" s="482"/>
      <c r="Y13" s="4565"/>
      <c r="Z13" s="28">
        <f t="shared" si="7"/>
        <v>111</v>
      </c>
      <c r="AA13" s="28">
        <f t="shared" si="3"/>
        <v>1</v>
      </c>
      <c r="AB13" s="28">
        <f t="shared" si="4"/>
        <v>1</v>
      </c>
      <c r="AC13" s="28">
        <f t="shared" si="5"/>
        <v>1</v>
      </c>
    </row>
    <row r="14" spans="1:29" ht="15.6"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551"/>
      <c r="Q14" s="1731">
        <f t="shared" si="6"/>
        <v>111</v>
      </c>
      <c r="R14" s="3873" t="s">
        <v>13</v>
      </c>
      <c r="S14" s="3654">
        <f t="shared" si="0"/>
        <v>100</v>
      </c>
      <c r="T14" s="3873" t="s">
        <v>13</v>
      </c>
      <c r="U14" s="3654">
        <f t="shared" si="1"/>
        <v>100</v>
      </c>
      <c r="V14" s="3873" t="s">
        <v>13</v>
      </c>
      <c r="W14" s="3654">
        <f t="shared" si="2"/>
        <v>100</v>
      </c>
      <c r="X14" s="482"/>
      <c r="Y14" s="4565"/>
      <c r="Z14" s="28">
        <f t="shared" si="7"/>
        <v>111</v>
      </c>
      <c r="AA14" s="28">
        <f t="shared" si="3"/>
        <v>1</v>
      </c>
      <c r="AB14" s="28">
        <f t="shared" si="4"/>
        <v>1</v>
      </c>
      <c r="AC14" s="28">
        <f t="shared" si="5"/>
        <v>1</v>
      </c>
    </row>
    <row r="15" spans="1:29" ht="15">
      <c r="A15" s="262" t="s">
        <v>1602</v>
      </c>
      <c r="B15" s="32" t="s">
        <v>1739</v>
      </c>
      <c r="C15" s="1450">
        <f>估价对象房地状况!G3</f>
        <v>0</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692" t="s">
        <v>1603</v>
      </c>
      <c r="Q15" s="1533" t="str">
        <f t="shared" si="6"/>
        <v>产业集聚程度</v>
      </c>
      <c r="R15" s="3874" t="s">
        <v>13</v>
      </c>
      <c r="S15" s="3876">
        <f t="shared" si="0"/>
        <v>100</v>
      </c>
      <c r="T15" s="3874" t="s">
        <v>13</v>
      </c>
      <c r="U15" s="3876">
        <f t="shared" si="1"/>
        <v>100</v>
      </c>
      <c r="V15" s="3874" t="s">
        <v>13</v>
      </c>
      <c r="W15" s="3876">
        <f t="shared" si="2"/>
        <v>100</v>
      </c>
      <c r="X15" s="935"/>
      <c r="Y15" s="4558"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693"/>
      <c r="Q16" s="1533"/>
      <c r="R16" s="3874"/>
      <c r="S16" s="3876"/>
      <c r="T16" s="3874"/>
      <c r="U16" s="3876"/>
      <c r="V16" s="3874"/>
      <c r="W16" s="3876"/>
      <c r="X16" s="935"/>
      <c r="Y16" s="4559"/>
      <c r="Z16" s="933"/>
      <c r="AA16" s="933">
        <v>1</v>
      </c>
      <c r="AB16" s="933">
        <v>1</v>
      </c>
      <c r="AC16" s="933">
        <v>1</v>
      </c>
    </row>
    <row r="17" spans="1:29" ht="15">
      <c r="A17" s="254"/>
      <c r="B17" s="269" t="s">
        <v>1239</v>
      </c>
      <c r="C17" s="1390">
        <f>估价对象房地状况!G4</f>
        <v>0</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693"/>
      <c r="Q17" s="1533" t="str">
        <f>B17</f>
        <v>交通便捷度</v>
      </c>
      <c r="R17" s="3874" t="s">
        <v>13</v>
      </c>
      <c r="S17" s="3876">
        <f>F17</f>
        <v>100</v>
      </c>
      <c r="T17" s="3874" t="s">
        <v>13</v>
      </c>
      <c r="U17" s="3876">
        <f>H17</f>
        <v>100</v>
      </c>
      <c r="V17" s="3874" t="s">
        <v>13</v>
      </c>
      <c r="W17" s="3876">
        <f>J17</f>
        <v>100</v>
      </c>
      <c r="X17" s="935"/>
      <c r="Y17" s="4559"/>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693"/>
      <c r="Q18" s="1533"/>
      <c r="R18" s="3874"/>
      <c r="S18" s="3876"/>
      <c r="T18" s="3874"/>
      <c r="U18" s="3876"/>
      <c r="V18" s="3874"/>
      <c r="W18" s="3876"/>
      <c r="X18" s="935"/>
      <c r="Y18" s="4559"/>
      <c r="Z18" s="933"/>
      <c r="AA18" s="933">
        <v>1</v>
      </c>
      <c r="AB18" s="933">
        <v>1</v>
      </c>
      <c r="AC18" s="933">
        <v>1</v>
      </c>
    </row>
    <row r="19" spans="1:29" ht="15">
      <c r="A19" s="254"/>
      <c r="B19" s="269" t="s">
        <v>1724</v>
      </c>
      <c r="C19" s="1390">
        <f>估价对象房地状况!G5</f>
        <v>0</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693"/>
      <c r="Q19" s="1533" t="str">
        <f>B19</f>
        <v>公共配套设施</v>
      </c>
      <c r="R19" s="3874" t="s">
        <v>13</v>
      </c>
      <c r="S19" s="3876">
        <f>F19</f>
        <v>100</v>
      </c>
      <c r="T19" s="3874" t="s">
        <v>13</v>
      </c>
      <c r="U19" s="3876">
        <f>H19</f>
        <v>100</v>
      </c>
      <c r="V19" s="3874" t="s">
        <v>13</v>
      </c>
      <c r="W19" s="3876">
        <f>J19</f>
        <v>100</v>
      </c>
      <c r="X19" s="935"/>
      <c r="Y19" s="4559"/>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693"/>
      <c r="Q20" s="1533"/>
      <c r="R20" s="3874"/>
      <c r="S20" s="3876"/>
      <c r="T20" s="3874"/>
      <c r="U20" s="3876"/>
      <c r="V20" s="3874"/>
      <c r="W20" s="3876"/>
      <c r="X20" s="935"/>
      <c r="Y20" s="4559"/>
      <c r="Z20" s="933"/>
      <c r="AA20" s="933">
        <v>1</v>
      </c>
      <c r="AB20" s="933">
        <v>1</v>
      </c>
      <c r="AC20" s="933">
        <v>1</v>
      </c>
    </row>
    <row r="21" spans="1:29" ht="15">
      <c r="A21" s="254"/>
      <c r="B21" s="781" t="s">
        <v>1725</v>
      </c>
      <c r="C21" s="1390">
        <f>估价对象房地状况!G6</f>
        <v>0</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693"/>
      <c r="Q21" s="1533" t="str">
        <f>B21</f>
        <v>基础设施水平</v>
      </c>
      <c r="R21" s="3874" t="s">
        <v>13</v>
      </c>
      <c r="S21" s="3876">
        <f>F21</f>
        <v>100</v>
      </c>
      <c r="T21" s="3874" t="s">
        <v>13</v>
      </c>
      <c r="U21" s="3876">
        <f>H21</f>
        <v>100</v>
      </c>
      <c r="V21" s="3874" t="s">
        <v>13</v>
      </c>
      <c r="W21" s="3876">
        <f>J21</f>
        <v>100</v>
      </c>
      <c r="X21" s="935"/>
      <c r="Y21" s="4559"/>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693"/>
      <c r="Q22" s="1533"/>
      <c r="R22" s="3874"/>
      <c r="S22" s="3876"/>
      <c r="T22" s="3874"/>
      <c r="U22" s="3876"/>
      <c r="V22" s="3874"/>
      <c r="W22" s="3876"/>
      <c r="X22" s="935"/>
      <c r="Y22" s="4559"/>
      <c r="Z22" s="933"/>
      <c r="AA22" s="933">
        <v>1</v>
      </c>
      <c r="AB22" s="933">
        <v>1</v>
      </c>
      <c r="AC22" s="933">
        <v>1</v>
      </c>
    </row>
    <row r="23" spans="1:29" ht="15">
      <c r="A23" s="254"/>
      <c r="B23" s="269" t="s">
        <v>1726</v>
      </c>
      <c r="C23" s="1390">
        <f>估价对象房地状况!G7</f>
        <v>0</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693"/>
      <c r="Q23" s="1533" t="str">
        <f>B23</f>
        <v>环境质量</v>
      </c>
      <c r="R23" s="3874" t="s">
        <v>13</v>
      </c>
      <c r="S23" s="3876">
        <f>F23</f>
        <v>100</v>
      </c>
      <c r="T23" s="3874" t="s">
        <v>13</v>
      </c>
      <c r="U23" s="3876">
        <f>H23</f>
        <v>100</v>
      </c>
      <c r="V23" s="3874" t="s">
        <v>13</v>
      </c>
      <c r="W23" s="3876">
        <f>J23</f>
        <v>100</v>
      </c>
      <c r="X23" s="935"/>
      <c r="Y23" s="4559"/>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693"/>
      <c r="Q24" s="1533"/>
      <c r="R24" s="3874"/>
      <c r="S24" s="3876"/>
      <c r="T24" s="3874"/>
      <c r="U24" s="3876"/>
      <c r="V24" s="3874"/>
      <c r="W24" s="3876"/>
      <c r="X24" s="935"/>
      <c r="Y24" s="4559"/>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693"/>
      <c r="Q25" s="1533">
        <f>B25</f>
        <v>111</v>
      </c>
      <c r="R25" s="3874" t="s">
        <v>13</v>
      </c>
      <c r="S25" s="3876">
        <f>F25</f>
        <v>100</v>
      </c>
      <c r="T25" s="3874" t="s">
        <v>13</v>
      </c>
      <c r="U25" s="3876">
        <f>H25</f>
        <v>100</v>
      </c>
      <c r="V25" s="3874" t="s">
        <v>13</v>
      </c>
      <c r="W25" s="3876">
        <f>J25</f>
        <v>100</v>
      </c>
      <c r="X25" s="935"/>
      <c r="Y25" s="4559"/>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693"/>
      <c r="Q26" s="1533">
        <f t="shared" ref="Q26:Q40" si="11">B26</f>
        <v>111</v>
      </c>
      <c r="R26" s="3874" t="s">
        <v>13</v>
      </c>
      <c r="S26" s="3876">
        <f>F26</f>
        <v>100</v>
      </c>
      <c r="T26" s="3874" t="s">
        <v>13</v>
      </c>
      <c r="U26" s="3876">
        <f>H26</f>
        <v>100</v>
      </c>
      <c r="V26" s="3874" t="s">
        <v>13</v>
      </c>
      <c r="W26" s="3876">
        <f>J26</f>
        <v>100</v>
      </c>
      <c r="X26" s="935"/>
      <c r="Y26" s="4559"/>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693"/>
      <c r="Q27" s="1731">
        <f t="shared" si="11"/>
        <v>111</v>
      </c>
      <c r="R27" s="3873" t="s">
        <v>13</v>
      </c>
      <c r="S27" s="3654">
        <f>F27</f>
        <v>100</v>
      </c>
      <c r="T27" s="3873" t="s">
        <v>13</v>
      </c>
      <c r="U27" s="3654">
        <f>H27</f>
        <v>100</v>
      </c>
      <c r="V27" s="3873" t="s">
        <v>13</v>
      </c>
      <c r="W27" s="3654">
        <f>J27</f>
        <v>100</v>
      </c>
      <c r="X27" s="482"/>
      <c r="Y27" s="4559"/>
      <c r="Z27" s="28">
        <f>Q27</f>
        <v>111</v>
      </c>
      <c r="AA27" s="933">
        <f>D27/F27</f>
        <v>1</v>
      </c>
      <c r="AB27" s="933">
        <f>D27/H27</f>
        <v>1</v>
      </c>
      <c r="AC27" s="933">
        <f>D27/J27</f>
        <v>1</v>
      </c>
    </row>
    <row r="28" spans="1:29" ht="15.6"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693"/>
      <c r="Q28" s="1533">
        <f t="shared" si="11"/>
        <v>111</v>
      </c>
      <c r="R28" s="3874" t="s">
        <v>13</v>
      </c>
      <c r="S28" s="3876">
        <f t="shared" ref="S28:S40" si="12">F28</f>
        <v>100</v>
      </c>
      <c r="T28" s="3874" t="s">
        <v>13</v>
      </c>
      <c r="U28" s="3876">
        <f t="shared" ref="U28:U40" si="13">H28</f>
        <v>100</v>
      </c>
      <c r="V28" s="3874" t="s">
        <v>13</v>
      </c>
      <c r="W28" s="3876">
        <f t="shared" ref="W28:W40" si="14">J28</f>
        <v>100</v>
      </c>
      <c r="X28" s="935"/>
      <c r="Y28" s="4559"/>
      <c r="Z28" s="933">
        <f t="shared" ref="Z28:Z40" si="15">Q28</f>
        <v>111</v>
      </c>
      <c r="AA28" s="933">
        <f t="shared" si="3"/>
        <v>1</v>
      </c>
      <c r="AB28" s="933">
        <f t="shared" si="4"/>
        <v>1</v>
      </c>
      <c r="AC28" s="933">
        <f t="shared" si="5"/>
        <v>1</v>
      </c>
    </row>
    <row r="29" spans="1:29" ht="30">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694" t="s">
        <v>1608</v>
      </c>
      <c r="Q29" s="1533" t="str">
        <f t="shared" si="11"/>
        <v>建筑类型</v>
      </c>
      <c r="R29" s="3874" t="s">
        <v>13</v>
      </c>
      <c r="S29" s="3876">
        <f t="shared" si="12"/>
        <v>100</v>
      </c>
      <c r="T29" s="3874" t="s">
        <v>13</v>
      </c>
      <c r="U29" s="3876">
        <f t="shared" si="13"/>
        <v>100</v>
      </c>
      <c r="V29" s="3874" t="s">
        <v>13</v>
      </c>
      <c r="W29" s="3876">
        <f t="shared" si="14"/>
        <v>100</v>
      </c>
      <c r="X29" s="935"/>
      <c r="Y29" s="4563"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695"/>
      <c r="Q30" s="2941" t="str">
        <f t="shared" si="11"/>
        <v>项目建筑规模</v>
      </c>
      <c r="R30" s="3875" t="s">
        <v>13</v>
      </c>
      <c r="S30" s="3877" t="e">
        <f t="shared" si="12"/>
        <v>#N/A</v>
      </c>
      <c r="T30" s="3875" t="s">
        <v>13</v>
      </c>
      <c r="U30" s="3877" t="e">
        <f t="shared" si="13"/>
        <v>#N/A</v>
      </c>
      <c r="V30" s="3875" t="s">
        <v>13</v>
      </c>
      <c r="W30" s="3877" t="e">
        <f t="shared" si="14"/>
        <v>#N/A</v>
      </c>
      <c r="X30" s="484"/>
      <c r="Y30" s="4563"/>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695"/>
      <c r="Q31" s="1533" t="str">
        <f t="shared" si="11"/>
        <v>建筑结构</v>
      </c>
      <c r="R31" s="3874" t="s">
        <v>13</v>
      </c>
      <c r="S31" s="3876">
        <f t="shared" si="12"/>
        <v>100</v>
      </c>
      <c r="T31" s="3874" t="s">
        <v>13</v>
      </c>
      <c r="U31" s="3876">
        <f t="shared" si="13"/>
        <v>100</v>
      </c>
      <c r="V31" s="3874" t="s">
        <v>13</v>
      </c>
      <c r="W31" s="3876">
        <f t="shared" si="14"/>
        <v>100</v>
      </c>
      <c r="X31" s="935"/>
      <c r="Y31" s="4563"/>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695"/>
      <c r="Q32" s="1533" t="str">
        <f t="shared" si="11"/>
        <v>公共部分装修</v>
      </c>
      <c r="R32" s="3874" t="s">
        <v>13</v>
      </c>
      <c r="S32" s="3876">
        <f t="shared" si="12"/>
        <v>100</v>
      </c>
      <c r="T32" s="3874" t="s">
        <v>13</v>
      </c>
      <c r="U32" s="3876">
        <f t="shared" si="13"/>
        <v>100</v>
      </c>
      <c r="V32" s="3874" t="s">
        <v>13</v>
      </c>
      <c r="W32" s="3876">
        <f t="shared" si="14"/>
        <v>100</v>
      </c>
      <c r="X32" s="935"/>
      <c r="Y32" s="4563"/>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695"/>
      <c r="Q33" s="1533" t="str">
        <f t="shared" si="11"/>
        <v>成新度</v>
      </c>
      <c r="R33" s="3874" t="s">
        <v>13</v>
      </c>
      <c r="S33" s="3876" t="e">
        <f t="shared" si="12"/>
        <v>#N/A</v>
      </c>
      <c r="T33" s="3874" t="s">
        <v>13</v>
      </c>
      <c r="U33" s="3876" t="e">
        <f t="shared" si="13"/>
        <v>#N/A</v>
      </c>
      <c r="V33" s="3874" t="s">
        <v>13</v>
      </c>
      <c r="W33" s="3876" t="e">
        <f t="shared" si="14"/>
        <v>#N/A</v>
      </c>
      <c r="X33" s="935"/>
      <c r="Y33" s="4563"/>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695"/>
      <c r="Q34" s="1731" t="str">
        <f t="shared" si="11"/>
        <v>物业管理</v>
      </c>
      <c r="R34" s="3873" t="s">
        <v>13</v>
      </c>
      <c r="S34" s="3654">
        <f t="shared" si="12"/>
        <v>100</v>
      </c>
      <c r="T34" s="3873" t="s">
        <v>13</v>
      </c>
      <c r="U34" s="3654">
        <f t="shared" si="13"/>
        <v>100</v>
      </c>
      <c r="V34" s="3873" t="s">
        <v>13</v>
      </c>
      <c r="W34" s="3654">
        <f t="shared" si="14"/>
        <v>100</v>
      </c>
      <c r="X34" s="482"/>
      <c r="Y34" s="4563"/>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695" t="s">
        <v>1608</v>
      </c>
      <c r="Q35" s="1533" t="str">
        <f t="shared" si="11"/>
        <v>市政基础设施</v>
      </c>
      <c r="R35" s="3874" t="s">
        <v>13</v>
      </c>
      <c r="S35" s="3876">
        <f t="shared" si="12"/>
        <v>100</v>
      </c>
      <c r="T35" s="3874" t="s">
        <v>13</v>
      </c>
      <c r="U35" s="3876">
        <f t="shared" si="13"/>
        <v>100</v>
      </c>
      <c r="V35" s="3874" t="s">
        <v>13</v>
      </c>
      <c r="W35" s="3876">
        <f t="shared" si="14"/>
        <v>100</v>
      </c>
      <c r="X35" s="935"/>
      <c r="Y35" s="4563"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695"/>
      <c r="Q36" s="1533" t="str">
        <f t="shared" si="11"/>
        <v>内部装修</v>
      </c>
      <c r="R36" s="3874" t="s">
        <v>13</v>
      </c>
      <c r="S36" s="3876">
        <f t="shared" si="12"/>
        <v>100</v>
      </c>
      <c r="T36" s="3874" t="s">
        <v>13</v>
      </c>
      <c r="U36" s="3876">
        <f t="shared" si="13"/>
        <v>100</v>
      </c>
      <c r="V36" s="3874" t="s">
        <v>13</v>
      </c>
      <c r="W36" s="3876">
        <f t="shared" si="14"/>
        <v>100</v>
      </c>
      <c r="X36" s="935"/>
      <c r="Y36" s="4563"/>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695"/>
      <c r="Q37" s="1533" t="str">
        <f t="shared" si="11"/>
        <v>内部装修状况</v>
      </c>
      <c r="R37" s="3874" t="s">
        <v>13</v>
      </c>
      <c r="S37" s="3876">
        <f t="shared" si="12"/>
        <v>100</v>
      </c>
      <c r="T37" s="3874" t="s">
        <v>13</v>
      </c>
      <c r="U37" s="3876">
        <f t="shared" si="13"/>
        <v>100</v>
      </c>
      <c r="V37" s="3874" t="s">
        <v>13</v>
      </c>
      <c r="W37" s="3876">
        <f t="shared" si="14"/>
        <v>100</v>
      </c>
      <c r="X37" s="935"/>
      <c r="Y37" s="4563"/>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695"/>
      <c r="Q38" s="2941">
        <f t="shared" si="11"/>
        <v>111</v>
      </c>
      <c r="R38" s="3875" t="s">
        <v>13</v>
      </c>
      <c r="S38" s="3877">
        <f t="shared" si="12"/>
        <v>100</v>
      </c>
      <c r="T38" s="3875" t="s">
        <v>13</v>
      </c>
      <c r="U38" s="3877">
        <f t="shared" si="13"/>
        <v>100</v>
      </c>
      <c r="V38" s="3875" t="s">
        <v>13</v>
      </c>
      <c r="W38" s="3877">
        <f t="shared" si="14"/>
        <v>100</v>
      </c>
      <c r="X38" s="484"/>
      <c r="Y38" s="4563"/>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695"/>
      <c r="Q39" s="1533">
        <f t="shared" si="11"/>
        <v>111</v>
      </c>
      <c r="R39" s="3874" t="s">
        <v>13</v>
      </c>
      <c r="S39" s="3876">
        <f t="shared" si="12"/>
        <v>100</v>
      </c>
      <c r="T39" s="3874" t="s">
        <v>13</v>
      </c>
      <c r="U39" s="3876">
        <f t="shared" si="13"/>
        <v>100</v>
      </c>
      <c r="V39" s="3874" t="s">
        <v>13</v>
      </c>
      <c r="W39" s="3876">
        <f t="shared" si="14"/>
        <v>100</v>
      </c>
      <c r="X39" s="935"/>
      <c r="Y39" s="4563"/>
      <c r="Z39" s="933">
        <f t="shared" si="15"/>
        <v>111</v>
      </c>
      <c r="AA39" s="933">
        <f t="shared" si="3"/>
        <v>1</v>
      </c>
      <c r="AB39" s="933">
        <f t="shared" si="4"/>
        <v>1</v>
      </c>
      <c r="AC39" s="933">
        <f t="shared" si="5"/>
        <v>1</v>
      </c>
    </row>
    <row r="40" spans="1:29" ht="15.6"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696"/>
      <c r="Q40" s="1533">
        <f t="shared" si="11"/>
        <v>111</v>
      </c>
      <c r="R40" s="3874" t="s">
        <v>13</v>
      </c>
      <c r="S40" s="3876">
        <f t="shared" si="12"/>
        <v>100</v>
      </c>
      <c r="T40" s="3874" t="s">
        <v>13</v>
      </c>
      <c r="U40" s="3876">
        <f t="shared" si="13"/>
        <v>100</v>
      </c>
      <c r="V40" s="3874" t="s">
        <v>13</v>
      </c>
      <c r="W40" s="3876">
        <f t="shared" si="14"/>
        <v>100</v>
      </c>
      <c r="X40" s="935"/>
      <c r="Y40" s="4564"/>
      <c r="Z40" s="933">
        <f t="shared" si="15"/>
        <v>111</v>
      </c>
      <c r="AA40" s="933">
        <f t="shared" si="3"/>
        <v>1</v>
      </c>
      <c r="AB40" s="933">
        <f t="shared" si="4"/>
        <v>1</v>
      </c>
      <c r="AC40" s="933">
        <f t="shared" si="5"/>
        <v>1</v>
      </c>
    </row>
    <row r="41" spans="1:29" ht="14.4">
      <c r="A41" s="286" t="s">
        <v>1620</v>
      </c>
      <c r="B41" s="287"/>
      <c r="C41" s="787" t="s">
        <v>0</v>
      </c>
      <c r="D41" s="288"/>
      <c r="E41" s="3311"/>
      <c r="F41" s="3259"/>
      <c r="G41" s="3312"/>
      <c r="H41" s="3260"/>
      <c r="I41" s="3311"/>
      <c r="J41" s="3260"/>
      <c r="K41" s="2939"/>
      <c r="L41" s="623"/>
      <c r="M41" s="611"/>
      <c r="N41" s="611"/>
      <c r="O41" s="611"/>
      <c r="P41" s="4551" t="str">
        <f>A41</f>
        <v>成交单价（元/平方米）</v>
      </c>
      <c r="Q41" s="4551"/>
      <c r="R41" s="4552">
        <f>E41</f>
        <v>0</v>
      </c>
      <c r="S41" s="4552"/>
      <c r="T41" s="4552">
        <f>G41</f>
        <v>0</v>
      </c>
      <c r="U41" s="4552"/>
      <c r="V41" s="4552">
        <f>I41</f>
        <v>0</v>
      </c>
      <c r="W41" s="4552"/>
      <c r="X41" s="265"/>
      <c r="Y41" s="486"/>
      <c r="Z41" s="265"/>
      <c r="AA41" s="265"/>
      <c r="AB41" s="265"/>
      <c r="AC41" s="265"/>
    </row>
    <row r="42" spans="1:29" ht="1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551" t="str">
        <f>A42</f>
        <v>比较价值（元/平方米）</v>
      </c>
      <c r="Q42" s="4551"/>
      <c r="R42" s="4552" t="e">
        <f>IF(F1="售价",ROUND(PRODUCT(R41,AA7:AA40),0),ROUND(PRODUCT(R41,AA7:AA40),1))</f>
        <v>#DIV/0!</v>
      </c>
      <c r="S42" s="4552"/>
      <c r="T42" s="4552" t="e">
        <f>IF(F1="售价",ROUND(PRODUCT(T41,AB7:AB40),0),ROUND(PRODUCT(T41,AB7:AB40),1))</f>
        <v>#DIV/0!</v>
      </c>
      <c r="U42" s="4552"/>
      <c r="V42" s="4552" t="e">
        <f>IF(F1="售价",ROUND(PRODUCT(V41,AC7:AC40),0),ROUND(PRODUCT(V41,AC7:AC40),1))</f>
        <v>#DIV/0!</v>
      </c>
      <c r="W42" s="4552"/>
      <c r="X42" s="265"/>
      <c r="Y42" s="265"/>
      <c r="Z42" s="265"/>
      <c r="AA42" s="265"/>
      <c r="AB42" s="265"/>
      <c r="AC42" s="265"/>
    </row>
    <row r="43" spans="1:29" ht="15" thickBot="1">
      <c r="A43" s="291" t="s">
        <v>1706</v>
      </c>
      <c r="B43" s="292"/>
      <c r="C43" s="3859" t="e">
        <f>R43</f>
        <v>#DIV/0!</v>
      </c>
      <c r="D43" s="241"/>
      <c r="E43" s="241"/>
      <c r="F43" s="241"/>
      <c r="G43" s="241"/>
      <c r="H43" s="241"/>
      <c r="I43" s="241"/>
      <c r="J43" s="241"/>
      <c r="K43" s="487"/>
      <c r="L43" s="623"/>
      <c r="M43" s="611"/>
      <c r="N43" s="611"/>
      <c r="O43" s="611"/>
      <c r="P43" s="4666" t="str">
        <f>A43</f>
        <v>估价对象XX用房的比较价值（楼面单价，元/平方米）</v>
      </c>
      <c r="Q43" s="4667"/>
      <c r="R43" s="4668" t="e">
        <f>IF(F1="售价",ROUND(IF(D42="简单平均",AVERAGE(R42:V42),R42*F42+T42*H42+V42*J42),0),ROUND(IF(D42="简单平均",AVERAGE(R42:V42),R42*F42+T42*H42+V42*J42),1))</f>
        <v>#DIV/0!</v>
      </c>
      <c r="S43" s="4668"/>
      <c r="T43" s="4668"/>
      <c r="U43" s="4668"/>
      <c r="V43" s="4668"/>
      <c r="W43" s="4668"/>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2.2" thickBot="1">
      <c r="A51" s="476" t="s">
        <v>1710</v>
      </c>
      <c r="B51" s="265"/>
      <c r="C51" s="477"/>
      <c r="D51" s="477"/>
      <c r="E51" s="477"/>
      <c r="F51" s="478"/>
      <c r="G51" s="478"/>
      <c r="H51" s="477"/>
      <c r="I51" s="477"/>
      <c r="J51" s="477"/>
      <c r="K51" s="637"/>
      <c r="L51" s="638"/>
      <c r="M51" s="636"/>
      <c r="N51" s="636"/>
      <c r="O51" s="636"/>
      <c r="P51" s="3295"/>
      <c r="Q51" s="3296"/>
    </row>
    <row r="52" spans="1:23" s="305" customFormat="1" ht="14.4">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4.4">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4.4"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ht="14.4">
      <c r="A57" s="262" t="s">
        <v>1631</v>
      </c>
      <c r="B57" s="322" t="s">
        <v>1597</v>
      </c>
      <c r="C57" s="323">
        <f>C9</f>
        <v>0</v>
      </c>
      <c r="D57" s="324"/>
      <c r="E57" s="324"/>
      <c r="F57" s="324"/>
      <c r="G57" s="324"/>
      <c r="H57" s="324"/>
      <c r="I57" s="324"/>
      <c r="J57" s="324"/>
      <c r="K57" s="325"/>
      <c r="L57" s="326"/>
      <c r="M57" s="327"/>
      <c r="N57" s="629"/>
      <c r="O57" s="629"/>
      <c r="P57" s="3299"/>
      <c r="Q57" s="3296"/>
    </row>
    <row r="58" spans="1:23" ht="14.4" thickBot="1">
      <c r="A58" s="254"/>
      <c r="B58" s="328"/>
      <c r="C58" s="329">
        <v>100</v>
      </c>
      <c r="D58" s="329"/>
      <c r="E58" s="329"/>
      <c r="F58" s="329"/>
      <c r="G58" s="329"/>
      <c r="H58" s="329"/>
      <c r="I58" s="329"/>
      <c r="J58" s="329"/>
      <c r="K58" s="329"/>
      <c r="L58" s="329"/>
      <c r="M58" s="330"/>
      <c r="N58" s="630"/>
      <c r="O58" s="630"/>
      <c r="P58" s="3299"/>
      <c r="Q58" s="3296"/>
    </row>
    <row r="59" spans="1:23" ht="29.4" thickTop="1">
      <c r="A59" s="254"/>
      <c r="B59" s="331" t="s">
        <v>1600</v>
      </c>
      <c r="C59" s="372"/>
      <c r="D59" s="372"/>
      <c r="E59" s="372"/>
      <c r="F59" s="372"/>
      <c r="G59" s="372"/>
      <c r="H59" s="372"/>
      <c r="I59" s="372"/>
      <c r="J59" s="372"/>
      <c r="K59" s="373"/>
      <c r="L59" s="374"/>
      <c r="M59" s="375"/>
      <c r="N59" s="629"/>
      <c r="O59" s="629"/>
      <c r="P59" s="3299"/>
      <c r="Q59" s="3296"/>
    </row>
    <row r="60" spans="1:23" ht="15" thickBot="1">
      <c r="A60" s="254"/>
      <c r="B60" s="336" t="s">
        <v>3883</v>
      </c>
      <c r="C60" s="329"/>
      <c r="D60" s="329"/>
      <c r="E60" s="329"/>
      <c r="F60" s="329"/>
      <c r="G60" s="329"/>
      <c r="H60" s="329"/>
      <c r="I60" s="329"/>
      <c r="J60" s="329"/>
      <c r="K60" s="329"/>
      <c r="L60" s="329"/>
      <c r="M60" s="330"/>
      <c r="N60" s="630"/>
      <c r="O60" s="630"/>
      <c r="P60" s="3299"/>
      <c r="Q60" s="3296"/>
    </row>
    <row r="61" spans="1:23" ht="1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c r="A62" s="254"/>
      <c r="B62" s="341"/>
      <c r="C62" s="342">
        <v>0</v>
      </c>
      <c r="D62" s="342">
        <v>0.5</v>
      </c>
      <c r="E62" s="342">
        <v>1</v>
      </c>
      <c r="F62" s="342">
        <v>1.5</v>
      </c>
      <c r="G62" s="342">
        <v>2</v>
      </c>
      <c r="H62" s="342"/>
      <c r="I62" s="342"/>
      <c r="J62" s="342"/>
      <c r="K62" s="343"/>
      <c r="L62" s="344"/>
      <c r="M62" s="345"/>
      <c r="N62" s="629"/>
      <c r="O62" s="629"/>
      <c r="P62" s="3299"/>
      <c r="Q62" s="329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4.4"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4.4"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4.4"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4.4"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4.4"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4.4"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ht="14.4">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4.4"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4.4"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4.4"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4.4"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4.4"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4.4"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4.4" thickTop="1">
      <c r="A86" s="254"/>
      <c r="B86" s="339">
        <f>B28</f>
        <v>111</v>
      </c>
      <c r="C86" s="20"/>
      <c r="D86" s="20"/>
      <c r="E86" s="20"/>
      <c r="F86" s="20"/>
      <c r="G86" s="376"/>
      <c r="H86" s="376"/>
      <c r="I86" s="376"/>
      <c r="J86" s="376"/>
      <c r="K86" s="377"/>
      <c r="L86" s="378"/>
      <c r="M86" s="379"/>
      <c r="N86" s="629"/>
      <c r="O86" s="629"/>
      <c r="P86" s="3299"/>
      <c r="Q86" s="3296"/>
    </row>
    <row r="87" spans="1:23" ht="14.4" thickBot="1">
      <c r="A87" s="260"/>
      <c r="B87" s="360"/>
      <c r="C87" s="361"/>
      <c r="D87" s="361"/>
      <c r="E87" s="361"/>
      <c r="F87" s="361"/>
      <c r="G87" s="380"/>
      <c r="H87" s="380"/>
      <c r="I87" s="380"/>
      <c r="J87" s="380"/>
      <c r="K87" s="380"/>
      <c r="L87" s="380"/>
      <c r="M87" s="381"/>
      <c r="N87" s="630"/>
      <c r="O87" s="630"/>
      <c r="P87" s="3299"/>
      <c r="Q87" s="3296"/>
    </row>
    <row r="88" spans="1:23" ht="14.4">
      <c r="A88" s="262" t="s">
        <v>1606</v>
      </c>
      <c r="B88" s="322" t="s">
        <v>1648</v>
      </c>
      <c r="C88" s="324"/>
      <c r="D88" s="324"/>
      <c r="E88" s="324"/>
      <c r="F88" s="324"/>
      <c r="G88" s="324"/>
      <c r="H88" s="324"/>
      <c r="I88" s="324"/>
      <c r="J88" s="324"/>
      <c r="K88" s="325"/>
      <c r="L88" s="326"/>
      <c r="M88" s="327"/>
      <c r="N88" s="629"/>
      <c r="O88" s="629"/>
      <c r="P88" s="3299"/>
      <c r="Q88" s="329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4.4"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28.2"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29.4"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4.4"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4.4"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4.4" thickTop="1">
      <c r="A110" s="280"/>
      <c r="B110" s="331">
        <f>B39</f>
        <v>111</v>
      </c>
      <c r="C110" s="347"/>
      <c r="D110" s="347"/>
      <c r="E110" s="347"/>
      <c r="F110" s="347"/>
      <c r="G110" s="347"/>
      <c r="H110" s="348"/>
      <c r="I110" s="348"/>
      <c r="J110" s="348"/>
      <c r="K110" s="348"/>
      <c r="L110" s="349"/>
      <c r="M110" s="350"/>
      <c r="N110" s="629"/>
      <c r="O110" s="629"/>
      <c r="P110" s="3299"/>
      <c r="Q110" s="3296"/>
    </row>
    <row r="111" spans="1:23" ht="14.4" thickBot="1">
      <c r="A111" s="254"/>
      <c r="B111" s="336"/>
      <c r="C111" s="352"/>
      <c r="D111" s="329"/>
      <c r="E111" s="329"/>
      <c r="F111" s="329"/>
      <c r="G111" s="352"/>
      <c r="H111" s="354"/>
      <c r="I111" s="354"/>
      <c r="J111" s="354"/>
      <c r="K111" s="354"/>
      <c r="L111" s="354"/>
      <c r="M111" s="355"/>
      <c r="N111" s="630"/>
      <c r="O111" s="630"/>
      <c r="P111" s="3299"/>
      <c r="Q111" s="3296"/>
    </row>
    <row r="112" spans="1:23" ht="14.4" thickTop="1">
      <c r="A112" s="280"/>
      <c r="B112" s="339">
        <f>B40</f>
        <v>111</v>
      </c>
      <c r="C112" s="20"/>
      <c r="D112" s="20"/>
      <c r="E112" s="20"/>
      <c r="F112" s="20"/>
      <c r="G112" s="376"/>
      <c r="H112" s="376"/>
      <c r="I112" s="376"/>
      <c r="J112" s="376"/>
      <c r="K112" s="20"/>
      <c r="L112" s="320"/>
      <c r="M112" s="379"/>
      <c r="N112" s="629"/>
      <c r="O112" s="629"/>
      <c r="P112" s="3299"/>
      <c r="Q112" s="3296"/>
    </row>
    <row r="113" spans="1:17" ht="14.4"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K79" sqref="K79:M80"/>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3216</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3478</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4.4">
      <c r="A4" s="235" t="s">
        <v>1681</v>
      </c>
      <c r="B4" s="236"/>
      <c r="C4" s="4569" t="s">
        <v>1682</v>
      </c>
      <c r="D4" s="4570"/>
      <c r="E4" s="4571" t="s">
        <v>1683</v>
      </c>
      <c r="F4" s="4572"/>
      <c r="G4" s="4569" t="s">
        <v>1684</v>
      </c>
      <c r="H4" s="4570"/>
      <c r="I4" s="4569" t="s">
        <v>1685</v>
      </c>
      <c r="J4" s="4570"/>
      <c r="K4" s="393" t="s">
        <v>1686</v>
      </c>
      <c r="L4" s="2007"/>
      <c r="M4" s="2008"/>
      <c r="N4" s="2008"/>
      <c r="O4" s="2008"/>
      <c r="P4" s="4703" t="s">
        <v>1687</v>
      </c>
      <c r="Q4" s="4704"/>
      <c r="R4" s="4685" t="s">
        <v>1683</v>
      </c>
      <c r="S4" s="4686"/>
      <c r="T4" s="4685" t="s">
        <v>1684</v>
      </c>
      <c r="U4" s="4686"/>
      <c r="V4" s="4691" t="s">
        <v>1685</v>
      </c>
      <c r="W4" s="4691"/>
      <c r="X4" s="935"/>
      <c r="Y4" s="4685" t="s">
        <v>1687</v>
      </c>
      <c r="Z4" s="4686"/>
      <c r="AA4" s="4669" t="s">
        <v>1683</v>
      </c>
      <c r="AB4" s="4606" t="s">
        <v>1684</v>
      </c>
      <c r="AC4" s="4669" t="s">
        <v>1685</v>
      </c>
    </row>
    <row r="5" spans="1:29">
      <c r="A5" s="238"/>
      <c r="B5" s="239"/>
      <c r="C5" s="4602" t="s">
        <v>1585</v>
      </c>
      <c r="D5" s="4590"/>
      <c r="E5" s="4697" t="s">
        <v>1586</v>
      </c>
      <c r="F5" s="4609"/>
      <c r="G5" s="4602" t="s">
        <v>1587</v>
      </c>
      <c r="H5" s="4590"/>
      <c r="I5" s="4602" t="s">
        <v>1588</v>
      </c>
      <c r="J5" s="4590"/>
      <c r="K5" s="393"/>
      <c r="L5" s="2007"/>
      <c r="M5" s="2008"/>
      <c r="N5" s="2008"/>
      <c r="O5" s="2008"/>
      <c r="P5" s="4705"/>
      <c r="Q5" s="4706"/>
      <c r="R5" s="4597"/>
      <c r="S5" s="4598"/>
      <c r="T5" s="4597"/>
      <c r="U5" s="4598"/>
      <c r="V5" s="4691"/>
      <c r="W5" s="4691"/>
      <c r="X5" s="935"/>
      <c r="Y5" s="4597"/>
      <c r="Z5" s="4598"/>
      <c r="AA5" s="4606"/>
      <c r="AB5" s="4606"/>
      <c r="AC5" s="4606"/>
    </row>
    <row r="6" spans="1:29" ht="15" thickBot="1">
      <c r="A6" s="240"/>
      <c r="B6" s="241"/>
      <c r="C6" s="4587" t="s">
        <v>1589</v>
      </c>
      <c r="D6" s="4588"/>
      <c r="E6" s="4603" t="s">
        <v>1589</v>
      </c>
      <c r="F6" s="4604"/>
      <c r="G6" s="4587" t="s">
        <v>1589</v>
      </c>
      <c r="H6" s="4588"/>
      <c r="I6" s="4587" t="s">
        <v>1589</v>
      </c>
      <c r="J6" s="4588"/>
      <c r="K6" s="393" t="s">
        <v>1590</v>
      </c>
      <c r="L6" s="2007"/>
      <c r="M6" s="2008"/>
      <c r="N6" s="2008"/>
      <c r="O6" s="2008"/>
      <c r="P6" s="4707"/>
      <c r="Q6" s="4708"/>
      <c r="R6" s="4597"/>
      <c r="S6" s="4598"/>
      <c r="T6" s="4599"/>
      <c r="U6" s="4600"/>
      <c r="V6" s="4691"/>
      <c r="W6" s="4691"/>
      <c r="X6" s="935"/>
      <c r="Y6" s="4599"/>
      <c r="Z6" s="4600"/>
      <c r="AA6" s="4607"/>
      <c r="AB6" s="4607"/>
      <c r="AC6" s="4607"/>
    </row>
    <row r="7" spans="1:29" s="46" customFormat="1" ht="15" thickBot="1">
      <c r="A7" s="242" t="s">
        <v>1591</v>
      </c>
      <c r="B7" s="243"/>
      <c r="C7" s="244">
        <f>'数据-取费表'!B2</f>
        <v>46049</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93" t="s">
        <v>1592</v>
      </c>
      <c r="Q7" s="4709"/>
      <c r="R7" s="3880" t="s">
        <v>13</v>
      </c>
      <c r="S7" s="3883">
        <f t="shared" ref="S7:S14" si="0">F7</f>
        <v>0</v>
      </c>
      <c r="T7" s="3880" t="s">
        <v>13</v>
      </c>
      <c r="U7" s="3883">
        <f t="shared" ref="U7:U14" si="1">H7</f>
        <v>0</v>
      </c>
      <c r="V7" s="3880" t="s">
        <v>13</v>
      </c>
      <c r="W7" s="3883">
        <f t="shared" ref="W7:W14" si="2">J7</f>
        <v>0</v>
      </c>
      <c r="X7" s="482"/>
      <c r="Y7" s="4593" t="s">
        <v>1592</v>
      </c>
      <c r="Z7" s="4594"/>
      <c r="AA7" s="28" t="e">
        <f>D7/F7</f>
        <v>#DIV/0!</v>
      </c>
      <c r="AB7" s="28" t="e">
        <f>D7/H7</f>
        <v>#DIV/0!</v>
      </c>
      <c r="AC7" s="28" t="e">
        <f>D7/J7</f>
        <v>#DIV/0!</v>
      </c>
    </row>
    <row r="8" spans="1:29" s="46" customFormat="1" ht="1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93" t="s">
        <v>1595</v>
      </c>
      <c r="Q8" s="4594"/>
      <c r="R8" s="3880" t="s">
        <v>13</v>
      </c>
      <c r="S8" s="3883">
        <f t="shared" si="0"/>
        <v>100</v>
      </c>
      <c r="T8" s="3880" t="s">
        <v>13</v>
      </c>
      <c r="U8" s="3883">
        <f t="shared" si="1"/>
        <v>100</v>
      </c>
      <c r="V8" s="3880" t="s">
        <v>13</v>
      </c>
      <c r="W8" s="3883">
        <f t="shared" si="2"/>
        <v>100</v>
      </c>
      <c r="X8" s="482"/>
      <c r="Y8" s="4593" t="s">
        <v>1595</v>
      </c>
      <c r="Z8" s="4594"/>
      <c r="AA8" s="28">
        <f t="shared" ref="AA8:AA36" si="3">D8/F8</f>
        <v>1</v>
      </c>
      <c r="AB8" s="28">
        <f t="shared" ref="AB8:AB36" si="4">D8/H8</f>
        <v>1</v>
      </c>
      <c r="AC8" s="28">
        <f t="shared" ref="AC8:AC36" si="5">D8/J8</f>
        <v>1</v>
      </c>
    </row>
    <row r="9" spans="1:29" s="46" customFormat="1" ht="14.4">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698" t="s">
        <v>1598</v>
      </c>
      <c r="Q9" s="389" t="str">
        <f t="shared" ref="Q9:Q14" si="6">B9</f>
        <v>用途</v>
      </c>
      <c r="R9" s="3880" t="s">
        <v>13</v>
      </c>
      <c r="S9" s="3883">
        <f t="shared" si="0"/>
        <v>100</v>
      </c>
      <c r="T9" s="3880" t="s">
        <v>13</v>
      </c>
      <c r="U9" s="3883">
        <f t="shared" si="1"/>
        <v>100</v>
      </c>
      <c r="V9" s="3880" t="s">
        <v>13</v>
      </c>
      <c r="W9" s="3883">
        <f t="shared" si="2"/>
        <v>100</v>
      </c>
      <c r="X9" s="482"/>
      <c r="Y9" s="4565" t="s">
        <v>1599</v>
      </c>
      <c r="Z9" s="28" t="str">
        <f t="shared" ref="Z9:Z14" si="7">Q9</f>
        <v>用途</v>
      </c>
      <c r="AA9" s="28">
        <f t="shared" si="3"/>
        <v>1</v>
      </c>
      <c r="AB9" s="28">
        <f t="shared" si="4"/>
        <v>1</v>
      </c>
      <c r="AC9" s="28">
        <f t="shared" si="5"/>
        <v>1</v>
      </c>
    </row>
    <row r="10" spans="1:29" s="253" customFormat="1" ht="28.8">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698"/>
      <c r="Q10" s="389" t="str">
        <f t="shared" si="6"/>
        <v>土地使用年限（年）</v>
      </c>
      <c r="R10" s="3880" t="s">
        <v>13</v>
      </c>
      <c r="S10" s="3883">
        <f t="shared" si="0"/>
        <v>100</v>
      </c>
      <c r="T10" s="3880" t="s">
        <v>13</v>
      </c>
      <c r="U10" s="3883">
        <f t="shared" si="1"/>
        <v>100</v>
      </c>
      <c r="V10" s="3880" t="s">
        <v>13</v>
      </c>
      <c r="W10" s="3883">
        <f t="shared" si="2"/>
        <v>100</v>
      </c>
      <c r="X10" s="482"/>
      <c r="Y10" s="4565"/>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698"/>
      <c r="Q11" s="389">
        <f t="shared" si="6"/>
        <v>111</v>
      </c>
      <c r="R11" s="3880" t="s">
        <v>13</v>
      </c>
      <c r="S11" s="3883">
        <f t="shared" si="0"/>
        <v>100</v>
      </c>
      <c r="T11" s="3880" t="s">
        <v>13</v>
      </c>
      <c r="U11" s="3883">
        <f t="shared" si="1"/>
        <v>100</v>
      </c>
      <c r="V11" s="3880" t="s">
        <v>13</v>
      </c>
      <c r="W11" s="3883">
        <f t="shared" si="2"/>
        <v>100</v>
      </c>
      <c r="X11" s="482"/>
      <c r="Y11" s="4565"/>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698"/>
      <c r="Q12" s="389">
        <f t="shared" si="6"/>
        <v>111</v>
      </c>
      <c r="R12" s="3880" t="s">
        <v>13</v>
      </c>
      <c r="S12" s="3883">
        <f t="shared" si="0"/>
        <v>100</v>
      </c>
      <c r="T12" s="3880" t="s">
        <v>13</v>
      </c>
      <c r="U12" s="3883">
        <f t="shared" si="1"/>
        <v>100</v>
      </c>
      <c r="V12" s="3880" t="s">
        <v>13</v>
      </c>
      <c r="W12" s="3883">
        <f t="shared" si="2"/>
        <v>100</v>
      </c>
      <c r="X12" s="482"/>
      <c r="Y12" s="4565"/>
      <c r="Z12" s="28">
        <f t="shared" si="7"/>
        <v>111</v>
      </c>
      <c r="AA12" s="28">
        <f>D12/F12</f>
        <v>1</v>
      </c>
      <c r="AB12" s="28">
        <f>D12/H12</f>
        <v>1</v>
      </c>
      <c r="AC12" s="28">
        <f>D12/J12</f>
        <v>1</v>
      </c>
    </row>
    <row r="13" spans="1:29" ht="15.6"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698"/>
      <c r="Q13" s="389">
        <f t="shared" si="6"/>
        <v>111</v>
      </c>
      <c r="R13" s="3880" t="s">
        <v>13</v>
      </c>
      <c r="S13" s="3883">
        <f t="shared" si="0"/>
        <v>100</v>
      </c>
      <c r="T13" s="3880" t="s">
        <v>13</v>
      </c>
      <c r="U13" s="3883">
        <f t="shared" si="1"/>
        <v>100</v>
      </c>
      <c r="V13" s="3880" t="s">
        <v>13</v>
      </c>
      <c r="W13" s="3883">
        <f t="shared" si="2"/>
        <v>100</v>
      </c>
      <c r="X13" s="482"/>
      <c r="Y13" s="4565"/>
      <c r="Z13" s="28">
        <f t="shared" si="7"/>
        <v>111</v>
      </c>
      <c r="AA13" s="28">
        <f t="shared" si="3"/>
        <v>1</v>
      </c>
      <c r="AB13" s="28">
        <f t="shared" si="4"/>
        <v>1</v>
      </c>
      <c r="AC13" s="28">
        <f t="shared" si="5"/>
        <v>1</v>
      </c>
    </row>
    <row r="14" spans="1:29" ht="15">
      <c r="A14" s="235" t="s">
        <v>1602</v>
      </c>
      <c r="B14" s="403" t="s">
        <v>1745</v>
      </c>
      <c r="C14" s="1450">
        <f>IF(B1="工业",估价对象房地状况!G4,估价对象房地状况!C6)</f>
        <v>0</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558" t="s">
        <v>1603</v>
      </c>
      <c r="Q14" s="932" t="str">
        <f t="shared" si="6"/>
        <v>交通便捷度</v>
      </c>
      <c r="R14" s="3881" t="s">
        <v>13</v>
      </c>
      <c r="S14" s="3884">
        <f t="shared" si="0"/>
        <v>100</v>
      </c>
      <c r="T14" s="3881" t="s">
        <v>13</v>
      </c>
      <c r="U14" s="3884">
        <f t="shared" si="1"/>
        <v>100</v>
      </c>
      <c r="V14" s="3881" t="s">
        <v>13</v>
      </c>
      <c r="W14" s="3884">
        <f t="shared" si="2"/>
        <v>100</v>
      </c>
      <c r="X14" s="935"/>
      <c r="Y14" s="4558"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559"/>
      <c r="Q15" s="932"/>
      <c r="R15" s="3881"/>
      <c r="S15" s="3884"/>
      <c r="T15" s="3881"/>
      <c r="U15" s="3884"/>
      <c r="V15" s="3881"/>
      <c r="W15" s="3884"/>
      <c r="X15" s="935"/>
      <c r="Y15" s="4559"/>
      <c r="Z15" s="933"/>
      <c r="AA15" s="933">
        <v>1</v>
      </c>
      <c r="AB15" s="933">
        <v>1</v>
      </c>
      <c r="AC15" s="933">
        <v>1</v>
      </c>
    </row>
    <row r="16" spans="1:29" ht="15">
      <c r="A16" s="238"/>
      <c r="B16" s="405" t="s">
        <v>1724</v>
      </c>
      <c r="C16" s="1390">
        <f>IF(B1="工业",估价对象房地状况!G5,估价对象房地状况!C7)</f>
        <v>0</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559"/>
      <c r="Q16" s="932" t="str">
        <f>B16</f>
        <v>公共配套设施</v>
      </c>
      <c r="R16" s="3881" t="s">
        <v>13</v>
      </c>
      <c r="S16" s="3884">
        <f>F16</f>
        <v>100</v>
      </c>
      <c r="T16" s="3881" t="s">
        <v>13</v>
      </c>
      <c r="U16" s="3884">
        <f>H16</f>
        <v>100</v>
      </c>
      <c r="V16" s="3881" t="s">
        <v>13</v>
      </c>
      <c r="W16" s="3884">
        <f>J16</f>
        <v>100</v>
      </c>
      <c r="X16" s="935"/>
      <c r="Y16" s="4559"/>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559"/>
      <c r="Q17" s="932"/>
      <c r="R17" s="3881"/>
      <c r="S17" s="3884"/>
      <c r="T17" s="3881"/>
      <c r="U17" s="3884"/>
      <c r="V17" s="3881"/>
      <c r="W17" s="3884"/>
      <c r="X17" s="935"/>
      <c r="Y17" s="4559"/>
      <c r="Z17" s="933"/>
      <c r="AA17" s="933">
        <v>1</v>
      </c>
      <c r="AB17" s="933">
        <v>1</v>
      </c>
      <c r="AC17" s="933">
        <v>1</v>
      </c>
    </row>
    <row r="18" spans="1:29" ht="15">
      <c r="A18" s="238"/>
      <c r="B18" s="407" t="s">
        <v>1725</v>
      </c>
      <c r="C18" s="1390">
        <f>IF(B1="工业",估价对象房地状况!G6,估价对象房地状况!C8)</f>
        <v>0</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559"/>
      <c r="Q18" s="932" t="str">
        <f>B18</f>
        <v>基础设施水平</v>
      </c>
      <c r="R18" s="3881" t="s">
        <v>13</v>
      </c>
      <c r="S18" s="3884">
        <f>F18</f>
        <v>100</v>
      </c>
      <c r="T18" s="3881" t="s">
        <v>13</v>
      </c>
      <c r="U18" s="3884">
        <f>H18</f>
        <v>100</v>
      </c>
      <c r="V18" s="3881" t="s">
        <v>13</v>
      </c>
      <c r="W18" s="3884">
        <f>J18</f>
        <v>100</v>
      </c>
      <c r="X18" s="935"/>
      <c r="Y18" s="4559"/>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559"/>
      <c r="Q19" s="932"/>
      <c r="R19" s="3881"/>
      <c r="S19" s="3884"/>
      <c r="T19" s="3881"/>
      <c r="U19" s="3884"/>
      <c r="V19" s="3881"/>
      <c r="W19" s="3884"/>
      <c r="X19" s="935"/>
      <c r="Y19" s="4559"/>
      <c r="Z19" s="933"/>
      <c r="AA19" s="933">
        <v>1</v>
      </c>
      <c r="AB19" s="933">
        <v>1</v>
      </c>
      <c r="AC19" s="933">
        <v>1</v>
      </c>
    </row>
    <row r="20" spans="1:29" ht="15">
      <c r="A20" s="238"/>
      <c r="B20" s="405" t="s">
        <v>1746</v>
      </c>
      <c r="C20" s="1390">
        <f>IF(B1="工业",估价对象房地状况!G7,估价对象房地状况!C9)</f>
        <v>0</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559"/>
      <c r="Q20" s="932" t="str">
        <f>B20</f>
        <v>自然及人文环境</v>
      </c>
      <c r="R20" s="3881" t="s">
        <v>13</v>
      </c>
      <c r="S20" s="3884">
        <f>F20</f>
        <v>100</v>
      </c>
      <c r="T20" s="3881" t="s">
        <v>13</v>
      </c>
      <c r="U20" s="3884">
        <f>H20</f>
        <v>100</v>
      </c>
      <c r="V20" s="3881" t="s">
        <v>13</v>
      </c>
      <c r="W20" s="3884">
        <f>J20</f>
        <v>100</v>
      </c>
      <c r="X20" s="935"/>
      <c r="Y20" s="4559"/>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559"/>
      <c r="Q21" s="932"/>
      <c r="R21" s="3881"/>
      <c r="S21" s="3884"/>
      <c r="T21" s="3881"/>
      <c r="U21" s="3884"/>
      <c r="V21" s="3881"/>
      <c r="W21" s="3884"/>
      <c r="X21" s="935"/>
      <c r="Y21" s="4559"/>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559"/>
      <c r="Q22" s="932" t="str">
        <f>B22</f>
        <v>楼层</v>
      </c>
      <c r="R22" s="3881" t="s">
        <v>13</v>
      </c>
      <c r="S22" s="3884">
        <f>F22</f>
        <v>100</v>
      </c>
      <c r="T22" s="3881" t="s">
        <v>13</v>
      </c>
      <c r="U22" s="3884">
        <f>H22</f>
        <v>100</v>
      </c>
      <c r="V22" s="3881" t="s">
        <v>13</v>
      </c>
      <c r="W22" s="3884">
        <f>J22</f>
        <v>100</v>
      </c>
      <c r="X22" s="935"/>
      <c r="Y22" s="4559"/>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559"/>
      <c r="Q23" s="932">
        <f>B23</f>
        <v>111</v>
      </c>
      <c r="R23" s="3881" t="s">
        <v>13</v>
      </c>
      <c r="S23" s="3884">
        <f>F23</f>
        <v>100</v>
      </c>
      <c r="T23" s="3881" t="s">
        <v>13</v>
      </c>
      <c r="U23" s="3884">
        <f>H23</f>
        <v>100</v>
      </c>
      <c r="V23" s="3881" t="s">
        <v>13</v>
      </c>
      <c r="W23" s="3884">
        <f>J23</f>
        <v>100</v>
      </c>
      <c r="X23" s="935"/>
      <c r="Y23" s="4559"/>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559"/>
      <c r="Q24" s="932">
        <f t="shared" ref="Q24:Q36" si="11">B24</f>
        <v>111</v>
      </c>
      <c r="R24" s="3881" t="s">
        <v>13</v>
      </c>
      <c r="S24" s="3884">
        <f>F24</f>
        <v>100</v>
      </c>
      <c r="T24" s="3881" t="s">
        <v>13</v>
      </c>
      <c r="U24" s="3884">
        <f>H24</f>
        <v>100</v>
      </c>
      <c r="V24" s="3881" t="s">
        <v>13</v>
      </c>
      <c r="W24" s="3884">
        <f>J24</f>
        <v>100</v>
      </c>
      <c r="X24" s="935"/>
      <c r="Y24" s="4559"/>
      <c r="Z24" s="933">
        <f>Q24</f>
        <v>111</v>
      </c>
      <c r="AA24" s="933">
        <f t="shared" si="3"/>
        <v>1</v>
      </c>
      <c r="AB24" s="933">
        <f t="shared" si="4"/>
        <v>1</v>
      </c>
      <c r="AC24" s="933">
        <f t="shared" si="5"/>
        <v>1</v>
      </c>
    </row>
    <row r="25" spans="1:29" s="46" customFormat="1" ht="15.6"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559"/>
      <c r="Q25" s="389">
        <f t="shared" si="11"/>
        <v>111</v>
      </c>
      <c r="R25" s="3880" t="s">
        <v>13</v>
      </c>
      <c r="S25" s="3883">
        <f>F25</f>
        <v>100</v>
      </c>
      <c r="T25" s="3880" t="s">
        <v>13</v>
      </c>
      <c r="U25" s="3883">
        <f>H25</f>
        <v>100</v>
      </c>
      <c r="V25" s="3880" t="s">
        <v>13</v>
      </c>
      <c r="W25" s="3883">
        <f>J25</f>
        <v>100</v>
      </c>
      <c r="X25" s="482"/>
      <c r="Y25" s="4559"/>
      <c r="Z25" s="28">
        <f>Q25</f>
        <v>111</v>
      </c>
      <c r="AA25" s="933">
        <f>D25/F25</f>
        <v>1</v>
      </c>
      <c r="AB25" s="933">
        <f>D25/H25</f>
        <v>1</v>
      </c>
      <c r="AC25" s="933">
        <f>D25/J25</f>
        <v>1</v>
      </c>
    </row>
    <row r="26" spans="1:29" ht="30">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702"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563"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563"/>
      <c r="Q27" s="483" t="str">
        <f t="shared" si="11"/>
        <v>项目停车位配比</v>
      </c>
      <c r="R27" s="3882" t="s">
        <v>13</v>
      </c>
      <c r="S27" s="3885">
        <f t="shared" si="12"/>
        <v>100</v>
      </c>
      <c r="T27" s="3882" t="s">
        <v>13</v>
      </c>
      <c r="U27" s="3885">
        <f t="shared" si="13"/>
        <v>100</v>
      </c>
      <c r="V27" s="3882" t="s">
        <v>13</v>
      </c>
      <c r="W27" s="3885">
        <f t="shared" si="14"/>
        <v>100</v>
      </c>
      <c r="X27" s="484"/>
      <c r="Y27" s="4563"/>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563"/>
      <c r="Q28" s="932" t="str">
        <f t="shared" si="11"/>
        <v>公共部分装修</v>
      </c>
      <c r="R28" s="3881" t="s">
        <v>13</v>
      </c>
      <c r="S28" s="3884">
        <f t="shared" si="12"/>
        <v>100</v>
      </c>
      <c r="T28" s="3881" t="s">
        <v>13</v>
      </c>
      <c r="U28" s="3884">
        <f t="shared" si="13"/>
        <v>100</v>
      </c>
      <c r="V28" s="3881" t="s">
        <v>13</v>
      </c>
      <c r="W28" s="3884">
        <f t="shared" si="14"/>
        <v>100</v>
      </c>
      <c r="X28" s="935"/>
      <c r="Y28" s="4563"/>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563"/>
      <c r="Q29" s="932" t="str">
        <f t="shared" si="11"/>
        <v>成新率</v>
      </c>
      <c r="R29" s="3881" t="s">
        <v>13</v>
      </c>
      <c r="S29" s="3884" t="e">
        <f t="shared" si="12"/>
        <v>#N/A</v>
      </c>
      <c r="T29" s="3881" t="s">
        <v>13</v>
      </c>
      <c r="U29" s="3884" t="e">
        <f t="shared" si="13"/>
        <v>#N/A</v>
      </c>
      <c r="V29" s="3881" t="s">
        <v>13</v>
      </c>
      <c r="W29" s="3884" t="e">
        <f t="shared" si="14"/>
        <v>#N/A</v>
      </c>
      <c r="X29" s="935"/>
      <c r="Y29" s="4563"/>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563"/>
      <c r="Q30" s="932" t="str">
        <f t="shared" si="11"/>
        <v>物业等级</v>
      </c>
      <c r="R30" s="3881" t="s">
        <v>13</v>
      </c>
      <c r="S30" s="3884">
        <f t="shared" si="12"/>
        <v>100</v>
      </c>
      <c r="T30" s="3881" t="s">
        <v>13</v>
      </c>
      <c r="U30" s="3884">
        <f t="shared" si="13"/>
        <v>100</v>
      </c>
      <c r="V30" s="3881" t="s">
        <v>13</v>
      </c>
      <c r="W30" s="3884">
        <f t="shared" si="14"/>
        <v>100</v>
      </c>
      <c r="X30" s="935"/>
      <c r="Y30" s="4563"/>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563"/>
      <c r="Q31" s="389" t="str">
        <f t="shared" si="11"/>
        <v>停车位面积</v>
      </c>
      <c r="R31" s="3880" t="s">
        <v>13</v>
      </c>
      <c r="S31" s="3883" t="e">
        <f t="shared" si="12"/>
        <v>#N/A</v>
      </c>
      <c r="T31" s="3880" t="s">
        <v>13</v>
      </c>
      <c r="U31" s="3883" t="e">
        <f t="shared" si="13"/>
        <v>#N/A</v>
      </c>
      <c r="V31" s="3880" t="s">
        <v>13</v>
      </c>
      <c r="W31" s="3883" t="e">
        <f t="shared" si="14"/>
        <v>#N/A</v>
      </c>
      <c r="X31" s="482"/>
      <c r="Y31" s="4563"/>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563" t="s">
        <v>1608</v>
      </c>
      <c r="Q32" s="932" t="str">
        <f t="shared" si="11"/>
        <v>车位类型</v>
      </c>
      <c r="R32" s="3881" t="s">
        <v>13</v>
      </c>
      <c r="S32" s="3884">
        <f t="shared" si="12"/>
        <v>100</v>
      </c>
      <c r="T32" s="3881" t="s">
        <v>13</v>
      </c>
      <c r="U32" s="3884">
        <f t="shared" si="13"/>
        <v>100</v>
      </c>
      <c r="V32" s="3881" t="s">
        <v>13</v>
      </c>
      <c r="W32" s="3884">
        <f t="shared" si="14"/>
        <v>100</v>
      </c>
      <c r="X32" s="935"/>
      <c r="Y32" s="4563"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563"/>
      <c r="Q33" s="932" t="str">
        <f t="shared" si="11"/>
        <v>是否直接入户</v>
      </c>
      <c r="R33" s="3881" t="s">
        <v>13</v>
      </c>
      <c r="S33" s="3884">
        <f t="shared" si="12"/>
        <v>100</v>
      </c>
      <c r="T33" s="3881" t="s">
        <v>13</v>
      </c>
      <c r="U33" s="3884">
        <f t="shared" si="13"/>
        <v>100</v>
      </c>
      <c r="V33" s="3881" t="s">
        <v>13</v>
      </c>
      <c r="W33" s="3884">
        <f t="shared" si="14"/>
        <v>100</v>
      </c>
      <c r="X33" s="935"/>
      <c r="Y33" s="4563"/>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563"/>
      <c r="Q34" s="932">
        <f t="shared" si="11"/>
        <v>111</v>
      </c>
      <c r="R34" s="3881" t="s">
        <v>13</v>
      </c>
      <c r="S34" s="3884">
        <f t="shared" si="12"/>
        <v>100</v>
      </c>
      <c r="T34" s="3881" t="s">
        <v>13</v>
      </c>
      <c r="U34" s="3884">
        <f t="shared" si="13"/>
        <v>100</v>
      </c>
      <c r="V34" s="3881" t="s">
        <v>13</v>
      </c>
      <c r="W34" s="3884">
        <f t="shared" si="14"/>
        <v>100</v>
      </c>
      <c r="X34" s="935"/>
      <c r="Y34" s="4563"/>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563"/>
      <c r="Q35" s="483">
        <f t="shared" si="11"/>
        <v>111</v>
      </c>
      <c r="R35" s="3882" t="s">
        <v>13</v>
      </c>
      <c r="S35" s="3885">
        <f t="shared" si="12"/>
        <v>100</v>
      </c>
      <c r="T35" s="3882" t="s">
        <v>13</v>
      </c>
      <c r="U35" s="3885">
        <f t="shared" si="13"/>
        <v>100</v>
      </c>
      <c r="V35" s="3882" t="s">
        <v>13</v>
      </c>
      <c r="W35" s="3885">
        <f t="shared" si="14"/>
        <v>100</v>
      </c>
      <c r="X35" s="484"/>
      <c r="Y35" s="4563"/>
      <c r="Z35" s="485">
        <f t="shared" si="15"/>
        <v>111</v>
      </c>
      <c r="AA35" s="933">
        <f t="shared" si="3"/>
        <v>1</v>
      </c>
      <c r="AB35" s="933">
        <f t="shared" si="4"/>
        <v>1</v>
      </c>
      <c r="AC35" s="933">
        <f t="shared" si="5"/>
        <v>1</v>
      </c>
    </row>
    <row r="36" spans="1:29" ht="15.6"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563"/>
      <c r="Q36" s="932">
        <f t="shared" si="11"/>
        <v>111</v>
      </c>
      <c r="R36" s="3881" t="s">
        <v>13</v>
      </c>
      <c r="S36" s="3884">
        <f t="shared" si="12"/>
        <v>100</v>
      </c>
      <c r="T36" s="3881" t="s">
        <v>13</v>
      </c>
      <c r="U36" s="3884">
        <f t="shared" si="13"/>
        <v>100</v>
      </c>
      <c r="V36" s="3881" t="s">
        <v>13</v>
      </c>
      <c r="W36" s="3884">
        <f t="shared" si="14"/>
        <v>100</v>
      </c>
      <c r="X36" s="935"/>
      <c r="Y36" s="4563"/>
      <c r="Z36" s="933">
        <f t="shared" si="15"/>
        <v>111</v>
      </c>
      <c r="AA36" s="933">
        <f t="shared" si="3"/>
        <v>1</v>
      </c>
      <c r="AB36" s="933">
        <f t="shared" si="4"/>
        <v>1</v>
      </c>
      <c r="AC36" s="933">
        <f t="shared" si="5"/>
        <v>1</v>
      </c>
    </row>
    <row r="37" spans="1:29" ht="14.4">
      <c r="A37" s="286" t="s">
        <v>1756</v>
      </c>
      <c r="B37" s="1452" t="s">
        <v>3236</v>
      </c>
      <c r="C37" s="787" t="s">
        <v>0</v>
      </c>
      <c r="D37" s="288"/>
      <c r="E37" s="3311"/>
      <c r="F37" s="3259"/>
      <c r="G37" s="3312"/>
      <c r="H37" s="3260"/>
      <c r="I37" s="3311"/>
      <c r="J37" s="3260"/>
      <c r="K37" s="3313"/>
      <c r="L37" s="2015"/>
      <c r="M37" s="2008"/>
      <c r="N37" s="2008"/>
      <c r="O37" s="2008"/>
      <c r="P37" s="4698" t="str">
        <f>A37</f>
        <v>成交单价</v>
      </c>
      <c r="Q37" s="4698"/>
      <c r="R37" s="4691">
        <f>E37</f>
        <v>0</v>
      </c>
      <c r="S37" s="4691"/>
      <c r="T37" s="4691">
        <f>G37</f>
        <v>0</v>
      </c>
      <c r="U37" s="4691"/>
      <c r="V37" s="4691">
        <f>I37</f>
        <v>0</v>
      </c>
      <c r="W37" s="4691"/>
      <c r="X37" s="265"/>
      <c r="Y37" s="486"/>
      <c r="Z37" s="265"/>
      <c r="AA37" s="265"/>
      <c r="AB37" s="265"/>
      <c r="AC37" s="265"/>
    </row>
    <row r="38" spans="1:29" ht="1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698" t="str">
        <f>A38</f>
        <v>比较价值（元/平方米）</v>
      </c>
      <c r="Q38" s="4698"/>
      <c r="R38" s="4691" t="e">
        <f>IF(F1="售价",ROUND(PRODUCT(R37,AA7:AA36),0),ROUND(PRODUCT(R37,AA7:AA36),1))</f>
        <v>#DIV/0!</v>
      </c>
      <c r="S38" s="4691"/>
      <c r="T38" s="4691" t="e">
        <f>IF(F1="售价",ROUND(PRODUCT(T37,AB7:AB36),0),ROUND(PRODUCT(T37,AB7:AB36),1))</f>
        <v>#DIV/0!</v>
      </c>
      <c r="U38" s="4691"/>
      <c r="V38" s="4691" t="e">
        <f>IF(F1="售价",ROUND(PRODUCT(V37,AC7:AC36),0),ROUND(PRODUCT(V37,AC7:AC36),1))</f>
        <v>#DIV/0!</v>
      </c>
      <c r="W38" s="4691"/>
      <c r="X38" s="265"/>
      <c r="Y38" s="265"/>
      <c r="Z38" s="265"/>
      <c r="AA38" s="265"/>
      <c r="AB38" s="265"/>
      <c r="AC38" s="265"/>
    </row>
    <row r="39" spans="1:29" ht="15" thickBot="1">
      <c r="A39" s="291" t="s">
        <v>1758</v>
      </c>
      <c r="B39" s="292"/>
      <c r="C39" s="3859" t="e">
        <f>R39</f>
        <v>#DIV/0!</v>
      </c>
      <c r="D39" s="241"/>
      <c r="E39" s="241"/>
      <c r="F39" s="241"/>
      <c r="G39" s="241"/>
      <c r="H39" s="241"/>
      <c r="I39" s="241"/>
      <c r="J39" s="241"/>
      <c r="K39" s="399"/>
      <c r="L39" s="2015"/>
      <c r="M39" s="2008"/>
      <c r="N39" s="2008"/>
      <c r="O39" s="2008"/>
      <c r="P39" s="4699" t="str">
        <f>A39</f>
        <v>估价对象XX用房的比较价值（楼面单价，元/平方米）</v>
      </c>
      <c r="Q39" s="4700"/>
      <c r="R39" s="4701" t="e">
        <f>IF(F1="售价",ROUND(IF(D38="简单平均",AVERAGE(R38:W38),R38*F38+T38*H38+V38*J38),0),ROUND(IF(D38="简单平均",AVERAGE(R38:V38),R38*F38+T38*H38+V38*J38),1))</f>
        <v>#DIV/0!</v>
      </c>
      <c r="S39" s="4701"/>
      <c r="T39" s="4701"/>
      <c r="U39" s="4701"/>
      <c r="V39" s="4701"/>
      <c r="W39" s="4701"/>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2.2"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4.4">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4.4">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4.4"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ht="14.4">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4.4"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9.4"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 thickBot="1">
      <c r="A56" s="254"/>
      <c r="B56" s="336" t="s">
        <v>3884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4.4"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4.4"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4.4"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4.4"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4.4"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4.4"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4.4"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4.4"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4.4"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4.4"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4.4"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4.4"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9.4"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4.4"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28.2"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4.4"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4.4"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4.4"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4.4"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4.4"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4.4"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3217</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4.4">
      <c r="A4" s="235" t="s">
        <v>1681</v>
      </c>
      <c r="B4" s="236"/>
      <c r="C4" s="4569" t="s">
        <v>1682</v>
      </c>
      <c r="D4" s="4570"/>
      <c r="E4" s="4571" t="s">
        <v>1683</v>
      </c>
      <c r="F4" s="4572"/>
      <c r="G4" s="4569" t="s">
        <v>1684</v>
      </c>
      <c r="H4" s="4570"/>
      <c r="I4" s="4569" t="s">
        <v>1685</v>
      </c>
      <c r="J4" s="4570"/>
      <c r="K4" s="393" t="s">
        <v>1686</v>
      </c>
      <c r="L4" s="2007"/>
      <c r="M4" s="2008"/>
      <c r="N4" s="2008"/>
      <c r="O4" s="2008"/>
      <c r="P4" s="4703" t="s">
        <v>1687</v>
      </c>
      <c r="Q4" s="4704"/>
      <c r="R4" s="4685" t="s">
        <v>1683</v>
      </c>
      <c r="S4" s="4686"/>
      <c r="T4" s="4685" t="s">
        <v>1684</v>
      </c>
      <c r="U4" s="4686"/>
      <c r="V4" s="4691" t="s">
        <v>1685</v>
      </c>
      <c r="W4" s="4691"/>
      <c r="X4" s="935"/>
      <c r="Y4" s="4685" t="s">
        <v>1687</v>
      </c>
      <c r="Z4" s="4686"/>
      <c r="AA4" s="4669" t="s">
        <v>1683</v>
      </c>
      <c r="AB4" s="4606" t="s">
        <v>1684</v>
      </c>
      <c r="AC4" s="4669" t="s">
        <v>1685</v>
      </c>
    </row>
    <row r="5" spans="1:29">
      <c r="A5" s="238"/>
      <c r="B5" s="239"/>
      <c r="C5" s="4602" t="s">
        <v>1585</v>
      </c>
      <c r="D5" s="4590"/>
      <c r="E5" s="4697" t="s">
        <v>1586</v>
      </c>
      <c r="F5" s="4609"/>
      <c r="G5" s="4602" t="s">
        <v>1587</v>
      </c>
      <c r="H5" s="4590"/>
      <c r="I5" s="4602" t="s">
        <v>1588</v>
      </c>
      <c r="J5" s="4590"/>
      <c r="K5" s="393"/>
      <c r="L5" s="2007"/>
      <c r="M5" s="2008"/>
      <c r="N5" s="2008"/>
      <c r="O5" s="2008"/>
      <c r="P5" s="4705"/>
      <c r="Q5" s="4706"/>
      <c r="R5" s="4597"/>
      <c r="S5" s="4598"/>
      <c r="T5" s="4597"/>
      <c r="U5" s="4598"/>
      <c r="V5" s="4691"/>
      <c r="W5" s="4691"/>
      <c r="X5" s="935"/>
      <c r="Y5" s="4597"/>
      <c r="Z5" s="4598"/>
      <c r="AA5" s="4606"/>
      <c r="AB5" s="4606"/>
      <c r="AC5" s="4606"/>
    </row>
    <row r="6" spans="1:29" ht="15" thickBot="1">
      <c r="A6" s="240"/>
      <c r="B6" s="241"/>
      <c r="C6" s="4587" t="s">
        <v>1589</v>
      </c>
      <c r="D6" s="4588"/>
      <c r="E6" s="4603" t="s">
        <v>1589</v>
      </c>
      <c r="F6" s="4604"/>
      <c r="G6" s="4587" t="s">
        <v>1589</v>
      </c>
      <c r="H6" s="4588"/>
      <c r="I6" s="4587" t="s">
        <v>1589</v>
      </c>
      <c r="J6" s="4588"/>
      <c r="K6" s="393" t="s">
        <v>1590</v>
      </c>
      <c r="L6" s="2007"/>
      <c r="M6" s="2008"/>
      <c r="N6" s="2008"/>
      <c r="O6" s="2008"/>
      <c r="P6" s="4707"/>
      <c r="Q6" s="4708"/>
      <c r="R6" s="4597"/>
      <c r="S6" s="4598"/>
      <c r="T6" s="4599"/>
      <c r="U6" s="4600"/>
      <c r="V6" s="4691"/>
      <c r="W6" s="4691"/>
      <c r="X6" s="935"/>
      <c r="Y6" s="4599"/>
      <c r="Z6" s="4600"/>
      <c r="AA6" s="4607"/>
      <c r="AB6" s="4607"/>
      <c r="AC6" s="4607"/>
    </row>
    <row r="7" spans="1:29" s="46" customFormat="1" ht="15" thickBot="1">
      <c r="A7" s="242" t="s">
        <v>1591</v>
      </c>
      <c r="B7" s="243"/>
      <c r="C7" s="244">
        <f>'数据-取费表'!B2</f>
        <v>46049</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93" t="s">
        <v>1592</v>
      </c>
      <c r="Q7" s="4709"/>
      <c r="R7" s="3880" t="s">
        <v>13</v>
      </c>
      <c r="S7" s="3883">
        <f t="shared" ref="S7:S14" si="0">F7</f>
        <v>0</v>
      </c>
      <c r="T7" s="3880" t="s">
        <v>13</v>
      </c>
      <c r="U7" s="3883">
        <f t="shared" ref="U7:U14" si="1">H7</f>
        <v>0</v>
      </c>
      <c r="V7" s="3880" t="s">
        <v>13</v>
      </c>
      <c r="W7" s="3883">
        <f t="shared" ref="W7:W14" si="2">J7</f>
        <v>0</v>
      </c>
      <c r="X7" s="482"/>
      <c r="Y7" s="4593" t="s">
        <v>1592</v>
      </c>
      <c r="Z7" s="4594"/>
      <c r="AA7" s="28" t="e">
        <f>D7/F7</f>
        <v>#DIV/0!</v>
      </c>
      <c r="AB7" s="28" t="e">
        <f>D7/H7</f>
        <v>#DIV/0!</v>
      </c>
      <c r="AC7" s="28" t="e">
        <f>D7/J7</f>
        <v>#DIV/0!</v>
      </c>
    </row>
    <row r="8" spans="1:29" s="46" customFormat="1" ht="1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93" t="s">
        <v>1595</v>
      </c>
      <c r="Q8" s="4594"/>
      <c r="R8" s="3880" t="s">
        <v>13</v>
      </c>
      <c r="S8" s="3883">
        <f t="shared" si="0"/>
        <v>100</v>
      </c>
      <c r="T8" s="3880" t="s">
        <v>13</v>
      </c>
      <c r="U8" s="3883">
        <f t="shared" si="1"/>
        <v>100</v>
      </c>
      <c r="V8" s="3880" t="s">
        <v>13</v>
      </c>
      <c r="W8" s="3883">
        <f t="shared" si="2"/>
        <v>100</v>
      </c>
      <c r="X8" s="482"/>
      <c r="Y8" s="4593" t="s">
        <v>1595</v>
      </c>
      <c r="Z8" s="4594"/>
      <c r="AA8" s="28">
        <f t="shared" ref="AA8:AA34" si="3">D8/F8</f>
        <v>1</v>
      </c>
      <c r="AB8" s="28">
        <f t="shared" ref="AB8:AB34" si="4">D8/H8</f>
        <v>1</v>
      </c>
      <c r="AC8" s="28">
        <f t="shared" ref="AC8:AC34" si="5">D8/J8</f>
        <v>1</v>
      </c>
    </row>
    <row r="9" spans="1:29" s="46" customFormat="1" ht="14.4">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698" t="s">
        <v>1598</v>
      </c>
      <c r="Q9" s="389" t="str">
        <f t="shared" ref="Q9:Q14" si="6">B9</f>
        <v>用途</v>
      </c>
      <c r="R9" s="3880" t="s">
        <v>13</v>
      </c>
      <c r="S9" s="3883">
        <f t="shared" si="0"/>
        <v>100</v>
      </c>
      <c r="T9" s="3880" t="s">
        <v>13</v>
      </c>
      <c r="U9" s="3883">
        <f t="shared" si="1"/>
        <v>100</v>
      </c>
      <c r="V9" s="3880" t="s">
        <v>13</v>
      </c>
      <c r="W9" s="3883">
        <f t="shared" si="2"/>
        <v>100</v>
      </c>
      <c r="X9" s="482"/>
      <c r="Y9" s="4565" t="s">
        <v>1599</v>
      </c>
      <c r="Z9" s="28" t="str">
        <f t="shared" ref="Z9:Z14" si="7">Q9</f>
        <v>用途</v>
      </c>
      <c r="AA9" s="28">
        <f t="shared" si="3"/>
        <v>1</v>
      </c>
      <c r="AB9" s="28">
        <f t="shared" si="4"/>
        <v>1</v>
      </c>
      <c r="AC9" s="28">
        <f t="shared" si="5"/>
        <v>1</v>
      </c>
    </row>
    <row r="10" spans="1:29" s="253" customFormat="1" ht="28.8">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698"/>
      <c r="Q10" s="389" t="str">
        <f t="shared" si="6"/>
        <v>土地使用年限（年）</v>
      </c>
      <c r="R10" s="3880" t="s">
        <v>13</v>
      </c>
      <c r="S10" s="3883">
        <f t="shared" si="0"/>
        <v>100</v>
      </c>
      <c r="T10" s="3880" t="s">
        <v>13</v>
      </c>
      <c r="U10" s="3883">
        <f t="shared" si="1"/>
        <v>100</v>
      </c>
      <c r="V10" s="3880" t="s">
        <v>13</v>
      </c>
      <c r="W10" s="3883">
        <f t="shared" si="2"/>
        <v>100</v>
      </c>
      <c r="X10" s="482"/>
      <c r="Y10" s="4565"/>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698"/>
      <c r="Q11" s="389">
        <f t="shared" si="6"/>
        <v>111</v>
      </c>
      <c r="R11" s="3880" t="s">
        <v>13</v>
      </c>
      <c r="S11" s="3883">
        <f t="shared" si="0"/>
        <v>100</v>
      </c>
      <c r="T11" s="3880" t="s">
        <v>13</v>
      </c>
      <c r="U11" s="3883">
        <f t="shared" si="1"/>
        <v>100</v>
      </c>
      <c r="V11" s="3880" t="s">
        <v>13</v>
      </c>
      <c r="W11" s="3883">
        <f t="shared" si="2"/>
        <v>100</v>
      </c>
      <c r="X11" s="482"/>
      <c r="Y11" s="4565"/>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698"/>
      <c r="Q12" s="389">
        <f t="shared" si="6"/>
        <v>111</v>
      </c>
      <c r="R12" s="3880" t="s">
        <v>13</v>
      </c>
      <c r="S12" s="3883">
        <f t="shared" si="0"/>
        <v>100</v>
      </c>
      <c r="T12" s="3880" t="s">
        <v>13</v>
      </c>
      <c r="U12" s="3883">
        <f t="shared" si="1"/>
        <v>100</v>
      </c>
      <c r="V12" s="3880" t="s">
        <v>13</v>
      </c>
      <c r="W12" s="3883">
        <f t="shared" si="2"/>
        <v>100</v>
      </c>
      <c r="X12" s="482"/>
      <c r="Y12" s="4565"/>
      <c r="Z12" s="28">
        <f t="shared" si="7"/>
        <v>111</v>
      </c>
      <c r="AA12" s="28">
        <f>D12/F12</f>
        <v>1</v>
      </c>
      <c r="AB12" s="28">
        <f>D12/H12</f>
        <v>1</v>
      </c>
      <c r="AC12" s="28">
        <f>D12/J12</f>
        <v>1</v>
      </c>
    </row>
    <row r="13" spans="1:29" ht="15.6"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698"/>
      <c r="Q13" s="389">
        <f t="shared" si="6"/>
        <v>111</v>
      </c>
      <c r="R13" s="3880" t="s">
        <v>13</v>
      </c>
      <c r="S13" s="3883">
        <f t="shared" si="0"/>
        <v>100</v>
      </c>
      <c r="T13" s="3880" t="s">
        <v>13</v>
      </c>
      <c r="U13" s="3883">
        <f t="shared" si="1"/>
        <v>100</v>
      </c>
      <c r="V13" s="3880" t="s">
        <v>13</v>
      </c>
      <c r="W13" s="3883">
        <f t="shared" si="2"/>
        <v>100</v>
      </c>
      <c r="X13" s="482"/>
      <c r="Y13" s="4565"/>
      <c r="Z13" s="28">
        <f t="shared" si="7"/>
        <v>111</v>
      </c>
      <c r="AA13" s="28">
        <f t="shared" si="3"/>
        <v>1</v>
      </c>
      <c r="AB13" s="28">
        <f t="shared" si="4"/>
        <v>1</v>
      </c>
      <c r="AC13" s="28">
        <f t="shared" si="5"/>
        <v>1</v>
      </c>
    </row>
    <row r="14" spans="1:29" ht="15">
      <c r="A14" s="262" t="s">
        <v>1602</v>
      </c>
      <c r="B14" s="32" t="s">
        <v>1745</v>
      </c>
      <c r="C14" s="1450">
        <f>IF(B1="工业",估价对象房地状况!G4,估价对象房地状况!C6)</f>
        <v>0</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558" t="s">
        <v>1603</v>
      </c>
      <c r="Q14" s="932" t="str">
        <f t="shared" si="6"/>
        <v>交通便捷度</v>
      </c>
      <c r="R14" s="3881" t="s">
        <v>13</v>
      </c>
      <c r="S14" s="3884">
        <f t="shared" si="0"/>
        <v>100</v>
      </c>
      <c r="T14" s="3881" t="s">
        <v>13</v>
      </c>
      <c r="U14" s="3884">
        <f t="shared" si="1"/>
        <v>100</v>
      </c>
      <c r="V14" s="3881" t="s">
        <v>13</v>
      </c>
      <c r="W14" s="3884">
        <f t="shared" si="2"/>
        <v>100</v>
      </c>
      <c r="X14" s="935"/>
      <c r="Y14" s="4558"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559"/>
      <c r="Q15" s="932"/>
      <c r="R15" s="3881"/>
      <c r="S15" s="3884"/>
      <c r="T15" s="3881"/>
      <c r="U15" s="3884"/>
      <c r="V15" s="3881"/>
      <c r="W15" s="3884"/>
      <c r="X15" s="935"/>
      <c r="Y15" s="4559"/>
      <c r="Z15" s="933"/>
      <c r="AA15" s="933">
        <v>1</v>
      </c>
      <c r="AB15" s="933">
        <v>1</v>
      </c>
      <c r="AC15" s="933">
        <v>1</v>
      </c>
    </row>
    <row r="16" spans="1:29" ht="15">
      <c r="A16" s="254"/>
      <c r="B16" s="269" t="s">
        <v>1724</v>
      </c>
      <c r="C16" s="1390">
        <f>IF(B1="工业",估价对象房地状况!G5,估价对象房地状况!C7)</f>
        <v>0</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559"/>
      <c r="Q16" s="932" t="str">
        <f>B16</f>
        <v>公共配套设施</v>
      </c>
      <c r="R16" s="3881" t="s">
        <v>13</v>
      </c>
      <c r="S16" s="3884">
        <f>F16</f>
        <v>100</v>
      </c>
      <c r="T16" s="3881" t="s">
        <v>13</v>
      </c>
      <c r="U16" s="3884">
        <f>H16</f>
        <v>100</v>
      </c>
      <c r="V16" s="3881" t="s">
        <v>13</v>
      </c>
      <c r="W16" s="3884">
        <f>J16</f>
        <v>100</v>
      </c>
      <c r="X16" s="935"/>
      <c r="Y16" s="4559"/>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559"/>
      <c r="Q17" s="932"/>
      <c r="R17" s="3881"/>
      <c r="S17" s="3884"/>
      <c r="T17" s="3881"/>
      <c r="U17" s="3884"/>
      <c r="V17" s="3881"/>
      <c r="W17" s="3884"/>
      <c r="X17" s="935"/>
      <c r="Y17" s="4559"/>
      <c r="Z17" s="933"/>
      <c r="AA17" s="933">
        <v>1</v>
      </c>
      <c r="AB17" s="933">
        <v>1</v>
      </c>
      <c r="AC17" s="933">
        <v>1</v>
      </c>
    </row>
    <row r="18" spans="1:29" ht="15">
      <c r="A18" s="254"/>
      <c r="B18" s="781" t="s">
        <v>1725</v>
      </c>
      <c r="C18" s="1390">
        <f>IF(B1="工业",估价对象房地状况!G6,估价对象房地状况!C8)</f>
        <v>0</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559"/>
      <c r="Q18" s="932" t="str">
        <f>B18</f>
        <v>基础设施水平</v>
      </c>
      <c r="R18" s="3881" t="s">
        <v>13</v>
      </c>
      <c r="S18" s="3884">
        <f>F18</f>
        <v>100</v>
      </c>
      <c r="T18" s="3881" t="s">
        <v>13</v>
      </c>
      <c r="U18" s="3884">
        <f>H18</f>
        <v>100</v>
      </c>
      <c r="V18" s="3881" t="s">
        <v>13</v>
      </c>
      <c r="W18" s="3884">
        <f>J18</f>
        <v>100</v>
      </c>
      <c r="X18" s="935"/>
      <c r="Y18" s="4559"/>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559"/>
      <c r="Q19" s="932"/>
      <c r="R19" s="3881"/>
      <c r="S19" s="3884"/>
      <c r="T19" s="3881"/>
      <c r="U19" s="3884"/>
      <c r="V19" s="3881"/>
      <c r="W19" s="3884"/>
      <c r="X19" s="935"/>
      <c r="Y19" s="4559"/>
      <c r="Z19" s="933"/>
      <c r="AA19" s="933">
        <v>1</v>
      </c>
      <c r="AB19" s="933">
        <v>1</v>
      </c>
      <c r="AC19" s="933">
        <v>1</v>
      </c>
    </row>
    <row r="20" spans="1:29" ht="15">
      <c r="A20" s="254"/>
      <c r="B20" s="269" t="s">
        <v>1746</v>
      </c>
      <c r="C20" s="1390">
        <f>IF(B1="工业",估价对象房地状况!G7,估价对象房地状况!C9)</f>
        <v>0</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559"/>
      <c r="Q20" s="932" t="str">
        <f>B20</f>
        <v>自然及人文环境</v>
      </c>
      <c r="R20" s="3881" t="s">
        <v>13</v>
      </c>
      <c r="S20" s="3884">
        <f>F20</f>
        <v>100</v>
      </c>
      <c r="T20" s="3881" t="s">
        <v>13</v>
      </c>
      <c r="U20" s="3884">
        <f>H20</f>
        <v>100</v>
      </c>
      <c r="V20" s="3881" t="s">
        <v>13</v>
      </c>
      <c r="W20" s="3884">
        <f>J20</f>
        <v>100</v>
      </c>
      <c r="X20" s="935"/>
      <c r="Y20" s="4559"/>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559"/>
      <c r="Q21" s="932"/>
      <c r="R21" s="3881"/>
      <c r="S21" s="3884"/>
      <c r="T21" s="3881"/>
      <c r="U21" s="3884"/>
      <c r="V21" s="3881"/>
      <c r="W21" s="3884"/>
      <c r="X21" s="935"/>
      <c r="Y21" s="4559"/>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559"/>
      <c r="Q22" s="932" t="str">
        <f>B22</f>
        <v>楼层</v>
      </c>
      <c r="R22" s="3881" t="s">
        <v>13</v>
      </c>
      <c r="S22" s="3884">
        <f>F22</f>
        <v>100</v>
      </c>
      <c r="T22" s="3881" t="s">
        <v>13</v>
      </c>
      <c r="U22" s="3884">
        <f>H22</f>
        <v>100</v>
      </c>
      <c r="V22" s="3881" t="s">
        <v>13</v>
      </c>
      <c r="W22" s="3884">
        <f>J22</f>
        <v>100</v>
      </c>
      <c r="X22" s="935"/>
      <c r="Y22" s="4559"/>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559"/>
      <c r="Q23" s="932">
        <f>B23</f>
        <v>111</v>
      </c>
      <c r="R23" s="3881" t="s">
        <v>13</v>
      </c>
      <c r="S23" s="3884">
        <f>F23</f>
        <v>100</v>
      </c>
      <c r="T23" s="3881" t="s">
        <v>13</v>
      </c>
      <c r="U23" s="3884">
        <f>H23</f>
        <v>100</v>
      </c>
      <c r="V23" s="3881" t="s">
        <v>13</v>
      </c>
      <c r="W23" s="3884">
        <f>J23</f>
        <v>100</v>
      </c>
      <c r="X23" s="935"/>
      <c r="Y23" s="4559"/>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559"/>
      <c r="Q24" s="932">
        <f t="shared" ref="Q24:Q34" si="11">B24</f>
        <v>111</v>
      </c>
      <c r="R24" s="3881" t="s">
        <v>13</v>
      </c>
      <c r="S24" s="3884">
        <f>F24</f>
        <v>100</v>
      </c>
      <c r="T24" s="3881" t="s">
        <v>13</v>
      </c>
      <c r="U24" s="3884">
        <f>H24</f>
        <v>100</v>
      </c>
      <c r="V24" s="3881" t="s">
        <v>13</v>
      </c>
      <c r="W24" s="3884">
        <f>J24</f>
        <v>100</v>
      </c>
      <c r="X24" s="935"/>
      <c r="Y24" s="4559"/>
      <c r="Z24" s="933">
        <f>Q24</f>
        <v>111</v>
      </c>
      <c r="AA24" s="933">
        <f t="shared" si="3"/>
        <v>1</v>
      </c>
      <c r="AB24" s="933">
        <f t="shared" si="4"/>
        <v>1</v>
      </c>
      <c r="AC24" s="933">
        <f t="shared" si="5"/>
        <v>1</v>
      </c>
    </row>
    <row r="25" spans="1:29" s="46" customFormat="1" ht="15.6"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559"/>
      <c r="Q25" s="389">
        <f t="shared" si="11"/>
        <v>111</v>
      </c>
      <c r="R25" s="3880" t="s">
        <v>13</v>
      </c>
      <c r="S25" s="3883">
        <f>F25</f>
        <v>100</v>
      </c>
      <c r="T25" s="3880" t="s">
        <v>13</v>
      </c>
      <c r="U25" s="3883">
        <f>H25</f>
        <v>100</v>
      </c>
      <c r="V25" s="3880" t="s">
        <v>13</v>
      </c>
      <c r="W25" s="3883">
        <f>J25</f>
        <v>100</v>
      </c>
      <c r="X25" s="482"/>
      <c r="Y25" s="4559"/>
      <c r="Z25" s="28">
        <f>Q25</f>
        <v>111</v>
      </c>
      <c r="AA25" s="933">
        <f>D25/F25</f>
        <v>1</v>
      </c>
      <c r="AB25" s="933">
        <f>D25/H25</f>
        <v>1</v>
      </c>
      <c r="AC25" s="933">
        <f>D25/J25</f>
        <v>1</v>
      </c>
    </row>
    <row r="26" spans="1:29" ht="30">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702"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563"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563"/>
      <c r="Q27" s="483" t="str">
        <f t="shared" si="11"/>
        <v>成新率</v>
      </c>
      <c r="R27" s="3882" t="s">
        <v>13</v>
      </c>
      <c r="S27" s="3885" t="e">
        <f t="shared" si="12"/>
        <v>#N/A</v>
      </c>
      <c r="T27" s="3882" t="s">
        <v>13</v>
      </c>
      <c r="U27" s="3885" t="e">
        <f t="shared" si="13"/>
        <v>#N/A</v>
      </c>
      <c r="V27" s="3882" t="s">
        <v>13</v>
      </c>
      <c r="W27" s="3885" t="e">
        <f t="shared" si="14"/>
        <v>#N/A</v>
      </c>
      <c r="X27" s="484"/>
      <c r="Y27" s="4563"/>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563"/>
      <c r="Q28" s="932" t="str">
        <f t="shared" si="11"/>
        <v>物业等级</v>
      </c>
      <c r="R28" s="3881" t="s">
        <v>13</v>
      </c>
      <c r="S28" s="3884">
        <f t="shared" si="12"/>
        <v>100</v>
      </c>
      <c r="T28" s="3881" t="s">
        <v>13</v>
      </c>
      <c r="U28" s="3884">
        <f t="shared" si="13"/>
        <v>100</v>
      </c>
      <c r="V28" s="3881" t="s">
        <v>13</v>
      </c>
      <c r="W28" s="3884">
        <f t="shared" si="14"/>
        <v>100</v>
      </c>
      <c r="X28" s="935"/>
      <c r="Y28" s="4563"/>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563"/>
      <c r="Q29" s="932" t="str">
        <f t="shared" si="11"/>
        <v>有无电梯</v>
      </c>
      <c r="R29" s="3881" t="s">
        <v>13</v>
      </c>
      <c r="S29" s="3884">
        <f t="shared" si="12"/>
        <v>100</v>
      </c>
      <c r="T29" s="3881" t="s">
        <v>13</v>
      </c>
      <c r="U29" s="3884">
        <f t="shared" si="13"/>
        <v>100</v>
      </c>
      <c r="V29" s="3881" t="s">
        <v>13</v>
      </c>
      <c r="W29" s="3884">
        <f t="shared" si="14"/>
        <v>100</v>
      </c>
      <c r="X29" s="935"/>
      <c r="Y29" s="4563"/>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563"/>
      <c r="Q30" s="932" t="str">
        <f t="shared" si="11"/>
        <v>建筑面积</v>
      </c>
      <c r="R30" s="3881" t="s">
        <v>13</v>
      </c>
      <c r="S30" s="3884" t="e">
        <f t="shared" si="12"/>
        <v>#N/A</v>
      </c>
      <c r="T30" s="3881" t="s">
        <v>13</v>
      </c>
      <c r="U30" s="3884" t="e">
        <f t="shared" si="13"/>
        <v>#N/A</v>
      </c>
      <c r="V30" s="3881" t="s">
        <v>13</v>
      </c>
      <c r="W30" s="3884" t="e">
        <f t="shared" si="14"/>
        <v>#N/A</v>
      </c>
      <c r="X30" s="935"/>
      <c r="Y30" s="4563"/>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563"/>
      <c r="Q31" s="389" t="str">
        <f t="shared" si="11"/>
        <v>是否封闭</v>
      </c>
      <c r="R31" s="3880" t="s">
        <v>13</v>
      </c>
      <c r="S31" s="3883">
        <f t="shared" si="12"/>
        <v>100</v>
      </c>
      <c r="T31" s="3880" t="s">
        <v>13</v>
      </c>
      <c r="U31" s="3883">
        <f t="shared" si="13"/>
        <v>100</v>
      </c>
      <c r="V31" s="3880" t="s">
        <v>13</v>
      </c>
      <c r="W31" s="3883">
        <f t="shared" si="14"/>
        <v>100</v>
      </c>
      <c r="X31" s="482"/>
      <c r="Y31" s="4563"/>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563" t="s">
        <v>1608</v>
      </c>
      <c r="Q32" s="932">
        <f t="shared" si="11"/>
        <v>111</v>
      </c>
      <c r="R32" s="3881" t="s">
        <v>13</v>
      </c>
      <c r="S32" s="3884">
        <f t="shared" si="12"/>
        <v>100</v>
      </c>
      <c r="T32" s="3881" t="s">
        <v>13</v>
      </c>
      <c r="U32" s="3884">
        <f t="shared" si="13"/>
        <v>100</v>
      </c>
      <c r="V32" s="3881" t="s">
        <v>13</v>
      </c>
      <c r="W32" s="3884">
        <f t="shared" si="14"/>
        <v>100</v>
      </c>
      <c r="X32" s="935"/>
      <c r="Y32" s="4563"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563"/>
      <c r="Q33" s="932">
        <f t="shared" si="11"/>
        <v>111</v>
      </c>
      <c r="R33" s="3881" t="s">
        <v>13</v>
      </c>
      <c r="S33" s="3884">
        <f t="shared" si="12"/>
        <v>100</v>
      </c>
      <c r="T33" s="3881" t="s">
        <v>13</v>
      </c>
      <c r="U33" s="3884">
        <f t="shared" si="13"/>
        <v>100</v>
      </c>
      <c r="V33" s="3881" t="s">
        <v>13</v>
      </c>
      <c r="W33" s="3884">
        <f t="shared" si="14"/>
        <v>100</v>
      </c>
      <c r="X33" s="935"/>
      <c r="Y33" s="4563"/>
      <c r="Z33" s="933">
        <f t="shared" si="15"/>
        <v>111</v>
      </c>
      <c r="AA33" s="933">
        <f t="shared" si="3"/>
        <v>1</v>
      </c>
      <c r="AB33" s="933">
        <f t="shared" si="4"/>
        <v>1</v>
      </c>
      <c r="AC33" s="933">
        <f t="shared" si="5"/>
        <v>1</v>
      </c>
    </row>
    <row r="34" spans="1:30" ht="15.6"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563"/>
      <c r="Q34" s="932">
        <f t="shared" si="11"/>
        <v>111</v>
      </c>
      <c r="R34" s="3881" t="s">
        <v>13</v>
      </c>
      <c r="S34" s="3884">
        <f t="shared" si="12"/>
        <v>100</v>
      </c>
      <c r="T34" s="3881" t="s">
        <v>13</v>
      </c>
      <c r="U34" s="3884">
        <f t="shared" si="13"/>
        <v>100</v>
      </c>
      <c r="V34" s="3881" t="s">
        <v>13</v>
      </c>
      <c r="W34" s="3884">
        <f t="shared" si="14"/>
        <v>100</v>
      </c>
      <c r="X34" s="935"/>
      <c r="Y34" s="4563"/>
      <c r="Z34" s="933">
        <f t="shared" si="15"/>
        <v>111</v>
      </c>
      <c r="AA34" s="933">
        <f t="shared" si="3"/>
        <v>1</v>
      </c>
      <c r="AB34" s="933">
        <f t="shared" si="4"/>
        <v>1</v>
      </c>
      <c r="AC34" s="933">
        <f t="shared" si="5"/>
        <v>1</v>
      </c>
    </row>
    <row r="35" spans="1:30" ht="14.4">
      <c r="A35" s="286" t="s">
        <v>1620</v>
      </c>
      <c r="B35" s="287"/>
      <c r="C35" s="787" t="s">
        <v>0</v>
      </c>
      <c r="D35" s="288"/>
      <c r="E35" s="3311"/>
      <c r="F35" s="3259"/>
      <c r="G35" s="3312"/>
      <c r="H35" s="3260"/>
      <c r="I35" s="3311"/>
      <c r="J35" s="3260"/>
      <c r="K35" s="2939"/>
      <c r="L35" s="2015"/>
      <c r="M35" s="2008"/>
      <c r="N35" s="2008"/>
      <c r="O35" s="2008"/>
      <c r="P35" s="4698" t="str">
        <f>A35</f>
        <v>成交单价（元/平方米）</v>
      </c>
      <c r="Q35" s="4698"/>
      <c r="R35" s="4691">
        <f>E35</f>
        <v>0</v>
      </c>
      <c r="S35" s="4691"/>
      <c r="T35" s="4691">
        <f>G35</f>
        <v>0</v>
      </c>
      <c r="U35" s="4691"/>
      <c r="V35" s="4691">
        <f>I35</f>
        <v>0</v>
      </c>
      <c r="W35" s="4691"/>
      <c r="X35" s="265"/>
      <c r="Y35" s="486"/>
      <c r="Z35" s="265"/>
      <c r="AA35" s="265"/>
      <c r="AB35" s="265"/>
      <c r="AC35" s="265"/>
    </row>
    <row r="36" spans="1:30" ht="1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698" t="str">
        <f>A36</f>
        <v>比较价值（元/平方米）</v>
      </c>
      <c r="Q36" s="4698"/>
      <c r="R36" s="4691" t="e">
        <f>IF(F1="售价",ROUND(PRODUCT(R35,AA7:AA34),0),ROUND(PRODUCT(R35,AA7:AA34),1))</f>
        <v>#DIV/0!</v>
      </c>
      <c r="S36" s="4691"/>
      <c r="T36" s="4691" t="e">
        <f>IF(F1="售价",ROUND(PRODUCT(T35,AB7:AB34),0),ROUND(PRODUCT(T35,AB7:AB34),1))</f>
        <v>#DIV/0!</v>
      </c>
      <c r="U36" s="4691"/>
      <c r="V36" s="4691" t="e">
        <f>IF(F1="售价",ROUND(PRODUCT(V35,AC7:AC34),0),ROUND(PRODUCT(V35,AC7:AC34),1))</f>
        <v>#DIV/0!</v>
      </c>
      <c r="W36" s="4691"/>
      <c r="X36" s="265"/>
      <c r="Y36" s="265"/>
      <c r="Z36" s="265"/>
      <c r="AA36" s="265"/>
      <c r="AB36" s="265"/>
      <c r="AC36" s="265"/>
    </row>
    <row r="37" spans="1:30" ht="15" thickBot="1">
      <c r="A37" s="291" t="s">
        <v>1706</v>
      </c>
      <c r="B37" s="292"/>
      <c r="C37" s="3859" t="e">
        <f>R37</f>
        <v>#DIV/0!</v>
      </c>
      <c r="D37" s="241"/>
      <c r="E37" s="241"/>
      <c r="F37" s="241"/>
      <c r="G37" s="241"/>
      <c r="H37" s="241"/>
      <c r="I37" s="241"/>
      <c r="J37" s="241"/>
      <c r="K37" s="487"/>
      <c r="L37" s="2015"/>
      <c r="M37" s="2008"/>
      <c r="N37" s="2008"/>
      <c r="O37" s="2008"/>
      <c r="P37" s="4699" t="str">
        <f>A37</f>
        <v>估价对象XX用房的比较价值（楼面单价，元/平方米）</v>
      </c>
      <c r="Q37" s="4700"/>
      <c r="R37" s="4701" t="e">
        <f>IF(F1="售价",ROUND(IF(D36="简单平均",AVERAGE(R36:W36),R36*F36+T36*H36+V36*J36),0),ROUND(IF(D36="简单平均",AVERAGE(R36:V36),R36*F36+T36*H36+V36*J36),1))</f>
        <v>#DIV/0!</v>
      </c>
      <c r="S37" s="4701"/>
      <c r="T37" s="4701"/>
      <c r="U37" s="4701"/>
      <c r="V37" s="4701"/>
      <c r="W37" s="4701"/>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2.2"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4.4">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4.4">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4.4"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ht="14.4">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4.4"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9.4"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 thickBot="1">
      <c r="A54" s="254"/>
      <c r="B54" s="336" t="s">
        <v>3883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4.4"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4.4"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4.4"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4.4"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4.4"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4.4"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9.4"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4.4"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4.4"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4.4"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4.4"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4.4"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4.4"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4.4"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28.2"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4.4"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4.4"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4.4"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4.4"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4.4"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4.4"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4.4"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4.4"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4.4"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25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IF(B48="单位面积地价",C50,ROUND(B2*10000/'数据-汇总表'!D3,0))</f>
        <v>#DIV/0!</v>
      </c>
      <c r="C4" s="1362" t="s">
        <v>3636</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4.4">
      <c r="A6" s="235" t="s">
        <v>1681</v>
      </c>
      <c r="B6" s="236"/>
      <c r="C6" s="4670" t="s">
        <v>1682</v>
      </c>
      <c r="D6" s="4671"/>
      <c r="E6" s="4672" t="s">
        <v>1683</v>
      </c>
      <c r="F6" s="4673"/>
      <c r="G6" s="4670" t="s">
        <v>1684</v>
      </c>
      <c r="H6" s="4671"/>
      <c r="I6" s="4670" t="s">
        <v>1685</v>
      </c>
      <c r="J6" s="4671"/>
      <c r="K6" s="2940" t="s">
        <v>1686</v>
      </c>
      <c r="L6" s="2007"/>
      <c r="M6" s="2008"/>
      <c r="N6" s="2008"/>
      <c r="O6" s="2008"/>
      <c r="P6" s="4674" t="s">
        <v>1687</v>
      </c>
      <c r="Q6" s="4675"/>
      <c r="R6" s="4678" t="s">
        <v>1683</v>
      </c>
      <c r="S6" s="4679"/>
      <c r="T6" s="4678" t="s">
        <v>1684</v>
      </c>
      <c r="U6" s="4679"/>
      <c r="V6" s="4586" t="s">
        <v>1685</v>
      </c>
      <c r="W6" s="4586"/>
      <c r="X6" s="935"/>
      <c r="Y6" s="4685" t="s">
        <v>1687</v>
      </c>
      <c r="Z6" s="4686"/>
      <c r="AA6" s="4669" t="s">
        <v>1683</v>
      </c>
      <c r="AB6" s="4606" t="s">
        <v>1684</v>
      </c>
      <c r="AC6" s="4669" t="s">
        <v>1685</v>
      </c>
    </row>
    <row r="7" spans="1:29">
      <c r="A7" s="238"/>
      <c r="B7" s="239"/>
      <c r="C7" s="4682" t="s">
        <v>1585</v>
      </c>
      <c r="D7" s="4683"/>
      <c r="E7" s="4689" t="s">
        <v>1586</v>
      </c>
      <c r="F7" s="4690"/>
      <c r="G7" s="4682" t="s">
        <v>1587</v>
      </c>
      <c r="H7" s="4683"/>
      <c r="I7" s="4682" t="s">
        <v>1588</v>
      </c>
      <c r="J7" s="4683"/>
      <c r="K7" s="2940"/>
      <c r="L7" s="2007"/>
      <c r="M7" s="2008"/>
      <c r="N7" s="2008"/>
      <c r="O7" s="2008"/>
      <c r="P7" s="4676"/>
      <c r="Q7" s="4576"/>
      <c r="R7" s="4581"/>
      <c r="S7" s="4582"/>
      <c r="T7" s="4581"/>
      <c r="U7" s="4582"/>
      <c r="V7" s="4586"/>
      <c r="W7" s="4586"/>
      <c r="X7" s="935"/>
      <c r="Y7" s="4597"/>
      <c r="Z7" s="4598"/>
      <c r="AA7" s="4606"/>
      <c r="AB7" s="4606"/>
      <c r="AC7" s="4606"/>
    </row>
    <row r="8" spans="1:29" ht="15" thickBot="1">
      <c r="A8" s="240"/>
      <c r="B8" s="241"/>
      <c r="C8" s="4680" t="s">
        <v>1589</v>
      </c>
      <c r="D8" s="4681"/>
      <c r="E8" s="4687" t="s">
        <v>1589</v>
      </c>
      <c r="F8" s="4688"/>
      <c r="G8" s="4680" t="s">
        <v>1589</v>
      </c>
      <c r="H8" s="4681"/>
      <c r="I8" s="4680" t="s">
        <v>1589</v>
      </c>
      <c r="J8" s="4681"/>
      <c r="K8" s="2940" t="s">
        <v>1590</v>
      </c>
      <c r="L8" s="2007"/>
      <c r="M8" s="2008"/>
      <c r="N8" s="2008"/>
      <c r="O8" s="2008"/>
      <c r="P8" s="4677"/>
      <c r="Q8" s="4578"/>
      <c r="R8" s="4581"/>
      <c r="S8" s="4582"/>
      <c r="T8" s="4583"/>
      <c r="U8" s="4584"/>
      <c r="V8" s="4586"/>
      <c r="W8" s="4586"/>
      <c r="X8" s="935"/>
      <c r="Y8" s="4599"/>
      <c r="Z8" s="4600"/>
      <c r="AA8" s="4607"/>
      <c r="AB8" s="4607"/>
      <c r="AC8" s="4607"/>
    </row>
    <row r="9" spans="1:29" s="46" customFormat="1" ht="15" thickBot="1">
      <c r="A9" s="3195" t="s">
        <v>1591</v>
      </c>
      <c r="B9" s="3196"/>
      <c r="C9" s="2888">
        <f>'数据-取费表'!B2</f>
        <v>46049</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684" t="s">
        <v>1592</v>
      </c>
      <c r="Q9" s="4601"/>
      <c r="R9" s="3873" t="s">
        <v>13</v>
      </c>
      <c r="S9" s="3654">
        <f t="shared" ref="S9:S17" si="0">F9</f>
        <v>0</v>
      </c>
      <c r="T9" s="3873" t="s">
        <v>13</v>
      </c>
      <c r="U9" s="3654">
        <f t="shared" ref="U9:U17" si="1">H9</f>
        <v>0</v>
      </c>
      <c r="V9" s="3873" t="s">
        <v>13</v>
      </c>
      <c r="W9" s="3654">
        <f t="shared" ref="W9:W17" si="2">J9</f>
        <v>0</v>
      </c>
      <c r="X9" s="482"/>
      <c r="Y9" s="4593" t="s">
        <v>1592</v>
      </c>
      <c r="Z9" s="4594"/>
      <c r="AA9" s="28" t="e">
        <f>D9/F9</f>
        <v>#DIV/0!</v>
      </c>
      <c r="AB9" s="28" t="e">
        <f>D9/H9</f>
        <v>#DIV/0!</v>
      </c>
      <c r="AC9" s="28" t="e">
        <f>D9/J9</f>
        <v>#DIV/0!</v>
      </c>
    </row>
    <row r="10" spans="1:29" s="46" customFormat="1" ht="1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684" t="s">
        <v>1595</v>
      </c>
      <c r="Q10" s="4592"/>
      <c r="R10" s="3873" t="s">
        <v>13</v>
      </c>
      <c r="S10" s="3654">
        <f t="shared" si="0"/>
        <v>100</v>
      </c>
      <c r="T10" s="3873" t="s">
        <v>13</v>
      </c>
      <c r="U10" s="3654">
        <f t="shared" si="1"/>
        <v>100</v>
      </c>
      <c r="V10" s="3873" t="s">
        <v>13</v>
      </c>
      <c r="W10" s="3654">
        <f t="shared" si="2"/>
        <v>100</v>
      </c>
      <c r="X10" s="482"/>
      <c r="Y10" s="4593" t="s">
        <v>1595</v>
      </c>
      <c r="Z10" s="4594"/>
      <c r="AA10" s="28">
        <f t="shared" ref="AA10:AA47" si="3">D10/F10</f>
        <v>1</v>
      </c>
      <c r="AB10" s="28">
        <f t="shared" ref="AB10:AB47" si="4">D10/H10</f>
        <v>1</v>
      </c>
      <c r="AC10" s="28">
        <f t="shared" ref="AC10:AC47" si="5">D10/J10</f>
        <v>1</v>
      </c>
    </row>
    <row r="11" spans="1:29" s="46" customFormat="1" ht="14.4">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551" t="s">
        <v>1598</v>
      </c>
      <c r="Q11" s="1731" t="str">
        <f t="shared" ref="Q11:Q17" si="6">B11</f>
        <v>用途</v>
      </c>
      <c r="R11" s="3873" t="s">
        <v>13</v>
      </c>
      <c r="S11" s="3654">
        <f t="shared" si="0"/>
        <v>100</v>
      </c>
      <c r="T11" s="3873" t="s">
        <v>13</v>
      </c>
      <c r="U11" s="3654">
        <f t="shared" si="1"/>
        <v>100</v>
      </c>
      <c r="V11" s="3873" t="s">
        <v>13</v>
      </c>
      <c r="W11" s="3654">
        <f t="shared" si="2"/>
        <v>100</v>
      </c>
      <c r="X11" s="482"/>
      <c r="Y11" s="4565"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943"/>
      <c r="F12" s="3845">
        <f>ROUND(100/'数据-取费表'!G16,1)</f>
        <v>126</v>
      </c>
      <c r="G12" s="2949"/>
      <c r="H12" s="3845">
        <f>ROUND(100/'数据-取费表'!G16,1)</f>
        <v>126</v>
      </c>
      <c r="I12" s="2949"/>
      <c r="J12" s="3845">
        <f>ROUND(100/'数据-取费表'!G16,1)</f>
        <v>126</v>
      </c>
      <c r="K12" s="3231"/>
      <c r="L12" s="2010"/>
      <c r="M12" s="2011"/>
      <c r="N12" s="2011"/>
      <c r="O12" s="2062"/>
      <c r="P12" s="4551"/>
      <c r="Q12" s="1731" t="str">
        <f t="shared" si="6"/>
        <v>土地使用年限（年）</v>
      </c>
      <c r="R12" s="3873" t="s">
        <v>13</v>
      </c>
      <c r="S12" s="3654">
        <f t="shared" si="0"/>
        <v>126</v>
      </c>
      <c r="T12" s="3873" t="s">
        <v>13</v>
      </c>
      <c r="U12" s="3654">
        <f t="shared" si="1"/>
        <v>126</v>
      </c>
      <c r="V12" s="3873" t="s">
        <v>13</v>
      </c>
      <c r="W12" s="3654">
        <f t="shared" si="2"/>
        <v>126</v>
      </c>
      <c r="X12" s="482"/>
      <c r="Y12" s="4565"/>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551"/>
      <c r="Q13" s="1731" t="str">
        <f t="shared" si="6"/>
        <v>容积率</v>
      </c>
      <c r="R13" s="3873" t="s">
        <v>13</v>
      </c>
      <c r="S13" s="3654">
        <f t="shared" si="0"/>
        <v>100</v>
      </c>
      <c r="T13" s="3873" t="s">
        <v>13</v>
      </c>
      <c r="U13" s="3654">
        <f t="shared" si="1"/>
        <v>100</v>
      </c>
      <c r="V13" s="3873" t="s">
        <v>13</v>
      </c>
      <c r="W13" s="3654">
        <f t="shared" si="2"/>
        <v>100</v>
      </c>
      <c r="X13" s="482"/>
      <c r="Y13" s="4565"/>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551"/>
      <c r="Q14" s="1731" t="str">
        <f t="shared" si="6"/>
        <v>配建</v>
      </c>
      <c r="R14" s="3873" t="s">
        <v>13</v>
      </c>
      <c r="S14" s="3654">
        <f t="shared" si="0"/>
        <v>100</v>
      </c>
      <c r="T14" s="3873" t="s">
        <v>13</v>
      </c>
      <c r="U14" s="3654">
        <f t="shared" si="1"/>
        <v>100</v>
      </c>
      <c r="V14" s="3873" t="s">
        <v>13</v>
      </c>
      <c r="W14" s="3654">
        <f t="shared" si="2"/>
        <v>100</v>
      </c>
      <c r="X14" s="482"/>
      <c r="Y14" s="4565"/>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551"/>
      <c r="Q15" s="1731">
        <f t="shared" si="6"/>
        <v>111</v>
      </c>
      <c r="R15" s="3873" t="s">
        <v>13</v>
      </c>
      <c r="S15" s="3654">
        <f t="shared" si="0"/>
        <v>100</v>
      </c>
      <c r="T15" s="3873" t="s">
        <v>13</v>
      </c>
      <c r="U15" s="3654">
        <f t="shared" si="1"/>
        <v>100</v>
      </c>
      <c r="V15" s="3873" t="s">
        <v>13</v>
      </c>
      <c r="W15" s="3654">
        <f t="shared" si="2"/>
        <v>100</v>
      </c>
      <c r="X15" s="482"/>
      <c r="Y15" s="4565"/>
      <c r="Z15" s="28">
        <f t="shared" si="7"/>
        <v>111</v>
      </c>
      <c r="AA15" s="28">
        <f>D15/F15</f>
        <v>1</v>
      </c>
      <c r="AB15" s="28">
        <f>D15/H15</f>
        <v>1</v>
      </c>
      <c r="AC15" s="28">
        <f>D15/J15</f>
        <v>1</v>
      </c>
    </row>
    <row r="16" spans="1:29" ht="15.6"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551"/>
      <c r="Q16" s="1731">
        <f t="shared" si="6"/>
        <v>111</v>
      </c>
      <c r="R16" s="3873" t="s">
        <v>13</v>
      </c>
      <c r="S16" s="3654">
        <f t="shared" si="0"/>
        <v>100</v>
      </c>
      <c r="T16" s="3873" t="s">
        <v>13</v>
      </c>
      <c r="U16" s="3654">
        <f t="shared" si="1"/>
        <v>100</v>
      </c>
      <c r="V16" s="3873" t="s">
        <v>13</v>
      </c>
      <c r="W16" s="3654">
        <f t="shared" si="2"/>
        <v>100</v>
      </c>
      <c r="X16" s="482"/>
      <c r="Y16" s="4565"/>
      <c r="Z16" s="28">
        <f t="shared" si="7"/>
        <v>111</v>
      </c>
      <c r="AA16" s="28">
        <f>D16/F16</f>
        <v>1</v>
      </c>
      <c r="AB16" s="28">
        <f>D16/H16</f>
        <v>1</v>
      </c>
      <c r="AC16" s="28">
        <f>D16/J16</f>
        <v>1</v>
      </c>
    </row>
    <row r="17" spans="1:29" ht="15">
      <c r="A17" s="3202" t="s">
        <v>1602</v>
      </c>
      <c r="B17" s="2872" t="s">
        <v>1237</v>
      </c>
      <c r="C17" s="2896">
        <f>估价对象房地状况!C15</f>
        <v>0</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692" t="s">
        <v>1603</v>
      </c>
      <c r="Q17" s="1533" t="str">
        <f t="shared" si="6"/>
        <v>居住社区成熟度</v>
      </c>
      <c r="R17" s="3874" t="s">
        <v>13</v>
      </c>
      <c r="S17" s="3876">
        <f t="shared" si="0"/>
        <v>100</v>
      </c>
      <c r="T17" s="3874" t="s">
        <v>13</v>
      </c>
      <c r="U17" s="3876">
        <f t="shared" si="1"/>
        <v>100</v>
      </c>
      <c r="V17" s="3874" t="s">
        <v>13</v>
      </c>
      <c r="W17" s="3876">
        <f t="shared" si="2"/>
        <v>100</v>
      </c>
      <c r="X17" s="935"/>
      <c r="Y17" s="4558" t="s">
        <v>1603</v>
      </c>
      <c r="Z17" s="933" t="str">
        <f t="shared" si="7"/>
        <v>居住社区成熟度</v>
      </c>
      <c r="AA17" s="933">
        <f t="shared" si="3"/>
        <v>1</v>
      </c>
      <c r="AB17" s="933">
        <f t="shared" si="4"/>
        <v>1</v>
      </c>
      <c r="AC17" s="933">
        <f t="shared" si="5"/>
        <v>1</v>
      </c>
    </row>
    <row r="18" spans="1:29" ht="15">
      <c r="A18" s="3199"/>
      <c r="B18" s="2873"/>
      <c r="C18" s="2897" t="s">
        <v>3615</v>
      </c>
      <c r="D18" s="2970"/>
      <c r="E18" s="2925" t="s">
        <v>3616</v>
      </c>
      <c r="F18" s="3836"/>
      <c r="G18" s="2925" t="s">
        <v>3615</v>
      </c>
      <c r="H18" s="3837"/>
      <c r="I18" s="2931" t="s">
        <v>3615</v>
      </c>
      <c r="J18" s="3836"/>
      <c r="K18" s="3256"/>
      <c r="L18" s="2013"/>
      <c r="M18" s="2008"/>
      <c r="N18" s="2008"/>
      <c r="O18" s="2063"/>
      <c r="P18" s="4693"/>
      <c r="Q18" s="1533"/>
      <c r="R18" s="3874"/>
      <c r="S18" s="3876"/>
      <c r="T18" s="3874"/>
      <c r="U18" s="3876"/>
      <c r="V18" s="3874"/>
      <c r="W18" s="3876"/>
      <c r="X18" s="935"/>
      <c r="Y18" s="4559"/>
      <c r="Z18" s="933"/>
      <c r="AA18" s="933">
        <v>1</v>
      </c>
      <c r="AB18" s="933">
        <v>1</v>
      </c>
      <c r="AC18" s="933">
        <v>1</v>
      </c>
    </row>
    <row r="19" spans="1:29" ht="15">
      <c r="A19" s="3199"/>
      <c r="B19" s="2874" t="s">
        <v>1689</v>
      </c>
      <c r="C19" s="2912">
        <f>估价对象房地状况!C16</f>
        <v>0</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693"/>
      <c r="Q19" s="1533" t="str">
        <f>B19</f>
        <v>商业繁华度</v>
      </c>
      <c r="R19" s="3874" t="s">
        <v>13</v>
      </c>
      <c r="S19" s="3876">
        <f>F19</f>
        <v>100</v>
      </c>
      <c r="T19" s="3874" t="s">
        <v>13</v>
      </c>
      <c r="U19" s="3876">
        <f>H19</f>
        <v>100</v>
      </c>
      <c r="V19" s="3874" t="s">
        <v>13</v>
      </c>
      <c r="W19" s="3876">
        <f>J19</f>
        <v>100</v>
      </c>
      <c r="X19" s="935"/>
      <c r="Y19" s="4559"/>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693"/>
      <c r="Q20" s="1533"/>
      <c r="R20" s="3874"/>
      <c r="S20" s="3876"/>
      <c r="T20" s="3874"/>
      <c r="U20" s="3876"/>
      <c r="V20" s="3874"/>
      <c r="W20" s="3876"/>
      <c r="X20" s="935"/>
      <c r="Y20" s="4559"/>
      <c r="Z20" s="933"/>
      <c r="AA20" s="933">
        <v>1</v>
      </c>
      <c r="AB20" s="933">
        <v>1</v>
      </c>
      <c r="AC20" s="933">
        <v>1</v>
      </c>
    </row>
    <row r="21" spans="1:29" ht="15">
      <c r="A21" s="3199"/>
      <c r="B21" s="2874" t="s">
        <v>1723</v>
      </c>
      <c r="C21" s="2912">
        <f>估价对象房地状况!C17</f>
        <v>0</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693"/>
      <c r="Q21" s="1533" t="str">
        <f>B21</f>
        <v>办公集聚程度</v>
      </c>
      <c r="R21" s="3874" t="s">
        <v>13</v>
      </c>
      <c r="S21" s="3876">
        <f>F21</f>
        <v>100</v>
      </c>
      <c r="T21" s="3874" t="s">
        <v>13</v>
      </c>
      <c r="U21" s="3876">
        <f>H21</f>
        <v>100</v>
      </c>
      <c r="V21" s="3874" t="s">
        <v>13</v>
      </c>
      <c r="W21" s="3876">
        <f>J21</f>
        <v>100</v>
      </c>
      <c r="X21" s="935"/>
      <c r="Y21" s="4559"/>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693"/>
      <c r="Q22" s="1533"/>
      <c r="R22" s="3874"/>
      <c r="S22" s="3876"/>
      <c r="T22" s="3874"/>
      <c r="U22" s="3876"/>
      <c r="V22" s="3874"/>
      <c r="W22" s="3876"/>
      <c r="X22" s="935"/>
      <c r="Y22" s="4559"/>
      <c r="Z22" s="933"/>
      <c r="AA22" s="933">
        <v>1</v>
      </c>
      <c r="AB22" s="933">
        <v>1</v>
      </c>
      <c r="AC22" s="933">
        <v>1</v>
      </c>
    </row>
    <row r="23" spans="1:29" ht="15">
      <c r="A23" s="3199"/>
      <c r="B23" s="2874" t="s">
        <v>1745</v>
      </c>
      <c r="C23" s="2898">
        <f>估价对象房地状况!C18</f>
        <v>0</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693"/>
      <c r="Q23" s="1533" t="str">
        <f>B23</f>
        <v>交通便捷度</v>
      </c>
      <c r="R23" s="3874" t="s">
        <v>13</v>
      </c>
      <c r="S23" s="3876">
        <f>F23</f>
        <v>100</v>
      </c>
      <c r="T23" s="3874" t="s">
        <v>13</v>
      </c>
      <c r="U23" s="3876">
        <f>H23</f>
        <v>100</v>
      </c>
      <c r="V23" s="3874" t="s">
        <v>13</v>
      </c>
      <c r="W23" s="3876">
        <f>J23</f>
        <v>100</v>
      </c>
      <c r="X23" s="935"/>
      <c r="Y23" s="4559"/>
      <c r="Z23" s="933" t="str">
        <f>Q23</f>
        <v>交通便捷度</v>
      </c>
      <c r="AA23" s="933">
        <f t="shared" si="3"/>
        <v>1</v>
      </c>
      <c r="AB23" s="933">
        <f t="shared" si="4"/>
        <v>1</v>
      </c>
      <c r="AC23" s="933">
        <f t="shared" si="5"/>
        <v>1</v>
      </c>
    </row>
    <row r="24" spans="1:29" ht="15">
      <c r="A24" s="3199"/>
      <c r="B24" s="2876"/>
      <c r="C24" s="2897" t="s">
        <v>3615</v>
      </c>
      <c r="D24" s="2971"/>
      <c r="E24" s="2925" t="s">
        <v>3616</v>
      </c>
      <c r="F24" s="3836"/>
      <c r="G24" s="2925" t="s">
        <v>3615</v>
      </c>
      <c r="H24" s="3836"/>
      <c r="I24" s="2931" t="s">
        <v>3615</v>
      </c>
      <c r="J24" s="3836"/>
      <c r="K24" s="3256"/>
      <c r="L24" s="2013"/>
      <c r="M24" s="2008"/>
      <c r="N24" s="2008"/>
      <c r="O24" s="2063"/>
      <c r="P24" s="4693"/>
      <c r="Q24" s="1533"/>
      <c r="R24" s="3874"/>
      <c r="S24" s="3876"/>
      <c r="T24" s="3874"/>
      <c r="U24" s="3876"/>
      <c r="V24" s="3874"/>
      <c r="W24" s="3876"/>
      <c r="X24" s="935"/>
      <c r="Y24" s="4559"/>
      <c r="Z24" s="933"/>
      <c r="AA24" s="933">
        <v>1</v>
      </c>
      <c r="AB24" s="933">
        <v>1</v>
      </c>
      <c r="AC24" s="933">
        <v>1</v>
      </c>
    </row>
    <row r="25" spans="1:29" ht="28.8">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693"/>
      <c r="Q25" s="1533" t="str">
        <f t="shared" ref="Q25:Q39" si="8">B25</f>
        <v>区域土地利用方向</v>
      </c>
      <c r="R25" s="3874" t="s">
        <v>13</v>
      </c>
      <c r="S25" s="3876">
        <f>F25</f>
        <v>100</v>
      </c>
      <c r="T25" s="3874" t="s">
        <v>13</v>
      </c>
      <c r="U25" s="3876">
        <f>H25</f>
        <v>100</v>
      </c>
      <c r="V25" s="3874" t="s">
        <v>13</v>
      </c>
      <c r="W25" s="3876">
        <f>J25</f>
        <v>100</v>
      </c>
      <c r="X25" s="935"/>
      <c r="Y25" s="4559"/>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693"/>
      <c r="Q26" s="1533"/>
      <c r="R26" s="3874"/>
      <c r="S26" s="3876"/>
      <c r="T26" s="3874"/>
      <c r="U26" s="3876"/>
      <c r="V26" s="3874"/>
      <c r="W26" s="3876"/>
      <c r="X26" s="935"/>
      <c r="Y26" s="4559"/>
      <c r="Z26" s="933"/>
      <c r="AA26" s="933"/>
      <c r="AB26" s="933"/>
      <c r="AC26" s="933"/>
    </row>
    <row r="27" spans="1:29" ht="28.8">
      <c r="A27" s="3203"/>
      <c r="B27" s="2876" t="s">
        <v>1784</v>
      </c>
      <c r="C27" s="2912">
        <f>估价对象房地状况!C20</f>
        <v>0</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693"/>
      <c r="Q27" s="1533" t="str">
        <f t="shared" si="8"/>
        <v>自然及人文环境状况</v>
      </c>
      <c r="R27" s="3874" t="s">
        <v>13</v>
      </c>
      <c r="S27" s="3876">
        <f>F27</f>
        <v>100</v>
      </c>
      <c r="T27" s="3874" t="s">
        <v>13</v>
      </c>
      <c r="U27" s="3876">
        <f>H27</f>
        <v>100</v>
      </c>
      <c r="V27" s="3874" t="s">
        <v>13</v>
      </c>
      <c r="W27" s="3876">
        <f>J27</f>
        <v>100</v>
      </c>
      <c r="X27" s="935"/>
      <c r="Y27" s="4559"/>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693"/>
      <c r="Q28" s="1533"/>
      <c r="R28" s="3874"/>
      <c r="S28" s="3876"/>
      <c r="T28" s="3874"/>
      <c r="U28" s="3876"/>
      <c r="V28" s="3874"/>
      <c r="W28" s="3876"/>
      <c r="X28" s="935"/>
      <c r="Y28" s="4559"/>
      <c r="Z28" s="933"/>
      <c r="AA28" s="933">
        <v>1</v>
      </c>
      <c r="AB28" s="933">
        <v>1</v>
      </c>
      <c r="AC28" s="933">
        <v>1</v>
      </c>
    </row>
    <row r="29" spans="1:29" s="46" customFormat="1" ht="15">
      <c r="A29" s="3205"/>
      <c r="B29" s="2876" t="s">
        <v>1690</v>
      </c>
      <c r="C29" s="2898">
        <f>估价对象房地状况!C21</f>
        <v>0</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693"/>
      <c r="Q29" s="1731" t="str">
        <f t="shared" si="8"/>
        <v>公共配套设施</v>
      </c>
      <c r="R29" s="3873" t="s">
        <v>13</v>
      </c>
      <c r="S29" s="3654">
        <f>F29</f>
        <v>100</v>
      </c>
      <c r="T29" s="3873" t="s">
        <v>13</v>
      </c>
      <c r="U29" s="3654">
        <f>H29</f>
        <v>100</v>
      </c>
      <c r="V29" s="3873" t="s">
        <v>13</v>
      </c>
      <c r="W29" s="3654">
        <f>J29</f>
        <v>100</v>
      </c>
      <c r="X29" s="482"/>
      <c r="Y29" s="4559"/>
      <c r="Z29" s="28" t="str">
        <f>Q29</f>
        <v>公共配套设施</v>
      </c>
      <c r="AA29" s="933">
        <f>D29/F29</f>
        <v>1</v>
      </c>
      <c r="AB29" s="933">
        <f>D29/H29</f>
        <v>1</v>
      </c>
      <c r="AC29" s="933">
        <f>D29/J29</f>
        <v>1</v>
      </c>
    </row>
    <row r="30" spans="1:29" s="46" customFormat="1" ht="15">
      <c r="A30" s="3205"/>
      <c r="B30" s="2875"/>
      <c r="C30" s="3206" t="s">
        <v>3615</v>
      </c>
      <c r="D30" s="2970"/>
      <c r="E30" s="2948" t="s">
        <v>3616</v>
      </c>
      <c r="F30" s="3836"/>
      <c r="G30" s="2948" t="s">
        <v>3615</v>
      </c>
      <c r="H30" s="3836"/>
      <c r="I30" s="2897" t="s">
        <v>3615</v>
      </c>
      <c r="J30" s="3836"/>
      <c r="K30" s="3256"/>
      <c r="L30" s="2009"/>
      <c r="M30" s="1962"/>
      <c r="N30" s="1962"/>
      <c r="O30" s="2061"/>
      <c r="P30" s="4693"/>
      <c r="Q30" s="1731"/>
      <c r="R30" s="3873"/>
      <c r="S30" s="3654"/>
      <c r="T30" s="3873"/>
      <c r="U30" s="3654"/>
      <c r="V30" s="3873"/>
      <c r="W30" s="3654"/>
      <c r="X30" s="482"/>
      <c r="Y30" s="4559"/>
      <c r="Z30" s="28"/>
      <c r="AA30" s="933">
        <v>1</v>
      </c>
      <c r="AB30" s="933">
        <v>1</v>
      </c>
      <c r="AC30" s="933">
        <v>1</v>
      </c>
    </row>
    <row r="31" spans="1:29" s="46" customFormat="1" ht="15">
      <c r="A31" s="3205"/>
      <c r="B31" s="2876" t="s">
        <v>1691</v>
      </c>
      <c r="C31" s="2898">
        <f>估价对象房地状况!C22</f>
        <v>0</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693"/>
      <c r="Q31" s="1731" t="str">
        <f t="shared" ref="Q31" si="9">B31</f>
        <v>基础设施水平</v>
      </c>
      <c r="R31" s="3873" t="s">
        <v>13</v>
      </c>
      <c r="S31" s="3654">
        <f>F31</f>
        <v>100</v>
      </c>
      <c r="T31" s="3873" t="s">
        <v>13</v>
      </c>
      <c r="U31" s="3654">
        <f>H31</f>
        <v>100</v>
      </c>
      <c r="V31" s="3873" t="s">
        <v>13</v>
      </c>
      <c r="W31" s="3654">
        <f>J31</f>
        <v>100</v>
      </c>
      <c r="X31" s="482"/>
      <c r="Y31" s="4559"/>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693"/>
      <c r="Q32" s="1731"/>
      <c r="R32" s="3873"/>
      <c r="S32" s="3654"/>
      <c r="T32" s="3873"/>
      <c r="U32" s="3654"/>
      <c r="V32" s="3873"/>
      <c r="W32" s="3654"/>
      <c r="X32" s="482"/>
      <c r="Y32" s="4559"/>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693"/>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559"/>
      <c r="Z33" s="933" t="str">
        <f t="shared" ref="Z33:Z47" si="13">Q33</f>
        <v>临街状况</v>
      </c>
      <c r="AA33" s="933">
        <f t="shared" si="3"/>
        <v>1</v>
      </c>
      <c r="AB33" s="933">
        <f t="shared" si="4"/>
        <v>1</v>
      </c>
      <c r="AC33" s="933">
        <f t="shared" si="5"/>
        <v>1</v>
      </c>
    </row>
    <row r="34" spans="1:29" ht="28.8">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693"/>
      <c r="Q34" s="1533" t="str">
        <f t="shared" si="8"/>
        <v>毗邻道路的类型与等级</v>
      </c>
      <c r="R34" s="3874" t="s">
        <v>13</v>
      </c>
      <c r="S34" s="3876">
        <f t="shared" si="10"/>
        <v>100</v>
      </c>
      <c r="T34" s="3874" t="s">
        <v>13</v>
      </c>
      <c r="U34" s="3876">
        <f t="shared" si="11"/>
        <v>100</v>
      </c>
      <c r="V34" s="3874" t="s">
        <v>13</v>
      </c>
      <c r="W34" s="3876">
        <f t="shared" si="12"/>
        <v>100</v>
      </c>
      <c r="X34" s="935"/>
      <c r="Y34" s="4559"/>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693"/>
      <c r="Q35" s="1533"/>
      <c r="R35" s="3874"/>
      <c r="S35" s="3876"/>
      <c r="T35" s="3874"/>
      <c r="U35" s="3876"/>
      <c r="V35" s="3874"/>
      <c r="W35" s="3876"/>
      <c r="X35" s="935"/>
      <c r="Y35" s="4559"/>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693"/>
      <c r="Q36" s="1533" t="str">
        <f t="shared" si="8"/>
        <v>土地级别</v>
      </c>
      <c r="R36" s="3874" t="s">
        <v>13</v>
      </c>
      <c r="S36" s="3876">
        <f t="shared" si="10"/>
        <v>100</v>
      </c>
      <c r="T36" s="3874" t="s">
        <v>13</v>
      </c>
      <c r="U36" s="3876">
        <f t="shared" si="11"/>
        <v>100</v>
      </c>
      <c r="V36" s="3874" t="s">
        <v>13</v>
      </c>
      <c r="W36" s="3876">
        <f t="shared" si="12"/>
        <v>100</v>
      </c>
      <c r="X36" s="935"/>
      <c r="Y36" s="4559"/>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693"/>
      <c r="Q37" s="1533">
        <f t="shared" si="8"/>
        <v>111</v>
      </c>
      <c r="R37" s="3874" t="s">
        <v>13</v>
      </c>
      <c r="S37" s="3876">
        <f t="shared" si="10"/>
        <v>100</v>
      </c>
      <c r="T37" s="3874" t="s">
        <v>13</v>
      </c>
      <c r="U37" s="3876">
        <f t="shared" si="11"/>
        <v>100</v>
      </c>
      <c r="V37" s="3874" t="s">
        <v>13</v>
      </c>
      <c r="W37" s="3876">
        <f t="shared" si="12"/>
        <v>100</v>
      </c>
      <c r="X37" s="935"/>
      <c r="Y37" s="4559"/>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694" t="s">
        <v>1608</v>
      </c>
      <c r="Q38" s="1533">
        <f t="shared" si="8"/>
        <v>111</v>
      </c>
      <c r="R38" s="3874" t="s">
        <v>13</v>
      </c>
      <c r="S38" s="3876">
        <f t="shared" si="10"/>
        <v>100</v>
      </c>
      <c r="T38" s="3874" t="s">
        <v>13</v>
      </c>
      <c r="U38" s="3876">
        <f t="shared" si="11"/>
        <v>100</v>
      </c>
      <c r="V38" s="3874" t="s">
        <v>13</v>
      </c>
      <c r="W38" s="3876">
        <f t="shared" si="12"/>
        <v>100</v>
      </c>
      <c r="X38" s="935"/>
      <c r="Y38" s="4563" t="s">
        <v>1608</v>
      </c>
      <c r="Z38" s="933">
        <f t="shared" si="13"/>
        <v>111</v>
      </c>
      <c r="AA38" s="933">
        <f t="shared" si="3"/>
        <v>1</v>
      </c>
      <c r="AB38" s="933">
        <f t="shared" si="4"/>
        <v>1</v>
      </c>
      <c r="AC38" s="933">
        <f t="shared" si="5"/>
        <v>1</v>
      </c>
    </row>
    <row r="39" spans="1:29" s="279" customFormat="1" ht="15.6"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695"/>
      <c r="Q39" s="1533">
        <f t="shared" si="8"/>
        <v>111</v>
      </c>
      <c r="R39" s="3875" t="s">
        <v>13</v>
      </c>
      <c r="S39" s="3877">
        <f t="shared" si="10"/>
        <v>100</v>
      </c>
      <c r="T39" s="3875" t="s">
        <v>13</v>
      </c>
      <c r="U39" s="3877">
        <f t="shared" si="11"/>
        <v>100</v>
      </c>
      <c r="V39" s="3875" t="s">
        <v>13</v>
      </c>
      <c r="W39" s="3877">
        <f t="shared" si="12"/>
        <v>100</v>
      </c>
      <c r="X39" s="484"/>
      <c r="Y39" s="4563"/>
      <c r="Z39" s="485">
        <f t="shared" si="13"/>
        <v>111</v>
      </c>
      <c r="AA39" s="933">
        <f t="shared" si="3"/>
        <v>1</v>
      </c>
      <c r="AB39" s="933">
        <f t="shared" si="4"/>
        <v>1</v>
      </c>
      <c r="AC39" s="933">
        <f t="shared" si="5"/>
        <v>1</v>
      </c>
    </row>
    <row r="40" spans="1:29" ht="15.6">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695"/>
      <c r="Q40" s="1533" t="str">
        <f>B40</f>
        <v>宗地面积</v>
      </c>
      <c r="R40" s="3874" t="s">
        <v>13</v>
      </c>
      <c r="S40" s="3876" t="e">
        <f t="shared" si="10"/>
        <v>#N/A</v>
      </c>
      <c r="T40" s="3874" t="s">
        <v>13</v>
      </c>
      <c r="U40" s="3876" t="e">
        <f t="shared" si="11"/>
        <v>#N/A</v>
      </c>
      <c r="V40" s="3874" t="s">
        <v>13</v>
      </c>
      <c r="W40" s="3876" t="e">
        <f t="shared" si="12"/>
        <v>#N/A</v>
      </c>
      <c r="X40" s="935"/>
      <c r="Y40" s="4563"/>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695"/>
      <c r="Q41" s="1533" t="str">
        <f t="shared" ref="Q41:Q47" si="14">B41</f>
        <v>宗地形状</v>
      </c>
      <c r="R41" s="3874" t="s">
        <v>13</v>
      </c>
      <c r="S41" s="3876">
        <f t="shared" si="10"/>
        <v>100</v>
      </c>
      <c r="T41" s="3874" t="s">
        <v>13</v>
      </c>
      <c r="U41" s="3876">
        <f t="shared" si="11"/>
        <v>100</v>
      </c>
      <c r="V41" s="3874" t="s">
        <v>13</v>
      </c>
      <c r="W41" s="3876">
        <f t="shared" si="12"/>
        <v>100</v>
      </c>
      <c r="X41" s="935"/>
      <c r="Y41" s="4563"/>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695"/>
      <c r="Q42" s="1533" t="str">
        <f t="shared" si="14"/>
        <v>临街宽度及深度</v>
      </c>
      <c r="R42" s="3874" t="s">
        <v>13</v>
      </c>
      <c r="S42" s="3876">
        <f t="shared" si="10"/>
        <v>100</v>
      </c>
      <c r="T42" s="3874" t="s">
        <v>13</v>
      </c>
      <c r="U42" s="3876">
        <f t="shared" si="11"/>
        <v>100</v>
      </c>
      <c r="V42" s="3874" t="s">
        <v>13</v>
      </c>
      <c r="W42" s="3876">
        <f t="shared" si="12"/>
        <v>100</v>
      </c>
      <c r="X42" s="935"/>
      <c r="Y42" s="4563"/>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695"/>
      <c r="Q43" s="1533" t="str">
        <f t="shared" si="14"/>
        <v>宗地开发程度</v>
      </c>
      <c r="R43" s="3873" t="s">
        <v>13</v>
      </c>
      <c r="S43" s="3654">
        <f t="shared" si="10"/>
        <v>100</v>
      </c>
      <c r="T43" s="3873" t="s">
        <v>13</v>
      </c>
      <c r="U43" s="3654">
        <f t="shared" si="11"/>
        <v>100</v>
      </c>
      <c r="V43" s="3873" t="s">
        <v>13</v>
      </c>
      <c r="W43" s="3654">
        <f t="shared" si="12"/>
        <v>100</v>
      </c>
      <c r="X43" s="482"/>
      <c r="Y43" s="4563"/>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695" t="s">
        <v>1608</v>
      </c>
      <c r="Q44" s="1533" t="str">
        <f t="shared" si="14"/>
        <v>工程地质条件</v>
      </c>
      <c r="R44" s="3874" t="s">
        <v>13</v>
      </c>
      <c r="S44" s="3876">
        <f t="shared" si="10"/>
        <v>100</v>
      </c>
      <c r="T44" s="3874" t="s">
        <v>13</v>
      </c>
      <c r="U44" s="3876">
        <f t="shared" si="11"/>
        <v>100</v>
      </c>
      <c r="V44" s="3874" t="s">
        <v>13</v>
      </c>
      <c r="W44" s="3876">
        <f t="shared" si="12"/>
        <v>100</v>
      </c>
      <c r="X44" s="935"/>
      <c r="Y44" s="4563"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695"/>
      <c r="Q45" s="1533">
        <f t="shared" si="14"/>
        <v>111</v>
      </c>
      <c r="R45" s="3874" t="s">
        <v>13</v>
      </c>
      <c r="S45" s="3876">
        <f t="shared" si="10"/>
        <v>100</v>
      </c>
      <c r="T45" s="3874" t="s">
        <v>13</v>
      </c>
      <c r="U45" s="3876">
        <f t="shared" si="11"/>
        <v>100</v>
      </c>
      <c r="V45" s="3874" t="s">
        <v>13</v>
      </c>
      <c r="W45" s="3876">
        <f t="shared" si="12"/>
        <v>100</v>
      </c>
      <c r="X45" s="935"/>
      <c r="Y45" s="4563"/>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695"/>
      <c r="Q46" s="1533">
        <f t="shared" si="14"/>
        <v>111</v>
      </c>
      <c r="R46" s="3874" t="s">
        <v>13</v>
      </c>
      <c r="S46" s="3876">
        <f t="shared" si="10"/>
        <v>100</v>
      </c>
      <c r="T46" s="3874" t="s">
        <v>13</v>
      </c>
      <c r="U46" s="3876">
        <f t="shared" si="11"/>
        <v>100</v>
      </c>
      <c r="V46" s="3874" t="s">
        <v>13</v>
      </c>
      <c r="W46" s="3876">
        <f t="shared" si="12"/>
        <v>100</v>
      </c>
      <c r="X46" s="935"/>
      <c r="Y46" s="4563"/>
      <c r="Z46" s="933">
        <f t="shared" si="13"/>
        <v>111</v>
      </c>
      <c r="AA46" s="933">
        <f t="shared" si="3"/>
        <v>1</v>
      </c>
      <c r="AB46" s="933">
        <f t="shared" si="4"/>
        <v>1</v>
      </c>
      <c r="AC46" s="933">
        <f t="shared" si="5"/>
        <v>1</v>
      </c>
    </row>
    <row r="47" spans="1:29" s="279" customFormat="1" ht="15.6"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695"/>
      <c r="Q47" s="1533">
        <f t="shared" si="14"/>
        <v>111</v>
      </c>
      <c r="R47" s="3875" t="s">
        <v>13</v>
      </c>
      <c r="S47" s="3877">
        <f t="shared" si="10"/>
        <v>100</v>
      </c>
      <c r="T47" s="3875" t="s">
        <v>13</v>
      </c>
      <c r="U47" s="3877">
        <f t="shared" si="11"/>
        <v>100</v>
      </c>
      <c r="V47" s="3875" t="s">
        <v>13</v>
      </c>
      <c r="W47" s="3877">
        <f t="shared" si="12"/>
        <v>100</v>
      </c>
      <c r="X47" s="484"/>
      <c r="Y47" s="4563"/>
      <c r="Z47" s="485">
        <f t="shared" si="13"/>
        <v>111</v>
      </c>
      <c r="AA47" s="933">
        <f t="shared" si="3"/>
        <v>1</v>
      </c>
      <c r="AB47" s="933">
        <f t="shared" si="4"/>
        <v>1</v>
      </c>
      <c r="AC47" s="933">
        <f t="shared" si="5"/>
        <v>1</v>
      </c>
    </row>
    <row r="48" spans="1:29" ht="14.4">
      <c r="A48" s="286" t="s">
        <v>1756</v>
      </c>
      <c r="B48" s="1456" t="s">
        <v>1791</v>
      </c>
      <c r="C48" s="439" t="s">
        <v>0</v>
      </c>
      <c r="D48" s="288"/>
      <c r="E48" s="3311"/>
      <c r="F48" s="3259"/>
      <c r="G48" s="3312"/>
      <c r="H48" s="3260"/>
      <c r="I48" s="3311"/>
      <c r="J48" s="3260"/>
      <c r="K48" s="2939"/>
      <c r="L48" s="2015"/>
      <c r="M48" s="2008"/>
      <c r="N48" s="2008"/>
      <c r="O48" s="2008"/>
      <c r="P48" s="4551" t="str">
        <f>A48</f>
        <v>成交单价</v>
      </c>
      <c r="Q48" s="4551"/>
      <c r="R48" s="4552">
        <f>E48</f>
        <v>0</v>
      </c>
      <c r="S48" s="4552"/>
      <c r="T48" s="4552">
        <f>G48</f>
        <v>0</v>
      </c>
      <c r="U48" s="4552"/>
      <c r="V48" s="4552">
        <f>I48</f>
        <v>0</v>
      </c>
      <c r="W48" s="4552"/>
      <c r="X48" s="265"/>
      <c r="Y48" s="486"/>
      <c r="Z48" s="265"/>
      <c r="AA48" s="265"/>
      <c r="AB48" s="265"/>
      <c r="AC48" s="265"/>
    </row>
    <row r="49" spans="1:29" ht="1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551" t="str">
        <f>A49</f>
        <v>比较价值（元/平方米）</v>
      </c>
      <c r="Q49" s="4551"/>
      <c r="R49" s="4552" t="e">
        <f>ROUND(PRODUCT(R48,AA9:AA47),0)</f>
        <v>#DIV/0!</v>
      </c>
      <c r="S49" s="4552"/>
      <c r="T49" s="4552" t="e">
        <f>ROUND(PRODUCT(T48,AB9:AB47),0)</f>
        <v>#DIV/0!</v>
      </c>
      <c r="U49" s="4552"/>
      <c r="V49" s="4552" t="e">
        <f>ROUND(PRODUCT(V48,AC9:AC47),0)</f>
        <v>#DIV/0!</v>
      </c>
      <c r="W49" s="4552"/>
      <c r="X49" s="265"/>
      <c r="Y49" s="265"/>
      <c r="Z49" s="265"/>
      <c r="AA49" s="265"/>
      <c r="AB49" s="265"/>
      <c r="AC49" s="265"/>
    </row>
    <row r="50" spans="1:29" ht="15" thickBot="1">
      <c r="A50" s="291" t="s">
        <v>1792</v>
      </c>
      <c r="B50" s="292"/>
      <c r="C50" s="3859" t="e">
        <f>R50</f>
        <v>#DIV/0!</v>
      </c>
      <c r="D50" s="293"/>
      <c r="E50" s="293"/>
      <c r="F50" s="293"/>
      <c r="G50" s="293"/>
      <c r="H50" s="293"/>
      <c r="I50" s="293"/>
      <c r="J50" s="293"/>
      <c r="K50" s="3232"/>
      <c r="L50" s="2015"/>
      <c r="M50" s="2008"/>
      <c r="N50" s="2008"/>
      <c r="O50" s="2008"/>
      <c r="P50" s="4666" t="str">
        <f>A50</f>
        <v>估价对象XX用房的比较价值（楼面单价，元/平方米）</v>
      </c>
      <c r="Q50" s="4667"/>
      <c r="R50" s="4668" t="e">
        <f>ROUND(IF(D49="简单平均",AVERAGE(R49:W49),R49*F49+T49*H49+V49*J49),0)</f>
        <v>#DIV/0!</v>
      </c>
      <c r="S50" s="4668"/>
      <c r="T50" s="4668"/>
      <c r="U50" s="4668"/>
      <c r="V50" s="4668"/>
      <c r="W50" s="4668"/>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4.4"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69" t="s">
        <v>1799</v>
      </c>
      <c r="H57" s="4710"/>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50813.86</v>
      </c>
      <c r="F58" s="3192" t="e">
        <f t="shared" ref="F58:F66" si="15">ROUND(B58*E58/10000,0)</f>
        <v>#DIV/0!</v>
      </c>
      <c r="G58" s="4711"/>
      <c r="H58" s="4698"/>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0.25</v>
      </c>
      <c r="D62" s="3172">
        <v>0.25</v>
      </c>
      <c r="E62" s="3175">
        <f>'数据-汇总表'!E11</f>
        <v>0</v>
      </c>
      <c r="F62" s="3192" t="e">
        <f t="shared" si="15"/>
        <v>#DIV/0!</v>
      </c>
      <c r="G62" s="3184" t="s">
        <v>1808</v>
      </c>
      <c r="H62" s="592" t="str">
        <f>项目基本情况!C37</f>
        <v>五级</v>
      </c>
      <c r="I62" s="3187">
        <f>SUMIF(修正!A59:A70,H62,修正!E59:E70)</f>
        <v>0.25</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0.25</v>
      </c>
      <c r="D63" s="3172">
        <v>0.25</v>
      </c>
      <c r="E63" s="3175">
        <f>'数据-汇总表'!E12</f>
        <v>195.18</v>
      </c>
      <c r="F63" s="3192" t="e">
        <f t="shared" si="15"/>
        <v>#DIV/0!</v>
      </c>
      <c r="G63" s="3185" t="s">
        <v>1810</v>
      </c>
      <c r="H63" s="592" t="str">
        <f>IF(G63="商业",项目基本情况!B37,IF(G63="办公",项目基本情况!C37,IF(G63="住宅",项目基本情况!D37,项目基本情况!E37)))</f>
        <v>五级</v>
      </c>
      <c r="I63" s="3187">
        <f>SUMIF(修正!A59:A70,H63,修正!F59:F70)</f>
        <v>0.25</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4.4" thickBot="1">
      <c r="A66" s="447" t="s">
        <v>1814</v>
      </c>
      <c r="B66" s="3887" t="e">
        <f t="shared" si="17"/>
        <v>#DIV/0!</v>
      </c>
      <c r="C66" s="3169">
        <f t="shared" si="16"/>
        <v>0.15</v>
      </c>
      <c r="D66" s="3172">
        <v>0.25</v>
      </c>
      <c r="E66" s="3175">
        <f>'数据-汇总表'!E15</f>
        <v>4784.37</v>
      </c>
      <c r="F66" s="3192" t="e">
        <f t="shared" si="15"/>
        <v>#DIV/0!</v>
      </c>
      <c r="G66" s="3186" t="s">
        <v>1808</v>
      </c>
      <c r="H66" s="596" t="str">
        <f>项目基本情况!C37</f>
        <v>五级</v>
      </c>
      <c r="I66" s="3190">
        <f>SUMIF(修正!A59:A70,H66,修正!G59:G70)</f>
        <v>0.15</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thickBot="1">
      <c r="A67" s="448" t="s">
        <v>1815</v>
      </c>
      <c r="B67" s="449" t="s">
        <v>20</v>
      </c>
      <c r="C67" s="449" t="s">
        <v>21</v>
      </c>
      <c r="D67" s="3193" t="s">
        <v>386</v>
      </c>
      <c r="E67" s="3176">
        <f>IF(B48="楼面地价",SUM(E58:E66),'数据-汇总表'!D3)</f>
        <v>55793.41</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2.2"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4.4">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4.4">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4.4"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ht="14.4">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4.4"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9.4"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4.4"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4.4"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4.4"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4.4"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4.4"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4.4"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4.4"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ht="14.4">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4.4"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4.4"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4.4"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4.4"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29.4"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4.4"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9.4"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4.4"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4.4"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4.4"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9.4"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4.4"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4.4"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4.4"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4.4"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4.4"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4.4"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ht="14.4">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4.4"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3622</v>
      </c>
      <c r="D120" s="372" t="s">
        <v>3623</v>
      </c>
      <c r="E120" s="372" t="s">
        <v>3624</v>
      </c>
      <c r="F120" s="372" t="s">
        <v>3625</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3617</v>
      </c>
      <c r="D124" s="347" t="s">
        <v>3618</v>
      </c>
      <c r="E124" s="347" t="s">
        <v>3619</v>
      </c>
      <c r="F124" s="347" t="s">
        <v>3620</v>
      </c>
      <c r="G124" s="347" t="s">
        <v>3621</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4.4"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4.4"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4.4"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4.4"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4.4"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4.4"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B7" sqref="B7"/>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IF(B43="单位面积地价",C45,ROUND(B2*10000/'数据-汇总表'!D3,0))</f>
        <v>#DIV/0!</v>
      </c>
      <c r="C4" s="1362" t="s">
        <v>3636</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4.4">
      <c r="A6" s="3266" t="s">
        <v>1681</v>
      </c>
      <c r="B6" s="3267"/>
      <c r="C6" s="4670" t="s">
        <v>1682</v>
      </c>
      <c r="D6" s="4671"/>
      <c r="E6" s="4672" t="s">
        <v>1683</v>
      </c>
      <c r="F6" s="4673"/>
      <c r="G6" s="4670" t="s">
        <v>1684</v>
      </c>
      <c r="H6" s="4671"/>
      <c r="I6" s="4670" t="s">
        <v>1685</v>
      </c>
      <c r="J6" s="4671"/>
      <c r="K6" s="393" t="s">
        <v>1686</v>
      </c>
      <c r="L6" s="2007"/>
      <c r="M6" s="2008"/>
      <c r="N6" s="2008"/>
      <c r="O6" s="2008"/>
      <c r="P6" s="4674" t="s">
        <v>1687</v>
      </c>
      <c r="Q6" s="4675"/>
      <c r="R6" s="4678" t="s">
        <v>1683</v>
      </c>
      <c r="S6" s="4679"/>
      <c r="T6" s="4678" t="s">
        <v>1684</v>
      </c>
      <c r="U6" s="4679"/>
      <c r="V6" s="4586" t="s">
        <v>1685</v>
      </c>
      <c r="W6" s="4586"/>
      <c r="X6" s="935"/>
      <c r="Y6" s="4685" t="s">
        <v>1687</v>
      </c>
      <c r="Z6" s="4686"/>
      <c r="AA6" s="4669" t="s">
        <v>1683</v>
      </c>
      <c r="AB6" s="4606" t="s">
        <v>1684</v>
      </c>
      <c r="AC6" s="4669" t="s">
        <v>1685</v>
      </c>
    </row>
    <row r="7" spans="1:29">
      <c r="A7" s="3203"/>
      <c r="B7" s="3268"/>
      <c r="C7" s="4682" t="s">
        <v>1585</v>
      </c>
      <c r="D7" s="4683"/>
      <c r="E7" s="4689" t="s">
        <v>1586</v>
      </c>
      <c r="F7" s="4690"/>
      <c r="G7" s="4682" t="s">
        <v>1587</v>
      </c>
      <c r="H7" s="4683"/>
      <c r="I7" s="4682" t="s">
        <v>1588</v>
      </c>
      <c r="J7" s="4683"/>
      <c r="K7" s="393"/>
      <c r="L7" s="2007"/>
      <c r="M7" s="2008"/>
      <c r="N7" s="2008"/>
      <c r="O7" s="2008"/>
      <c r="P7" s="4676"/>
      <c r="Q7" s="4576"/>
      <c r="R7" s="4581"/>
      <c r="S7" s="4582"/>
      <c r="T7" s="4581"/>
      <c r="U7" s="4582"/>
      <c r="V7" s="4586"/>
      <c r="W7" s="4586"/>
      <c r="X7" s="935"/>
      <c r="Y7" s="4597"/>
      <c r="Z7" s="4598"/>
      <c r="AA7" s="4606"/>
      <c r="AB7" s="4606"/>
      <c r="AC7" s="4606"/>
    </row>
    <row r="8" spans="1:29" ht="15" thickBot="1">
      <c r="A8" s="3269"/>
      <c r="B8" s="3270"/>
      <c r="C8" s="4712" t="s">
        <v>1831</v>
      </c>
      <c r="D8" s="4713"/>
      <c r="E8" s="4714" t="s">
        <v>1831</v>
      </c>
      <c r="F8" s="4715"/>
      <c r="G8" s="4712" t="s">
        <v>1831</v>
      </c>
      <c r="H8" s="4713"/>
      <c r="I8" s="4712" t="s">
        <v>1831</v>
      </c>
      <c r="J8" s="4713"/>
      <c r="K8" s="393" t="s">
        <v>1590</v>
      </c>
      <c r="L8" s="2007"/>
      <c r="M8" s="2008"/>
      <c r="N8" s="2008"/>
      <c r="O8" s="2008"/>
      <c r="P8" s="4677"/>
      <c r="Q8" s="4578"/>
      <c r="R8" s="4581"/>
      <c r="S8" s="4582"/>
      <c r="T8" s="4583"/>
      <c r="U8" s="4584"/>
      <c r="V8" s="4586"/>
      <c r="W8" s="4586"/>
      <c r="X8" s="935"/>
      <c r="Y8" s="4599"/>
      <c r="Z8" s="4600"/>
      <c r="AA8" s="4607"/>
      <c r="AB8" s="4607"/>
      <c r="AC8" s="4607"/>
    </row>
    <row r="9" spans="1:29" s="46" customFormat="1" ht="15" thickBot="1">
      <c r="A9" s="3195" t="s">
        <v>1591</v>
      </c>
      <c r="B9" s="3196"/>
      <c r="C9" s="2888">
        <f>'数据-取费表'!B2</f>
        <v>46049</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684" t="s">
        <v>1592</v>
      </c>
      <c r="Q9" s="4601"/>
      <c r="R9" s="3873" t="s">
        <v>13</v>
      </c>
      <c r="S9" s="3654">
        <f t="shared" ref="S9:S17" si="0">F9</f>
        <v>0</v>
      </c>
      <c r="T9" s="3873" t="s">
        <v>13</v>
      </c>
      <c r="U9" s="3654">
        <f t="shared" ref="U9:U17" si="1">H9</f>
        <v>0</v>
      </c>
      <c r="V9" s="3873" t="s">
        <v>13</v>
      </c>
      <c r="W9" s="3654">
        <f t="shared" ref="W9:W17" si="2">J9</f>
        <v>0</v>
      </c>
      <c r="X9" s="482"/>
      <c r="Y9" s="4593" t="s">
        <v>1592</v>
      </c>
      <c r="Z9" s="4594"/>
      <c r="AA9" s="28" t="e">
        <f>D9/F9</f>
        <v>#DIV/0!</v>
      </c>
      <c r="AB9" s="28" t="e">
        <f>D9/H9</f>
        <v>#DIV/0!</v>
      </c>
      <c r="AC9" s="28" t="e">
        <f>D9/J9</f>
        <v>#DIV/0!</v>
      </c>
    </row>
    <row r="10" spans="1:29" s="46" customFormat="1" ht="1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684" t="s">
        <v>1595</v>
      </c>
      <c r="Q10" s="4592"/>
      <c r="R10" s="3873" t="s">
        <v>13</v>
      </c>
      <c r="S10" s="3654">
        <f t="shared" si="0"/>
        <v>0</v>
      </c>
      <c r="T10" s="3873" t="s">
        <v>13</v>
      </c>
      <c r="U10" s="3654">
        <f t="shared" si="1"/>
        <v>0</v>
      </c>
      <c r="V10" s="3873" t="s">
        <v>13</v>
      </c>
      <c r="W10" s="3654">
        <f t="shared" si="2"/>
        <v>0</v>
      </c>
      <c r="X10" s="482"/>
      <c r="Y10" s="4593" t="s">
        <v>1595</v>
      </c>
      <c r="Z10" s="4594"/>
      <c r="AA10" s="28" t="e">
        <f t="shared" ref="AA10:AA42" si="3">D10/F10</f>
        <v>#DIV/0!</v>
      </c>
      <c r="AB10" s="28" t="e">
        <f t="shared" ref="AB10:AB42" si="4">D10/H10</f>
        <v>#DIV/0!</v>
      </c>
      <c r="AC10" s="28" t="e">
        <f t="shared" ref="AC10:AC42" si="5">D10/J10</f>
        <v>#DIV/0!</v>
      </c>
    </row>
    <row r="11" spans="1:29" s="46" customFormat="1" ht="14.4">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551" t="s">
        <v>1598</v>
      </c>
      <c r="Q11" s="1731" t="str">
        <f t="shared" ref="Q11:Q17" si="6">B11</f>
        <v>用途</v>
      </c>
      <c r="R11" s="3873" t="s">
        <v>13</v>
      </c>
      <c r="S11" s="3654">
        <f t="shared" si="0"/>
        <v>100</v>
      </c>
      <c r="T11" s="3873" t="s">
        <v>13</v>
      </c>
      <c r="U11" s="3654">
        <f t="shared" si="1"/>
        <v>100</v>
      </c>
      <c r="V11" s="3873" t="s">
        <v>13</v>
      </c>
      <c r="W11" s="3654">
        <f t="shared" si="2"/>
        <v>100</v>
      </c>
      <c r="X11" s="482"/>
      <c r="Y11" s="4565"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893"/>
      <c r="F12" s="3845">
        <f>ROUND(100/'数据-取费表'!G16,1)</f>
        <v>126</v>
      </c>
      <c r="G12" s="2893"/>
      <c r="H12" s="3845">
        <f>ROUND(100/'数据-取费表'!G16,1)</f>
        <v>126</v>
      </c>
      <c r="I12" s="2893"/>
      <c r="J12" s="3845">
        <f>ROUND(100/'数据-取费表'!G16,1)</f>
        <v>126</v>
      </c>
      <c r="K12" s="434"/>
      <c r="L12" s="2010"/>
      <c r="M12" s="2011"/>
      <c r="N12" s="2011"/>
      <c r="O12" s="2062"/>
      <c r="P12" s="4551"/>
      <c r="Q12" s="1731" t="str">
        <f t="shared" si="6"/>
        <v>土地使用年限（年）</v>
      </c>
      <c r="R12" s="3873" t="s">
        <v>13</v>
      </c>
      <c r="S12" s="3654">
        <f t="shared" si="0"/>
        <v>126</v>
      </c>
      <c r="T12" s="3873" t="s">
        <v>13</v>
      </c>
      <c r="U12" s="3654">
        <f t="shared" si="1"/>
        <v>126</v>
      </c>
      <c r="V12" s="3873" t="s">
        <v>13</v>
      </c>
      <c r="W12" s="3654">
        <f t="shared" si="2"/>
        <v>126</v>
      </c>
      <c r="X12" s="482"/>
      <c r="Y12" s="4565"/>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551"/>
      <c r="Q13" s="1731" t="str">
        <f t="shared" si="6"/>
        <v>容积率</v>
      </c>
      <c r="R13" s="3873" t="s">
        <v>13</v>
      </c>
      <c r="S13" s="3654" t="e">
        <f t="shared" si="0"/>
        <v>#N/A</v>
      </c>
      <c r="T13" s="3873" t="s">
        <v>13</v>
      </c>
      <c r="U13" s="3654" t="e">
        <f t="shared" si="1"/>
        <v>#N/A</v>
      </c>
      <c r="V13" s="3873" t="s">
        <v>13</v>
      </c>
      <c r="W13" s="3654" t="e">
        <f t="shared" si="2"/>
        <v>#N/A</v>
      </c>
      <c r="X13" s="482"/>
      <c r="Y13" s="4565"/>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551"/>
      <c r="Q14" s="1731">
        <f t="shared" si="6"/>
        <v>111</v>
      </c>
      <c r="R14" s="3873" t="s">
        <v>13</v>
      </c>
      <c r="S14" s="3654">
        <f t="shared" si="0"/>
        <v>100</v>
      </c>
      <c r="T14" s="3873" t="s">
        <v>13</v>
      </c>
      <c r="U14" s="3654">
        <f t="shared" si="1"/>
        <v>100</v>
      </c>
      <c r="V14" s="3873" t="s">
        <v>13</v>
      </c>
      <c r="W14" s="3654">
        <f t="shared" si="2"/>
        <v>100</v>
      </c>
      <c r="X14" s="482"/>
      <c r="Y14" s="4565"/>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551"/>
      <c r="Q15" s="1731">
        <f t="shared" si="6"/>
        <v>111</v>
      </c>
      <c r="R15" s="3873" t="s">
        <v>13</v>
      </c>
      <c r="S15" s="3654">
        <f t="shared" si="0"/>
        <v>100</v>
      </c>
      <c r="T15" s="3873" t="s">
        <v>13</v>
      </c>
      <c r="U15" s="3654">
        <f t="shared" si="1"/>
        <v>100</v>
      </c>
      <c r="V15" s="3873" t="s">
        <v>13</v>
      </c>
      <c r="W15" s="3654">
        <f t="shared" si="2"/>
        <v>100</v>
      </c>
      <c r="X15" s="482"/>
      <c r="Y15" s="4565"/>
      <c r="Z15" s="28">
        <f t="shared" si="7"/>
        <v>111</v>
      </c>
      <c r="AA15" s="28">
        <f t="shared" si="3"/>
        <v>1</v>
      </c>
      <c r="AB15" s="28">
        <f t="shared" si="4"/>
        <v>1</v>
      </c>
      <c r="AC15" s="28">
        <f t="shared" si="5"/>
        <v>1</v>
      </c>
    </row>
    <row r="16" spans="1:29" ht="15.6"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551"/>
      <c r="Q16" s="1731">
        <f t="shared" si="6"/>
        <v>111</v>
      </c>
      <c r="R16" s="3873" t="s">
        <v>13</v>
      </c>
      <c r="S16" s="3654">
        <f t="shared" si="0"/>
        <v>100</v>
      </c>
      <c r="T16" s="3873" t="s">
        <v>13</v>
      </c>
      <c r="U16" s="3654">
        <f t="shared" si="1"/>
        <v>100</v>
      </c>
      <c r="V16" s="3873" t="s">
        <v>13</v>
      </c>
      <c r="W16" s="3654">
        <f t="shared" si="2"/>
        <v>100</v>
      </c>
      <c r="X16" s="482"/>
      <c r="Y16" s="4565"/>
      <c r="Z16" s="28">
        <f t="shared" si="7"/>
        <v>111</v>
      </c>
      <c r="AA16" s="28">
        <f t="shared" si="3"/>
        <v>1</v>
      </c>
      <c r="AB16" s="28">
        <f t="shared" si="4"/>
        <v>1</v>
      </c>
      <c r="AC16" s="28">
        <f t="shared" si="5"/>
        <v>1</v>
      </c>
    </row>
    <row r="17" spans="1:29" ht="15">
      <c r="A17" s="3202" t="s">
        <v>1602</v>
      </c>
      <c r="B17" s="3271" t="s">
        <v>1832</v>
      </c>
      <c r="C17" s="3280">
        <f>估价对象房地状况!G15</f>
        <v>0</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692" t="s">
        <v>1603</v>
      </c>
      <c r="Q17" s="1533" t="str">
        <f t="shared" si="6"/>
        <v>产业集聚程度</v>
      </c>
      <c r="R17" s="3874" t="s">
        <v>13</v>
      </c>
      <c r="S17" s="3876">
        <f t="shared" si="0"/>
        <v>100</v>
      </c>
      <c r="T17" s="3874" t="s">
        <v>13</v>
      </c>
      <c r="U17" s="3876">
        <f t="shared" si="1"/>
        <v>100</v>
      </c>
      <c r="V17" s="3874" t="s">
        <v>13</v>
      </c>
      <c r="W17" s="3876">
        <f t="shared" si="2"/>
        <v>100</v>
      </c>
      <c r="X17" s="935"/>
      <c r="Y17" s="4558"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693"/>
      <c r="Q18" s="1533"/>
      <c r="R18" s="3874"/>
      <c r="S18" s="3876"/>
      <c r="T18" s="3874"/>
      <c r="U18" s="3876"/>
      <c r="V18" s="3874"/>
      <c r="W18" s="3876"/>
      <c r="X18" s="935"/>
      <c r="Y18" s="4559"/>
      <c r="Z18" s="933"/>
      <c r="AA18" s="933">
        <v>1</v>
      </c>
      <c r="AB18" s="933">
        <v>1</v>
      </c>
      <c r="AC18" s="933">
        <v>1</v>
      </c>
    </row>
    <row r="19" spans="1:29" ht="15">
      <c r="A19" s="3199"/>
      <c r="B19" s="3273" t="s">
        <v>1745</v>
      </c>
      <c r="C19" s="2898">
        <f>估价对象房地状况!G16</f>
        <v>0</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693"/>
      <c r="Q19" s="1533" t="str">
        <f>B19</f>
        <v>交通便捷度</v>
      </c>
      <c r="R19" s="3874" t="s">
        <v>13</v>
      </c>
      <c r="S19" s="3876">
        <f>F19</f>
        <v>100</v>
      </c>
      <c r="T19" s="3874" t="s">
        <v>13</v>
      </c>
      <c r="U19" s="3876">
        <f>H19</f>
        <v>100</v>
      </c>
      <c r="V19" s="3874" t="s">
        <v>13</v>
      </c>
      <c r="W19" s="3876">
        <f>J19</f>
        <v>100</v>
      </c>
      <c r="X19" s="935"/>
      <c r="Y19" s="4559"/>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693"/>
      <c r="Q20" s="1533"/>
      <c r="R20" s="3874"/>
      <c r="S20" s="3876"/>
      <c r="T20" s="3874"/>
      <c r="U20" s="3876"/>
      <c r="V20" s="3874"/>
      <c r="W20" s="3876"/>
      <c r="X20" s="935"/>
      <c r="Y20" s="4559"/>
      <c r="Z20" s="933"/>
      <c r="AA20" s="933">
        <v>1</v>
      </c>
      <c r="AB20" s="933">
        <v>1</v>
      </c>
      <c r="AC20" s="933">
        <v>1</v>
      </c>
    </row>
    <row r="21" spans="1:29" ht="28.8">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693"/>
      <c r="Q21" s="1533" t="str">
        <f t="shared" ref="Q21:Q35" si="8">B21</f>
        <v>区域土地利用方向</v>
      </c>
      <c r="R21" s="3874" t="s">
        <v>13</v>
      </c>
      <c r="S21" s="3876">
        <f>F21</f>
        <v>100</v>
      </c>
      <c r="T21" s="3874" t="s">
        <v>13</v>
      </c>
      <c r="U21" s="3876">
        <f>H21</f>
        <v>100</v>
      </c>
      <c r="V21" s="3874" t="s">
        <v>13</v>
      </c>
      <c r="W21" s="3876">
        <f>J21</f>
        <v>100</v>
      </c>
      <c r="X21" s="935"/>
      <c r="Y21" s="4559"/>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693"/>
      <c r="Q22" s="1533"/>
      <c r="R22" s="3874"/>
      <c r="S22" s="3876"/>
      <c r="T22" s="3874"/>
      <c r="U22" s="3876"/>
      <c r="V22" s="3874"/>
      <c r="W22" s="3876"/>
      <c r="X22" s="935"/>
      <c r="Y22" s="4559"/>
      <c r="Z22" s="933"/>
      <c r="AA22" s="933"/>
      <c r="AB22" s="933"/>
      <c r="AC22" s="933"/>
    </row>
    <row r="23" spans="1:29" ht="15">
      <c r="A23" s="3203"/>
      <c r="B23" s="3273" t="s">
        <v>1833</v>
      </c>
      <c r="C23" s="2898">
        <f>估价对象房地状况!G18</f>
        <v>0</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693"/>
      <c r="Q23" s="1533" t="str">
        <f t="shared" si="8"/>
        <v>环境状况</v>
      </c>
      <c r="R23" s="3874" t="s">
        <v>13</v>
      </c>
      <c r="S23" s="3876">
        <f>F23</f>
        <v>100</v>
      </c>
      <c r="T23" s="3874" t="s">
        <v>13</v>
      </c>
      <c r="U23" s="3876">
        <f>H23</f>
        <v>100</v>
      </c>
      <c r="V23" s="3874" t="s">
        <v>13</v>
      </c>
      <c r="W23" s="3876">
        <f>J23</f>
        <v>100</v>
      </c>
      <c r="X23" s="935"/>
      <c r="Y23" s="4559"/>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693"/>
      <c r="Q24" s="1533"/>
      <c r="R24" s="3874"/>
      <c r="S24" s="3876"/>
      <c r="T24" s="3874"/>
      <c r="U24" s="3876"/>
      <c r="V24" s="3874"/>
      <c r="W24" s="3876"/>
      <c r="X24" s="935"/>
      <c r="Y24" s="4559"/>
      <c r="Z24" s="933"/>
      <c r="AA24" s="933">
        <v>1</v>
      </c>
      <c r="AB24" s="933">
        <v>1</v>
      </c>
      <c r="AC24" s="933">
        <v>1</v>
      </c>
    </row>
    <row r="25" spans="1:29" s="46" customFormat="1" ht="15">
      <c r="A25" s="3205"/>
      <c r="B25" s="3275" t="s">
        <v>1690</v>
      </c>
      <c r="C25" s="2898">
        <f>估价对象房地状况!G19</f>
        <v>0</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693"/>
      <c r="Q25" s="1731" t="str">
        <f t="shared" si="8"/>
        <v>公共配套设施</v>
      </c>
      <c r="R25" s="3873" t="s">
        <v>13</v>
      </c>
      <c r="S25" s="3654">
        <f>F25</f>
        <v>100</v>
      </c>
      <c r="T25" s="3873" t="s">
        <v>13</v>
      </c>
      <c r="U25" s="3654">
        <f>H25</f>
        <v>100</v>
      </c>
      <c r="V25" s="3873" t="s">
        <v>13</v>
      </c>
      <c r="W25" s="3654">
        <f>J25</f>
        <v>100</v>
      </c>
      <c r="X25" s="482"/>
      <c r="Y25" s="4559"/>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693"/>
      <c r="Q26" s="1731"/>
      <c r="R26" s="3873"/>
      <c r="S26" s="3654"/>
      <c r="T26" s="3873"/>
      <c r="U26" s="3654"/>
      <c r="V26" s="3873"/>
      <c r="W26" s="3654"/>
      <c r="X26" s="482"/>
      <c r="Y26" s="4559"/>
      <c r="Z26" s="28"/>
      <c r="AA26" s="28">
        <v>1</v>
      </c>
      <c r="AB26" s="28">
        <v>1</v>
      </c>
      <c r="AC26" s="28">
        <v>1</v>
      </c>
    </row>
    <row r="27" spans="1:29" s="46" customFormat="1" ht="15">
      <c r="A27" s="3205"/>
      <c r="B27" s="3275" t="s">
        <v>1691</v>
      </c>
      <c r="C27" s="2898">
        <f>估价对象房地状况!G20</f>
        <v>0</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693"/>
      <c r="Q27" s="1731" t="str">
        <f t="shared" ref="Q27" si="9">B27</f>
        <v>基础设施水平</v>
      </c>
      <c r="R27" s="3873" t="s">
        <v>13</v>
      </c>
      <c r="S27" s="3654">
        <f>F27</f>
        <v>100</v>
      </c>
      <c r="T27" s="3873" t="s">
        <v>13</v>
      </c>
      <c r="U27" s="3654">
        <f>H27</f>
        <v>100</v>
      </c>
      <c r="V27" s="3873" t="s">
        <v>13</v>
      </c>
      <c r="W27" s="3654">
        <f>J27</f>
        <v>100</v>
      </c>
      <c r="X27" s="482"/>
      <c r="Y27" s="4559"/>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693"/>
      <c r="Q28" s="1731"/>
      <c r="R28" s="3873"/>
      <c r="S28" s="3654"/>
      <c r="T28" s="3873"/>
      <c r="U28" s="3654"/>
      <c r="V28" s="3873"/>
      <c r="W28" s="3654"/>
      <c r="X28" s="482"/>
      <c r="Y28" s="4559"/>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693"/>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559"/>
      <c r="Z29" s="933" t="str">
        <f t="shared" ref="Z29:Z42" si="13">Q29</f>
        <v>临街状况</v>
      </c>
      <c r="AA29" s="933">
        <f t="shared" si="3"/>
        <v>1</v>
      </c>
      <c r="AB29" s="933">
        <f t="shared" si="4"/>
        <v>1</v>
      </c>
      <c r="AC29" s="933">
        <f t="shared" si="5"/>
        <v>1</v>
      </c>
    </row>
    <row r="30" spans="1:29" ht="28.8">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693"/>
      <c r="Q30" s="1533" t="str">
        <f t="shared" si="8"/>
        <v>毗邻道路的类型与等级</v>
      </c>
      <c r="R30" s="3874" t="s">
        <v>13</v>
      </c>
      <c r="S30" s="3876">
        <f t="shared" si="10"/>
        <v>100</v>
      </c>
      <c r="T30" s="3874" t="s">
        <v>13</v>
      </c>
      <c r="U30" s="3876">
        <f t="shared" si="11"/>
        <v>100</v>
      </c>
      <c r="V30" s="3874" t="s">
        <v>13</v>
      </c>
      <c r="W30" s="3876">
        <f t="shared" si="12"/>
        <v>100</v>
      </c>
      <c r="X30" s="935"/>
      <c r="Y30" s="4559"/>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693"/>
      <c r="Q31" s="1533"/>
      <c r="R31" s="3874"/>
      <c r="S31" s="3876"/>
      <c r="T31" s="3874"/>
      <c r="U31" s="3876"/>
      <c r="V31" s="3874"/>
      <c r="W31" s="3876"/>
      <c r="X31" s="935"/>
      <c r="Y31" s="4559"/>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693"/>
      <c r="Q32" s="1533" t="str">
        <f t="shared" si="8"/>
        <v>土地级别</v>
      </c>
      <c r="R32" s="3874" t="s">
        <v>13</v>
      </c>
      <c r="S32" s="3876">
        <f t="shared" si="10"/>
        <v>100</v>
      </c>
      <c r="T32" s="3874" t="s">
        <v>13</v>
      </c>
      <c r="U32" s="3876">
        <f t="shared" si="11"/>
        <v>100</v>
      </c>
      <c r="V32" s="3874" t="s">
        <v>13</v>
      </c>
      <c r="W32" s="3876">
        <f t="shared" si="12"/>
        <v>100</v>
      </c>
      <c r="X32" s="935"/>
      <c r="Y32" s="4559"/>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693"/>
      <c r="Q33" s="1533">
        <f t="shared" si="8"/>
        <v>111</v>
      </c>
      <c r="R33" s="3874" t="s">
        <v>13</v>
      </c>
      <c r="S33" s="3876">
        <f t="shared" si="10"/>
        <v>100</v>
      </c>
      <c r="T33" s="3874" t="s">
        <v>13</v>
      </c>
      <c r="U33" s="3876">
        <f t="shared" si="11"/>
        <v>100</v>
      </c>
      <c r="V33" s="3874" t="s">
        <v>13</v>
      </c>
      <c r="W33" s="3876">
        <f t="shared" si="12"/>
        <v>100</v>
      </c>
      <c r="X33" s="935"/>
      <c r="Y33" s="4559"/>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694" t="s">
        <v>1608</v>
      </c>
      <c r="Q34" s="1533">
        <f t="shared" si="8"/>
        <v>111</v>
      </c>
      <c r="R34" s="3874" t="s">
        <v>13</v>
      </c>
      <c r="S34" s="3876">
        <f t="shared" si="10"/>
        <v>100</v>
      </c>
      <c r="T34" s="3874" t="s">
        <v>13</v>
      </c>
      <c r="U34" s="3876">
        <f t="shared" si="11"/>
        <v>100</v>
      </c>
      <c r="V34" s="3874" t="s">
        <v>13</v>
      </c>
      <c r="W34" s="3876">
        <f t="shared" si="12"/>
        <v>100</v>
      </c>
      <c r="X34" s="935"/>
      <c r="Y34" s="4563" t="s">
        <v>1608</v>
      </c>
      <c r="Z34" s="933">
        <f t="shared" si="13"/>
        <v>111</v>
      </c>
      <c r="AA34" s="933">
        <f t="shared" si="3"/>
        <v>1</v>
      </c>
      <c r="AB34" s="933">
        <f t="shared" si="4"/>
        <v>1</v>
      </c>
      <c r="AC34" s="933">
        <f t="shared" si="5"/>
        <v>1</v>
      </c>
    </row>
    <row r="35" spans="1:31" s="279" customFormat="1" ht="15.6"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695"/>
      <c r="Q35" s="1533">
        <f t="shared" si="8"/>
        <v>111</v>
      </c>
      <c r="R35" s="3875" t="s">
        <v>13</v>
      </c>
      <c r="S35" s="3877">
        <f t="shared" si="10"/>
        <v>100</v>
      </c>
      <c r="T35" s="3875" t="s">
        <v>13</v>
      </c>
      <c r="U35" s="3877">
        <f t="shared" si="11"/>
        <v>100</v>
      </c>
      <c r="V35" s="3875" t="s">
        <v>13</v>
      </c>
      <c r="W35" s="3877">
        <f t="shared" si="12"/>
        <v>100</v>
      </c>
      <c r="X35" s="484"/>
      <c r="Y35" s="4563"/>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695"/>
      <c r="Q36" s="1533" t="str">
        <f>B36</f>
        <v>宗地面积</v>
      </c>
      <c r="R36" s="3874" t="s">
        <v>13</v>
      </c>
      <c r="S36" s="3876" t="e">
        <f t="shared" si="10"/>
        <v>#N/A</v>
      </c>
      <c r="T36" s="3874" t="s">
        <v>13</v>
      </c>
      <c r="U36" s="3876" t="e">
        <f t="shared" si="11"/>
        <v>#N/A</v>
      </c>
      <c r="V36" s="3874" t="s">
        <v>13</v>
      </c>
      <c r="W36" s="3876" t="e">
        <f t="shared" si="12"/>
        <v>#N/A</v>
      </c>
      <c r="X36" s="935"/>
      <c r="Y36" s="4563"/>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695"/>
      <c r="Q37" s="1533" t="str">
        <f t="shared" ref="Q37:Q42" si="14">B37</f>
        <v>宗地形状</v>
      </c>
      <c r="R37" s="3874" t="s">
        <v>13</v>
      </c>
      <c r="S37" s="3876">
        <f t="shared" si="10"/>
        <v>100</v>
      </c>
      <c r="T37" s="3874" t="s">
        <v>13</v>
      </c>
      <c r="U37" s="3876">
        <f t="shared" si="11"/>
        <v>100</v>
      </c>
      <c r="V37" s="3874" t="s">
        <v>13</v>
      </c>
      <c r="W37" s="3876">
        <f t="shared" si="12"/>
        <v>100</v>
      </c>
      <c r="X37" s="935"/>
      <c r="Y37" s="4563"/>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695"/>
      <c r="Q38" s="1533" t="str">
        <f t="shared" si="14"/>
        <v>宗地开发程度</v>
      </c>
      <c r="R38" s="3873" t="s">
        <v>13</v>
      </c>
      <c r="S38" s="3654">
        <f t="shared" si="10"/>
        <v>100</v>
      </c>
      <c r="T38" s="3873" t="s">
        <v>13</v>
      </c>
      <c r="U38" s="3654">
        <f t="shared" si="11"/>
        <v>100</v>
      </c>
      <c r="V38" s="3873" t="s">
        <v>13</v>
      </c>
      <c r="W38" s="3654">
        <f t="shared" si="12"/>
        <v>100</v>
      </c>
      <c r="X38" s="482"/>
      <c r="Y38" s="4563"/>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695" t="s">
        <v>1608</v>
      </c>
      <c r="Q39" s="1533" t="str">
        <f t="shared" si="14"/>
        <v>工程地质条件</v>
      </c>
      <c r="R39" s="3874" t="s">
        <v>13</v>
      </c>
      <c r="S39" s="3876">
        <f t="shared" si="10"/>
        <v>100</v>
      </c>
      <c r="T39" s="3874" t="s">
        <v>13</v>
      </c>
      <c r="U39" s="3876">
        <f t="shared" si="11"/>
        <v>100</v>
      </c>
      <c r="V39" s="3874" t="s">
        <v>13</v>
      </c>
      <c r="W39" s="3876">
        <f t="shared" si="12"/>
        <v>100</v>
      </c>
      <c r="X39" s="935"/>
      <c r="Y39" s="4563"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695"/>
      <c r="Q40" s="1533">
        <f t="shared" si="14"/>
        <v>111</v>
      </c>
      <c r="R40" s="3874" t="s">
        <v>13</v>
      </c>
      <c r="S40" s="3876">
        <f t="shared" si="10"/>
        <v>100</v>
      </c>
      <c r="T40" s="3874" t="s">
        <v>13</v>
      </c>
      <c r="U40" s="3876">
        <f t="shared" si="11"/>
        <v>100</v>
      </c>
      <c r="V40" s="3874" t="s">
        <v>13</v>
      </c>
      <c r="W40" s="3876">
        <f t="shared" si="12"/>
        <v>100</v>
      </c>
      <c r="X40" s="935"/>
      <c r="Y40" s="4563"/>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695"/>
      <c r="Q41" s="1533">
        <f t="shared" si="14"/>
        <v>111</v>
      </c>
      <c r="R41" s="3874" t="s">
        <v>13</v>
      </c>
      <c r="S41" s="3876">
        <f t="shared" si="10"/>
        <v>100</v>
      </c>
      <c r="T41" s="3874" t="s">
        <v>13</v>
      </c>
      <c r="U41" s="3876">
        <f t="shared" si="11"/>
        <v>100</v>
      </c>
      <c r="V41" s="3874" t="s">
        <v>13</v>
      </c>
      <c r="W41" s="3876">
        <f t="shared" si="12"/>
        <v>100</v>
      </c>
      <c r="X41" s="935"/>
      <c r="Y41" s="4563"/>
      <c r="Z41" s="933">
        <f t="shared" si="13"/>
        <v>111</v>
      </c>
      <c r="AA41" s="933">
        <f t="shared" si="3"/>
        <v>1</v>
      </c>
      <c r="AB41" s="933">
        <f t="shared" si="4"/>
        <v>1</v>
      </c>
      <c r="AC41" s="933">
        <f t="shared" si="5"/>
        <v>1</v>
      </c>
    </row>
    <row r="42" spans="1:31" s="279" customFormat="1" ht="15.6"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695"/>
      <c r="Q42" s="1533">
        <f t="shared" si="14"/>
        <v>111</v>
      </c>
      <c r="R42" s="3875" t="s">
        <v>13</v>
      </c>
      <c r="S42" s="3877">
        <f t="shared" si="10"/>
        <v>100</v>
      </c>
      <c r="T42" s="3875" t="s">
        <v>13</v>
      </c>
      <c r="U42" s="3877">
        <f t="shared" si="11"/>
        <v>100</v>
      </c>
      <c r="V42" s="3875" t="s">
        <v>13</v>
      </c>
      <c r="W42" s="3877">
        <f t="shared" si="12"/>
        <v>100</v>
      </c>
      <c r="X42" s="484"/>
      <c r="Y42" s="4563"/>
      <c r="Z42" s="485">
        <f t="shared" si="13"/>
        <v>111</v>
      </c>
      <c r="AA42" s="933">
        <f t="shared" si="3"/>
        <v>1</v>
      </c>
      <c r="AB42" s="933">
        <f t="shared" si="4"/>
        <v>1</v>
      </c>
      <c r="AC42" s="933">
        <f t="shared" si="5"/>
        <v>1</v>
      </c>
    </row>
    <row r="43" spans="1:31" ht="14.4">
      <c r="A43" s="286" t="s">
        <v>1756</v>
      </c>
      <c r="B43" s="1456" t="s">
        <v>1834</v>
      </c>
      <c r="C43" s="439" t="s">
        <v>0</v>
      </c>
      <c r="D43" s="3282"/>
      <c r="E43" s="3311"/>
      <c r="F43" s="3259"/>
      <c r="G43" s="3312"/>
      <c r="H43" s="3260"/>
      <c r="I43" s="3311"/>
      <c r="J43" s="3260"/>
      <c r="K43" s="2939"/>
      <c r="L43" s="2015"/>
      <c r="M43" s="2008"/>
      <c r="N43" s="2008"/>
      <c r="O43" s="2008"/>
      <c r="P43" s="4551" t="str">
        <f>A43</f>
        <v>成交单价</v>
      </c>
      <c r="Q43" s="4551"/>
      <c r="R43" s="4552">
        <f>E43</f>
        <v>0</v>
      </c>
      <c r="S43" s="4552"/>
      <c r="T43" s="4552">
        <f>G43</f>
        <v>0</v>
      </c>
      <c r="U43" s="4552"/>
      <c r="V43" s="4552">
        <f>I43</f>
        <v>0</v>
      </c>
      <c r="W43" s="4552"/>
      <c r="X43" s="265"/>
      <c r="Y43" s="486"/>
      <c r="Z43" s="265"/>
      <c r="AA43" s="265"/>
      <c r="AB43" s="265"/>
      <c r="AC43" s="265"/>
    </row>
    <row r="44" spans="1:31" ht="1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551" t="str">
        <f>A44</f>
        <v>比较价值（元/平方米）</v>
      </c>
      <c r="Q44" s="4551"/>
      <c r="R44" s="4552" t="e">
        <f>ROUND(PRODUCT(R43,AA9:AA42),0)</f>
        <v>#DIV/0!</v>
      </c>
      <c r="S44" s="4552"/>
      <c r="T44" s="4552" t="e">
        <f>ROUND(PRODUCT(T43,AB9:AB42),0)</f>
        <v>#DIV/0!</v>
      </c>
      <c r="U44" s="4552"/>
      <c r="V44" s="4552" t="e">
        <f>ROUND(PRODUCT(V43,AC9:AC42),0)</f>
        <v>#DIV/0!</v>
      </c>
      <c r="W44" s="4552"/>
      <c r="X44" s="265"/>
      <c r="Y44" s="265"/>
      <c r="Z44" s="265"/>
      <c r="AA44" s="265"/>
      <c r="AB44" s="265"/>
      <c r="AC44" s="265"/>
    </row>
    <row r="45" spans="1:31" ht="15" thickBot="1">
      <c r="A45" s="291" t="s">
        <v>1706</v>
      </c>
      <c r="B45" s="292"/>
      <c r="C45" s="3859" t="e">
        <f>R45</f>
        <v>#DIV/0!</v>
      </c>
      <c r="D45" s="3261"/>
      <c r="E45" s="3261"/>
      <c r="F45" s="3261"/>
      <c r="G45" s="3261"/>
      <c r="H45" s="3261"/>
      <c r="I45" s="3261"/>
      <c r="J45" s="3261"/>
      <c r="K45" s="3283"/>
      <c r="L45" s="2015"/>
      <c r="M45" s="2008"/>
      <c r="N45" s="2008"/>
      <c r="O45" s="2008"/>
      <c r="P45" s="4666" t="str">
        <f>A45</f>
        <v>估价对象XX用房的比较价值（楼面单价，元/平方米）</v>
      </c>
      <c r="Q45" s="4667"/>
      <c r="R45" s="4668" t="e">
        <f>ROUND(IF(D44="简单平均",AVERAGE(R44:W44),R44*F44+T44*H44+V44*J44),0)</f>
        <v>#DIV/0!</v>
      </c>
      <c r="S45" s="4668"/>
      <c r="T45" s="4668"/>
      <c r="U45" s="4668"/>
      <c r="V45" s="4668"/>
      <c r="W45" s="4668"/>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4.4"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8.8">
      <c r="A52" s="441" t="s">
        <v>1793</v>
      </c>
      <c r="B52" s="442" t="s">
        <v>1794</v>
      </c>
      <c r="C52" s="1457" t="s">
        <v>1795</v>
      </c>
      <c r="D52" s="1458" t="s">
        <v>1796</v>
      </c>
      <c r="E52" s="443" t="s">
        <v>1797</v>
      </c>
      <c r="F52" s="444" t="s">
        <v>1798</v>
      </c>
      <c r="G52" s="4569" t="s">
        <v>1799</v>
      </c>
      <c r="H52" s="4710"/>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50813.86</v>
      </c>
      <c r="F53" s="3173" t="e">
        <f t="shared" ref="F53:F62" si="15">ROUND(B53*E53/10000,0)</f>
        <v>#DIV/0!</v>
      </c>
      <c r="G53" s="4711"/>
      <c r="H53" s="4698"/>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v>
      </c>
      <c r="D54" s="3172">
        <v>0.25</v>
      </c>
      <c r="E54" s="3174"/>
      <c r="F54" s="3173" t="e">
        <f t="shared" si="15"/>
        <v>#DIV/0!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v>
      </c>
      <c r="D55" s="3172">
        <v>0.25</v>
      </c>
      <c r="E55" s="3174"/>
      <c r="F55" s="3173" t="e">
        <f t="shared" si="15"/>
        <v>#DIV/0!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v>
      </c>
      <c r="D56" s="3172">
        <v>0.25</v>
      </c>
      <c r="E56" s="3174"/>
      <c r="F56" s="3173" t="e">
        <f t="shared" si="15"/>
        <v>#DIV/0!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0.25</v>
      </c>
      <c r="D58" s="3172">
        <v>0.25</v>
      </c>
      <c r="E58" s="3175">
        <f>'数据-汇总表'!E11</f>
        <v>0</v>
      </c>
      <c r="F58" s="3173" t="e">
        <f t="shared" si="15"/>
        <v>#DIV/0!</v>
      </c>
      <c r="G58" s="3184" t="s">
        <v>1808</v>
      </c>
      <c r="H58" s="3178" t="str">
        <f>项目基本情况!C37</f>
        <v>五级</v>
      </c>
      <c r="I58" s="2805">
        <f>SUMIF(修正!A59:A70,H58,修正!E59:E70)</f>
        <v>0.25</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0.25</v>
      </c>
      <c r="D59" s="3172">
        <v>0.25</v>
      </c>
      <c r="E59" s="3175">
        <f>'数据-汇总表'!E12</f>
        <v>195.18</v>
      </c>
      <c r="F59" s="3173" t="e">
        <f t="shared" si="15"/>
        <v>#DIV/0!</v>
      </c>
      <c r="G59" s="3185" t="s">
        <v>1810</v>
      </c>
      <c r="H59" s="3178" t="str">
        <f>IF(G59="商业",项目基本情况!B37,IF(G59="办公",项目基本情况!C37,IF(G59="住宅",项目基本情况!D37,项目基本情况!E37)))</f>
        <v>五级</v>
      </c>
      <c r="I59" s="2805">
        <f>SUMIF(修正!A59:A70,H59,修正!F59:F70)</f>
        <v>0.25</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v>
      </c>
      <c r="D61" s="3172">
        <v>0.25</v>
      </c>
      <c r="E61" s="3175">
        <f>'数据-汇总表'!E14</f>
        <v>0</v>
      </c>
      <c r="F61" s="3173" t="e">
        <f t="shared" si="15"/>
        <v>#DIV/0!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4.4" thickBot="1">
      <c r="A62" s="447" t="s">
        <v>1814</v>
      </c>
      <c r="B62" s="3887" t="e">
        <f t="shared" si="17"/>
        <v>#DIV/0!</v>
      </c>
      <c r="C62" s="3169">
        <f t="shared" si="16"/>
        <v>0.15</v>
      </c>
      <c r="D62" s="3172">
        <v>0.25</v>
      </c>
      <c r="E62" s="3175">
        <f>'数据-汇总表'!E15</f>
        <v>4784.37</v>
      </c>
      <c r="F62" s="3173" t="e">
        <f t="shared" si="15"/>
        <v>#DIV/0!</v>
      </c>
      <c r="G62" s="3186" t="s">
        <v>1808</v>
      </c>
      <c r="H62" s="3180" t="str">
        <f>项目基本情况!C37</f>
        <v>五级</v>
      </c>
      <c r="I62" s="2805">
        <f>SUMIF(修正!A59:A70,H62,修正!G59:G70)</f>
        <v>0.15</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4.4" thickBot="1">
      <c r="A63" s="448" t="s">
        <v>1815</v>
      </c>
      <c r="B63" s="449" t="s">
        <v>20</v>
      </c>
      <c r="C63" s="449" t="s">
        <v>21</v>
      </c>
      <c r="D63" s="449" t="s">
        <v>386</v>
      </c>
      <c r="E63" s="3176">
        <f>IF(B43="楼面地价",SUM(E53:E62),'数据-汇总表'!D3)</f>
        <v>16447.62</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2.2"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4.4">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4.4">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4.4"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ht="14.4">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4.4"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9.4"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4.4"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4.4"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4.4"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4.4"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4.4"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4.4"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4.4"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ht="14.4">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29.4"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9.4"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9.4"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4.4"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4.4"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4.4"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4.4"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4.4"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4.4"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14.4">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4.4"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4.4"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4.4"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4.4"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4.4"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4.4"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4.4"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B7" sqref="B7"/>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1">
      <c r="A1" s="91" t="s">
        <v>1535</v>
      </c>
      <c r="B1" s="47"/>
      <c r="C1" s="807"/>
      <c r="D1" s="806"/>
      <c r="E1" s="2078"/>
      <c r="F1" s="2078"/>
      <c r="G1" s="1971"/>
      <c r="H1" s="2078"/>
      <c r="I1" s="2078"/>
      <c r="J1" s="2078"/>
      <c r="K1" s="2079">
        <f>MATCH(C1,'数据-取费表'!A6:A16,0)+5</f>
        <v>10</v>
      </c>
    </row>
    <row r="2" spans="1:33" ht="18" customHeight="1">
      <c r="A2" s="96" t="s">
        <v>1433</v>
      </c>
      <c r="B2" s="2589">
        <f ca="1">IF(D2="含税",C37,C36)</f>
        <v>-1307</v>
      </c>
      <c r="C2" s="171" t="s">
        <v>1536</v>
      </c>
      <c r="D2" s="3431"/>
      <c r="E2" s="2078"/>
      <c r="G2" s="2078"/>
      <c r="H2" s="2078"/>
      <c r="I2" s="2078"/>
      <c r="J2" s="2078"/>
      <c r="K2" s="2078"/>
    </row>
    <row r="3" spans="1:33" ht="18" customHeight="1">
      <c r="A3" s="98" t="s">
        <v>1435</v>
      </c>
      <c r="B3" s="2589">
        <f ca="1">ROUND(B2*10000/IF(C1="",'数据-汇总表'!E3,INDIRECT("'数据-取费表'!K"&amp;$K$1)),0)</f>
        <v>-228</v>
      </c>
      <c r="C3" s="171" t="s">
        <v>1537</v>
      </c>
      <c r="E3" s="532"/>
      <c r="I3" s="2078"/>
      <c r="J3" s="2078"/>
      <c r="K3" s="2078"/>
    </row>
    <row r="4" spans="1:33" ht="18" customHeight="1">
      <c r="A4" s="3484" t="s">
        <v>3631</v>
      </c>
      <c r="B4" s="3489">
        <f ca="1">ROUND(B2*10000/IF(C1="",'数据-汇总表'!D3,INDIRECT("'数据-取费表'!R"&amp;$K$1)),0)</f>
        <v>-795</v>
      </c>
      <c r="C4" s="3488" t="s">
        <v>1537</v>
      </c>
      <c r="E4" s="532"/>
      <c r="I4" s="2078"/>
      <c r="J4" s="2078"/>
      <c r="K4" s="2078"/>
    </row>
    <row r="5" spans="1:33" ht="18" customHeight="1" thickBot="1">
      <c r="A5" s="94"/>
      <c r="B5" s="3485">
        <f ca="1">ROUND(B2/(IF(C1="",'数据-汇总表'!D3,INDIRECT("'数据-取费表'!R"&amp;$K$1))/666.67),0)</f>
        <v>-53</v>
      </c>
      <c r="C5" s="3487" t="s">
        <v>3629</v>
      </c>
      <c r="E5" s="532"/>
      <c r="I5" s="2078"/>
      <c r="J5" s="2078"/>
      <c r="K5" s="2078"/>
    </row>
    <row r="6" spans="1:33" s="533" customFormat="1" ht="16.5" customHeight="1">
      <c r="A6" s="2724" t="s">
        <v>3373</v>
      </c>
      <c r="B6" s="2723"/>
      <c r="C6" s="4716" t="s">
        <v>3375</v>
      </c>
      <c r="D6" s="4716"/>
      <c r="E6" s="4716"/>
      <c r="F6" s="4716"/>
      <c r="G6" s="4716"/>
      <c r="H6" s="4716"/>
      <c r="I6" s="4716"/>
      <c r="J6" s="4716"/>
      <c r="K6" s="4717"/>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3971</v>
      </c>
      <c r="B10" s="4202" t="s">
        <v>3970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20" t="s">
        <v>3388</v>
      </c>
      <c r="B11" s="4721"/>
      <c r="C11" s="4721"/>
      <c r="D11" s="4721"/>
      <c r="E11" s="4721"/>
      <c r="F11" s="4721"/>
      <c r="G11" s="4721"/>
      <c r="H11" s="4721"/>
      <c r="I11" s="4721"/>
      <c r="J11" s="4721"/>
      <c r="K11" s="4722"/>
    </row>
    <row r="12" spans="1:33" s="4199" customFormat="1" ht="13.5" customHeight="1">
      <c r="A12" s="3317" t="s">
        <v>3513</v>
      </c>
      <c r="B12" s="4196" t="s">
        <v>1542</v>
      </c>
      <c r="C12" s="4200" t="s">
        <v>3967</v>
      </c>
      <c r="D12" s="4196" t="s">
        <v>1544</v>
      </c>
      <c r="E12" s="4196" t="s">
        <v>1545</v>
      </c>
      <c r="F12" s="4196" t="s">
        <v>1546</v>
      </c>
      <c r="G12" s="4197" t="s">
        <v>3399</v>
      </c>
      <c r="H12" s="4196"/>
      <c r="I12" s="4196"/>
      <c r="J12" s="4196"/>
      <c r="K12" s="4198"/>
    </row>
    <row r="13" spans="1:33" s="539" customFormat="1" ht="13.5" customHeight="1">
      <c r="A13" s="2558">
        <v>1</v>
      </c>
      <c r="B13" s="2748" t="s">
        <v>3374</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3669</v>
      </c>
      <c r="H14" s="25"/>
      <c r="I14" s="25"/>
      <c r="J14" s="25"/>
      <c r="K14" s="27"/>
    </row>
    <row r="15" spans="1:33" s="541" customFormat="1" ht="13.5" customHeight="1">
      <c r="A15" s="2558">
        <v>3</v>
      </c>
      <c r="B15" s="2726" t="s">
        <v>3376</v>
      </c>
      <c r="C15" s="2734">
        <f ca="1">SUM(C16:C19)+C25+C26</f>
        <v>1148</v>
      </c>
      <c r="D15" s="548"/>
      <c r="E15" s="173"/>
      <c r="F15" s="2734"/>
      <c r="G15" s="2787" t="s">
        <v>3670</v>
      </c>
      <c r="H15" s="55"/>
      <c r="I15" s="55"/>
      <c r="J15" s="55"/>
      <c r="K15" s="2751"/>
    </row>
    <row r="16" spans="1:33" s="541" customFormat="1" ht="13.5" customHeight="1">
      <c r="A16" s="537" t="s">
        <v>355</v>
      </c>
      <c r="B16" s="2765" t="s">
        <v>3389</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3390</v>
      </c>
      <c r="C17" s="2774">
        <f ca="1">ROUND(C16*F17,0)</f>
        <v>0</v>
      </c>
      <c r="D17" s="540"/>
      <c r="E17" s="55"/>
      <c r="F17" s="2742">
        <f>'数据-取费表'!B33</f>
        <v>0.05</v>
      </c>
      <c r="G17" s="3515" t="s">
        <v>3680</v>
      </c>
      <c r="H17" s="2749"/>
      <c r="I17" s="2749"/>
      <c r="J17" s="2749"/>
      <c r="K17" s="2750"/>
    </row>
    <row r="18" spans="1:33" s="541" customFormat="1" ht="13.5" customHeight="1">
      <c r="A18" s="537" t="s">
        <v>1541</v>
      </c>
      <c r="B18" s="2765" t="s">
        <v>3391</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3378</v>
      </c>
      <c r="B19" s="2765" t="s">
        <v>3392</v>
      </c>
      <c r="C19" s="2774">
        <f ca="1">C20+C23+C24</f>
        <v>1148</v>
      </c>
      <c r="D19" s="557"/>
      <c r="E19" s="55"/>
      <c r="F19" s="2742"/>
      <c r="G19" s="2749"/>
      <c r="H19" s="2749"/>
      <c r="I19" s="2749"/>
      <c r="J19" s="2749"/>
      <c r="K19" s="2750"/>
    </row>
    <row r="20" spans="1:33" s="541" customFormat="1" ht="13.5" customHeight="1">
      <c r="A20" s="2727" t="s">
        <v>3381</v>
      </c>
      <c r="B20" s="2752" t="s">
        <v>1552</v>
      </c>
      <c r="C20" s="2774">
        <f ca="1">C21+C22-IF(C1="",'数据-取费表'!B29,IF(G20="已全部缴纳",C21+C22,H20))</f>
        <v>1148</v>
      </c>
      <c r="D20" s="557"/>
      <c r="E20" s="12"/>
      <c r="F20" s="2743"/>
      <c r="G20" s="2753"/>
      <c r="H20" s="2754"/>
      <c r="I20" s="2755" t="s">
        <v>1553</v>
      </c>
      <c r="J20" s="55"/>
      <c r="K20" s="2751"/>
    </row>
    <row r="21" spans="1:33" s="541" customFormat="1" ht="13.5" customHeight="1">
      <c r="A21" s="2767" t="s">
        <v>3384</v>
      </c>
      <c r="B21" s="2768" t="s">
        <v>3395</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3385</v>
      </c>
      <c r="B22" s="2768" t="s">
        <v>3396</v>
      </c>
      <c r="C22" s="2775">
        <f ca="1">ROUND(D22*E22/10000,0)</f>
        <v>1148</v>
      </c>
      <c r="D22" s="2777">
        <f ca="1">IF(C1="",'数据-汇总表'!E6,IF(INDIRECT("'数据-取费表'!c"&amp;$K$1)="住宅",INDIRECT("'数据-取费表'!s"&amp;$K$1),INDIRECT("'数据-取费表'!k"&amp;$K$1)+INDIRECT("'数据-取费表'!s"&amp;$K$1)))</f>
        <v>57408.26</v>
      </c>
      <c r="E22" s="2775">
        <f>'数据-取费表'!B28</f>
        <v>200</v>
      </c>
      <c r="F22" s="2769"/>
      <c r="G22" s="186"/>
      <c r="H22" s="186"/>
      <c r="I22" s="186"/>
      <c r="J22" s="186"/>
      <c r="K22" s="1901"/>
    </row>
    <row r="23" spans="1:33" s="542" customFormat="1" ht="13.5" customHeight="1">
      <c r="A23" s="2727" t="s">
        <v>3382</v>
      </c>
      <c r="B23" s="2752" t="s">
        <v>1548</v>
      </c>
      <c r="C23" s="2774">
        <f ca="1">ROUND(D23*E23*F16/10000,0)</f>
        <v>0</v>
      </c>
      <c r="D23" s="2778">
        <f ca="1">IF(C1="",'数据-汇总表'!E3,INDIRECT("'数据-取费表'!K"&amp;$K$1)+INDIRECT("'数据-取费表'!S"&amp;$K$1))</f>
        <v>57408.26</v>
      </c>
      <c r="E23" s="2774">
        <f>'数据-取费表'!B35</f>
        <v>300</v>
      </c>
      <c r="F23" s="2743"/>
      <c r="G23" s="2748" t="s">
        <v>3671</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3383</v>
      </c>
      <c r="B24" s="2752" t="s">
        <v>1550</v>
      </c>
      <c r="C24" s="2774">
        <f ca="1">ROUND(D24*E24/10000,0)</f>
        <v>0</v>
      </c>
      <c r="D24" s="2778">
        <f ca="1">D23</f>
        <v>57408.26</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3379</v>
      </c>
      <c r="B25" s="2766" t="s">
        <v>3393</v>
      </c>
      <c r="C25" s="2737">
        <f ca="1">ROUND(C16*F25,0)</f>
        <v>0</v>
      </c>
      <c r="D25" s="2728"/>
      <c r="E25" s="2729"/>
      <c r="F25" s="2742">
        <f>'数据-取费表'!B36</f>
        <v>0.01</v>
      </c>
      <c r="G25" s="2728"/>
      <c r="H25" s="2728"/>
      <c r="I25" s="2728"/>
      <c r="J25" s="2728"/>
      <c r="K25" s="2756"/>
    </row>
    <row r="26" spans="1:33" s="542" customFormat="1" ht="13.5" customHeight="1">
      <c r="A26" s="2725" t="s">
        <v>3380</v>
      </c>
      <c r="B26" s="2765" t="s">
        <v>3394</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23</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3672</v>
      </c>
      <c r="H28" s="2749"/>
      <c r="I28" s="2749"/>
      <c r="J28" s="2749"/>
      <c r="K28" s="2750"/>
    </row>
    <row r="29" spans="1:33" s="541" customFormat="1" ht="13.5" customHeight="1">
      <c r="A29" s="2558">
        <v>6</v>
      </c>
      <c r="B29" s="2726" t="s">
        <v>3377</v>
      </c>
      <c r="C29" s="2772" t="str">
        <f ca="1">C31&amp;"+"&amp;C30&amp;"V"</f>
        <v>0+0V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3397</v>
      </c>
      <c r="C31" s="2735">
        <f ca="1">ROUND(IF('数据-取费表'!B22&lt;=1,(C15+C27+C28)*F29*'数据-取费表'!B24/2,(C15+C27+C28)*(POWER((1+F29),'数据-取费表'!B24/2)-1)),0)</f>
        <v>0</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ROUND(C13*F32/(1+'数据-取费表'!C43),0)</f>
        <v>0</v>
      </c>
      <c r="D32" s="2749"/>
      <c r="E32" s="2761"/>
      <c r="F32" s="2758"/>
      <c r="G32" s="4718" t="s">
        <v>3387</v>
      </c>
      <c r="H32" s="4718"/>
      <c r="I32" s="4718"/>
      <c r="J32" s="4718"/>
      <c r="K32" s="4719"/>
    </row>
    <row r="33" spans="1:11" s="176" customFormat="1" ht="13.5" customHeight="1">
      <c r="A33" s="2558">
        <v>8</v>
      </c>
      <c r="B33" s="2730" t="s">
        <v>1559</v>
      </c>
      <c r="C33" s="2776" t="str">
        <f ca="1">C35&amp;"+"&amp;C34&amp;"V"</f>
        <v>176+0V</v>
      </c>
      <c r="D33" s="172"/>
      <c r="E33" s="173"/>
      <c r="F33" s="2745">
        <f ca="1">IF(C1="",'数据-取费表'!Q16,INDIRECT("'数据-取费表'!q"&amp;$K$1))</f>
        <v>0.15</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3397</v>
      </c>
      <c r="C35" s="2740">
        <f ca="1">ROUND((C15+C27+C28)*F33,0)</f>
        <v>176</v>
      </c>
      <c r="D35" s="174"/>
      <c r="E35" s="543"/>
      <c r="F35" s="2744"/>
      <c r="G35" s="55"/>
      <c r="H35" s="55"/>
      <c r="I35" s="55"/>
      <c r="J35" s="55"/>
      <c r="K35" s="2751"/>
    </row>
    <row r="36" spans="1:11" s="539" customFormat="1" ht="15.6">
      <c r="A36" s="2558">
        <v>9</v>
      </c>
      <c r="B36" s="2748" t="s">
        <v>3386</v>
      </c>
      <c r="C36" s="2733">
        <f ca="1">ROUND((C13-C15-C27-C28-C31-C35-C32)/(1+F14+C30+C34),0)</f>
        <v>-1307</v>
      </c>
      <c r="D36" s="2749"/>
      <c r="E36" s="2749"/>
      <c r="F36" s="172"/>
      <c r="G36" s="2783" t="s">
        <v>3398</v>
      </c>
      <c r="H36" s="2749"/>
      <c r="I36" s="2749"/>
      <c r="J36" s="2749"/>
      <c r="K36" s="2750"/>
    </row>
    <row r="37" spans="1:11" s="2865" customFormat="1" ht="15" thickBot="1">
      <c r="A37" s="2762">
        <v>10</v>
      </c>
      <c r="B37" s="2763" t="s">
        <v>3476</v>
      </c>
      <c r="C37" s="2862">
        <f ca="1">ROUND(C36*(1+F37),0)</f>
        <v>-1425</v>
      </c>
      <c r="D37" s="2863"/>
      <c r="E37" s="2864"/>
      <c r="F37" s="2764">
        <v>0.09</v>
      </c>
      <c r="G37" s="2748" t="s">
        <v>3477</v>
      </c>
      <c r="H37" s="2749"/>
      <c r="I37" s="2749"/>
      <c r="J37" s="2749"/>
      <c r="K37" s="2750"/>
    </row>
    <row r="38" spans="1:11" ht="12.75" customHeight="1"/>
    <row r="44" spans="1:11" s="3315" customFormat="1" ht="18" thickBot="1">
      <c r="A44" s="3320" t="s">
        <v>3486</v>
      </c>
      <c r="B44" s="1894"/>
      <c r="C44" s="3321"/>
      <c r="D44" s="1894"/>
      <c r="E44" s="1894"/>
      <c r="F44" s="1894"/>
      <c r="G44" s="1894"/>
    </row>
    <row r="45" spans="1:11" s="3315" customFormat="1" ht="14.4">
      <c r="A45" s="3317" t="s">
        <v>3513</v>
      </c>
      <c r="B45" s="2746" t="s">
        <v>1542</v>
      </c>
      <c r="C45" s="2747" t="s">
        <v>1543</v>
      </c>
      <c r="D45" s="1190" t="s">
        <v>1544</v>
      </c>
      <c r="E45" s="1190" t="s">
        <v>1545</v>
      </c>
      <c r="F45" s="1190" t="s">
        <v>1546</v>
      </c>
      <c r="G45" s="2784" t="s">
        <v>3399</v>
      </c>
    </row>
    <row r="46" spans="1:11" s="3315" customFormat="1">
      <c r="A46" s="644">
        <v>1</v>
      </c>
      <c r="B46" s="2766" t="s">
        <v>3487</v>
      </c>
      <c r="C46" s="2737">
        <f>C13</f>
        <v>0</v>
      </c>
      <c r="D46" s="644"/>
      <c r="E46" s="644"/>
      <c r="F46" s="644"/>
      <c r="G46" s="644"/>
    </row>
    <row r="47" spans="1:11" s="3315" customFormat="1">
      <c r="A47" s="644">
        <v>2</v>
      </c>
      <c r="B47" s="2766" t="s">
        <v>3489</v>
      </c>
      <c r="C47" s="2737" t="str">
        <f>C14</f>
        <v>0.0305V</v>
      </c>
      <c r="D47" s="644"/>
      <c r="E47" s="644"/>
      <c r="F47" s="644"/>
      <c r="G47" s="644"/>
    </row>
    <row r="48" spans="1:11" s="3315" customFormat="1">
      <c r="A48" s="644">
        <v>3</v>
      </c>
      <c r="B48" s="2766" t="s">
        <v>3488</v>
      </c>
      <c r="C48" s="2737" t="e">
        <f ca="1">C49+C59+C60+C63</f>
        <v>#VALUE!</v>
      </c>
      <c r="D48" s="644"/>
      <c r="E48" s="644"/>
      <c r="F48" s="644"/>
      <c r="G48" s="644"/>
    </row>
    <row r="49" spans="1:7" s="3315" customFormat="1">
      <c r="A49" s="3318" t="s">
        <v>355</v>
      </c>
      <c r="B49" s="2766" t="s">
        <v>3498</v>
      </c>
      <c r="C49" s="2737">
        <f ca="1">C50+C51+C52+C53+C57+C58</f>
        <v>1148</v>
      </c>
      <c r="D49" s="644"/>
      <c r="E49" s="644"/>
      <c r="F49" s="644"/>
      <c r="G49" s="644"/>
    </row>
    <row r="50" spans="1:7" s="3315" customFormat="1">
      <c r="A50" s="3319" t="s">
        <v>3499</v>
      </c>
      <c r="B50" s="2766" t="s">
        <v>3503</v>
      </c>
      <c r="C50" s="2737">
        <f ca="1">C16</f>
        <v>0</v>
      </c>
      <c r="D50" s="644"/>
      <c r="E50" s="644"/>
      <c r="F50" s="644"/>
      <c r="G50" s="644"/>
    </row>
    <row r="51" spans="1:7" s="3315" customFormat="1">
      <c r="A51" s="3319" t="s">
        <v>3514</v>
      </c>
      <c r="B51" s="644" t="s">
        <v>3500</v>
      </c>
      <c r="C51" s="2737">
        <f t="shared" ref="C51:C53" ca="1" si="0">C17</f>
        <v>0</v>
      </c>
      <c r="D51" s="644"/>
      <c r="E51" s="644"/>
      <c r="F51" s="644"/>
      <c r="G51" s="644"/>
    </row>
    <row r="52" spans="1:7" s="3315" customFormat="1">
      <c r="A52" s="3319" t="s">
        <v>3515</v>
      </c>
      <c r="B52" s="644" t="s">
        <v>3501</v>
      </c>
      <c r="C52" s="2737">
        <f t="shared" ca="1" si="0"/>
        <v>0</v>
      </c>
      <c r="D52" s="644"/>
      <c r="E52" s="644"/>
      <c r="F52" s="644"/>
      <c r="G52" s="644"/>
    </row>
    <row r="53" spans="1:7" s="3315" customFormat="1">
      <c r="A53" s="3319" t="s">
        <v>3516</v>
      </c>
      <c r="B53" s="644" t="s">
        <v>3502</v>
      </c>
      <c r="C53" s="2737">
        <f t="shared" ca="1" si="0"/>
        <v>1148</v>
      </c>
      <c r="D53" s="644"/>
      <c r="E53" s="644"/>
      <c r="F53" s="644"/>
      <c r="G53" s="644"/>
    </row>
    <row r="54" spans="1:7" s="3315" customFormat="1">
      <c r="A54" s="3510" t="s">
        <v>3384</v>
      </c>
      <c r="B54" s="3511" t="s">
        <v>3506</v>
      </c>
      <c r="C54" s="3512">
        <f ca="1">C20</f>
        <v>1148</v>
      </c>
      <c r="D54" s="644"/>
      <c r="E54" s="644"/>
      <c r="F54" s="644"/>
      <c r="G54" s="644"/>
    </row>
    <row r="55" spans="1:7" s="3315" customFormat="1">
      <c r="A55" s="3510" t="s">
        <v>3385</v>
      </c>
      <c r="B55" s="3511" t="s">
        <v>3507</v>
      </c>
      <c r="C55" s="3512">
        <f ca="1">C23</f>
        <v>0</v>
      </c>
      <c r="D55" s="644"/>
      <c r="E55" s="644"/>
      <c r="F55" s="644"/>
      <c r="G55" s="644"/>
    </row>
    <row r="56" spans="1:7" s="3315" customFormat="1">
      <c r="A56" s="3510" t="s">
        <v>3666</v>
      </c>
      <c r="B56" s="3511" t="s">
        <v>3508</v>
      </c>
      <c r="C56" s="3512">
        <f ca="1">C24</f>
        <v>0</v>
      </c>
      <c r="D56" s="644"/>
      <c r="E56" s="644"/>
      <c r="F56" s="644"/>
      <c r="G56" s="644"/>
    </row>
    <row r="57" spans="1:7" s="3315" customFormat="1">
      <c r="A57" s="3319" t="s">
        <v>3517</v>
      </c>
      <c r="B57" s="644" t="s">
        <v>3504</v>
      </c>
      <c r="C57" s="2737">
        <f ca="1">C25</f>
        <v>0</v>
      </c>
      <c r="D57" s="644"/>
      <c r="E57" s="644"/>
      <c r="F57" s="644"/>
      <c r="G57" s="644"/>
    </row>
    <row r="58" spans="1:7" s="3315" customFormat="1">
      <c r="A58" s="3319" t="s">
        <v>3518</v>
      </c>
      <c r="B58" s="644" t="s">
        <v>3505</v>
      </c>
      <c r="C58" s="2737">
        <f ca="1">C26</f>
        <v>0</v>
      </c>
      <c r="D58" s="644"/>
      <c r="E58" s="644"/>
      <c r="F58" s="644"/>
      <c r="G58" s="644"/>
    </row>
    <row r="59" spans="1:7" s="3315" customFormat="1">
      <c r="A59" s="3318" t="s">
        <v>3497</v>
      </c>
      <c r="B59" s="2766" t="s">
        <v>3491</v>
      </c>
      <c r="C59" s="2737">
        <f ca="1">C27</f>
        <v>23</v>
      </c>
      <c r="D59" s="644"/>
      <c r="E59" s="644"/>
      <c r="F59" s="644"/>
      <c r="G59" s="644"/>
    </row>
    <row r="60" spans="1:7" s="3315" customFormat="1">
      <c r="A60" s="3318" t="s">
        <v>3509</v>
      </c>
      <c r="B60" s="2766" t="s">
        <v>3510</v>
      </c>
      <c r="C60" s="2737">
        <f ca="1">C61+C62</f>
        <v>0</v>
      </c>
      <c r="D60" s="644"/>
      <c r="E60" s="644"/>
      <c r="F60" s="644"/>
      <c r="G60" s="644"/>
    </row>
    <row r="61" spans="1:7" s="3315" customFormat="1">
      <c r="A61" s="3319" t="s">
        <v>3499</v>
      </c>
      <c r="B61" s="2766" t="s">
        <v>3494</v>
      </c>
      <c r="C61" s="2737">
        <f ca="1">C28</f>
        <v>0</v>
      </c>
      <c r="D61" s="644"/>
      <c r="E61" s="644"/>
      <c r="F61" s="644"/>
      <c r="G61" s="644"/>
    </row>
    <row r="62" spans="1:7" s="3315" customFormat="1">
      <c r="A62" s="3319" t="s">
        <v>3511</v>
      </c>
      <c r="B62" s="2766" t="s">
        <v>3493</v>
      </c>
      <c r="C62" s="2737">
        <f>C32</f>
        <v>0</v>
      </c>
      <c r="D62" s="644"/>
      <c r="E62" s="644"/>
      <c r="F62" s="644"/>
      <c r="G62" s="644"/>
    </row>
    <row r="63" spans="1:7" s="3315" customFormat="1">
      <c r="A63" s="3318" t="s">
        <v>3512</v>
      </c>
      <c r="B63" s="2766" t="s">
        <v>3492</v>
      </c>
      <c r="C63" s="2737" t="str">
        <f ca="1">C29</f>
        <v>0+0V</v>
      </c>
      <c r="D63" s="644"/>
      <c r="E63" s="644"/>
      <c r="F63" s="644"/>
      <c r="G63" s="644"/>
    </row>
    <row r="64" spans="1:7" s="3315" customFormat="1">
      <c r="A64" s="644">
        <v>4</v>
      </c>
      <c r="B64" s="2766" t="s">
        <v>3495</v>
      </c>
      <c r="C64" s="2737" t="str">
        <f ca="1">C33</f>
        <v>176+0V</v>
      </c>
      <c r="D64" s="644"/>
      <c r="E64" s="644"/>
      <c r="F64" s="644"/>
      <c r="G64" s="644"/>
    </row>
    <row r="65" spans="1:7" s="3315" customFormat="1">
      <c r="A65" s="644">
        <v>5</v>
      </c>
      <c r="B65" s="2766" t="s">
        <v>3496</v>
      </c>
      <c r="C65" s="2737">
        <f ca="1">C36</f>
        <v>-1307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69" t="s">
        <v>1993</v>
      </c>
      <c r="B1" s="4"/>
      <c r="C1" s="4"/>
      <c r="D1" s="4"/>
      <c r="E1" s="4"/>
      <c r="F1" s="2065"/>
      <c r="G1" s="2065"/>
      <c r="H1" s="2065"/>
      <c r="I1" s="2065"/>
      <c r="J1" s="2065"/>
      <c r="K1" s="2065"/>
      <c r="L1" s="2065"/>
      <c r="M1" s="2065"/>
      <c r="N1" s="2065"/>
      <c r="O1" s="2065"/>
      <c r="P1" s="2065"/>
    </row>
    <row r="2" spans="1:16" ht="15.6">
      <c r="A2" s="1602" t="s">
        <v>1985</v>
      </c>
      <c r="B2" s="3002">
        <f ca="1">SUMIF(B6:B13,"&lt;&gt;#ref!",B6:B13)</f>
        <v>0</v>
      </c>
      <c r="C2" s="1602" t="s">
        <v>1986</v>
      </c>
      <c r="D2" s="1602" t="s">
        <v>1987</v>
      </c>
      <c r="E2" s="3003">
        <f ca="1">SUMIF(E6:E13,"&lt;&gt;#ref!",E6:E13)</f>
        <v>0</v>
      </c>
      <c r="F2" s="2065"/>
      <c r="G2" s="2065"/>
      <c r="H2" s="2065"/>
      <c r="I2" s="2065"/>
      <c r="J2" s="2065"/>
      <c r="K2" s="2065"/>
      <c r="L2" s="2065"/>
      <c r="M2" s="2065"/>
      <c r="N2" s="2065"/>
      <c r="O2" s="2065"/>
      <c r="P2" s="2065"/>
    </row>
    <row r="3" spans="1:16" ht="15.6">
      <c r="A3" s="1602" t="s">
        <v>1988</v>
      </c>
      <c r="B3" s="3002" t="e">
        <f ca="1">ROUND(B2*10000/E2,0)</f>
        <v>#DIV/0!</v>
      </c>
      <c r="C3" s="1602" t="s">
        <v>1994</v>
      </c>
      <c r="D3" s="2065"/>
      <c r="E3" s="2065"/>
      <c r="F3" s="2065"/>
      <c r="G3" s="2065"/>
      <c r="H3" s="2065"/>
      <c r="I3" s="2065"/>
      <c r="J3" s="2065"/>
      <c r="K3" s="2065"/>
      <c r="L3" s="2065"/>
      <c r="M3" s="2065"/>
      <c r="N3" s="2065"/>
      <c r="O3" s="2065"/>
      <c r="P3" s="2065"/>
    </row>
    <row r="4" spans="1:16" ht="15.6">
      <c r="A4" s="2077"/>
      <c r="B4" s="2065"/>
      <c r="C4" s="2065"/>
      <c r="D4" s="2065"/>
      <c r="E4" s="2065"/>
      <c r="F4" s="2065"/>
      <c r="G4" s="2065"/>
      <c r="H4" s="2065"/>
      <c r="I4" s="2065"/>
      <c r="J4" s="2065"/>
      <c r="K4" s="2065"/>
      <c r="L4" s="2065"/>
      <c r="M4" s="2065"/>
      <c r="N4" s="2065"/>
      <c r="O4" s="2065"/>
      <c r="P4" s="2065"/>
    </row>
    <row r="5" spans="1:16" ht="31.2">
      <c r="A5" s="1918" t="s">
        <v>1989</v>
      </c>
      <c r="B5" s="1920" t="s">
        <v>1990</v>
      </c>
      <c r="C5" s="1603"/>
      <c r="D5" s="2065"/>
      <c r="E5" s="1921" t="s">
        <v>1991</v>
      </c>
      <c r="F5" s="2065"/>
      <c r="G5" s="2065"/>
      <c r="H5" s="2065"/>
      <c r="I5" s="2065"/>
      <c r="J5" s="2065"/>
      <c r="K5" s="2065"/>
      <c r="L5" s="2065"/>
      <c r="M5" s="2065"/>
      <c r="N5" s="2065"/>
      <c r="O5" s="2065"/>
      <c r="P5" s="2065"/>
    </row>
    <row r="6" spans="1:16" ht="15.6">
      <c r="A6" s="1919" t="s">
        <v>1992</v>
      </c>
      <c r="B6" s="3002">
        <f ca="1">SUMIF(INDIRECT("'"&amp;A6&amp;"'"&amp;"!A:A"),"总价",INDIRECT("'"&amp;A6&amp;"'"&amp;"!B:B"))</f>
        <v>0</v>
      </c>
      <c r="C6" s="1602" t="s">
        <v>1986</v>
      </c>
      <c r="D6" s="2065"/>
      <c r="E6" s="3003">
        <f ca="1">SUMIF(INDIRECT("'"&amp;A6&amp;"'"&amp;"!C:C"),"建筑面积",INDIRECT("'"&amp;A6&amp;"'"&amp;"!D:D"))</f>
        <v>0</v>
      </c>
      <c r="F6" s="2065"/>
      <c r="G6" s="2065"/>
      <c r="H6" s="2065"/>
      <c r="I6" s="2065"/>
      <c r="J6" s="2065"/>
      <c r="K6" s="2065"/>
      <c r="L6" s="2065"/>
      <c r="M6" s="2065"/>
      <c r="N6" s="2065"/>
      <c r="O6" s="2065"/>
      <c r="P6" s="2065"/>
    </row>
    <row r="7" spans="1:16" ht="15.6">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6">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6">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6">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6">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6">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6">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7" zoomScaleNormal="80" zoomScaleSheetLayoutView="100" workbookViewId="0">
      <selection activeCell="C25" sqref="C25"/>
    </sheetView>
  </sheetViews>
  <sheetFormatPr defaultColWidth="12" defaultRowHeight="13.2"/>
  <cols>
    <col min="1" max="1" width="9.77734375" style="1516" customWidth="1"/>
    <col min="2" max="2" width="22.44140625" style="1601" customWidth="1"/>
    <col min="3" max="3" width="12" style="1466"/>
    <col min="4" max="4" width="14.88671875" style="1466" customWidth="1"/>
    <col min="5" max="5" width="14.6640625" style="1466" customWidth="1"/>
    <col min="6" max="8" width="12" style="1466"/>
    <col min="9" max="9" width="12.21875" style="1466" bestFit="1" customWidth="1"/>
    <col min="10" max="10" width="12" style="1466"/>
    <col min="11" max="11" width="8.109375" style="1512" customWidth="1"/>
    <col min="12" max="12" width="19.44140625" style="1466" customWidth="1"/>
    <col min="13" max="13" width="8.44140625" style="1466" customWidth="1"/>
    <col min="14" max="14" width="9.77734375" style="1466" customWidth="1"/>
    <col min="15" max="25" width="12" style="1466"/>
    <col min="26" max="26" width="9.33203125" style="1516" customWidth="1"/>
    <col min="27" max="32" width="9.33203125" style="774" customWidth="1"/>
    <col min="33" max="36" width="9.33203125" style="1516" customWidth="1"/>
    <col min="37" max="38" width="9.33203125" style="1466" customWidth="1"/>
    <col min="39" max="16384" width="12" style="1466"/>
  </cols>
  <sheetData>
    <row r="1" spans="1:36" ht="31.2">
      <c r="A1" s="91" t="s">
        <v>1838</v>
      </c>
      <c r="B1" s="92"/>
      <c r="C1" s="96" t="s">
        <v>1839</v>
      </c>
      <c r="D1" s="224">
        <f>SUM(D33:D34,D37:D42)</f>
        <v>0</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6">
      <c r="A2" s="96" t="s">
        <v>1846</v>
      </c>
      <c r="B2" s="2589">
        <f>C30</f>
        <v>0</v>
      </c>
      <c r="C2" s="1467" t="s">
        <v>1847</v>
      </c>
      <c r="D2" s="68" t="s">
        <v>1848</v>
      </c>
      <c r="E2" s="2533" t="s">
        <v>19</v>
      </c>
      <c r="F2" s="68" t="s">
        <v>1849</v>
      </c>
      <c r="G2" s="69" t="str">
        <f>IF(E2="商业",项目基本情况!B37,IF(E2="办公",项目基本情况!C37,IF(E2="住宅",项目基本情况!D37,IF(E2="工业",项目基本情况!E37,项目基本情况!F37))))</f>
        <v>五级</v>
      </c>
      <c r="H2" s="68" t="s">
        <v>1850</v>
      </c>
      <c r="I2" s="69" t="str">
        <f>IF(E2="商业",项目基本情况!B38,IF(E2="办公",项目基本情况!C38,IF(E2="住宅",项目基本情况!D38,IF(E2="工业",项目基本情况!E38,项目基本情况!F38))))</f>
        <v>Ⅴ-17</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1.5019</v>
      </c>
      <c r="T2" s="2476">
        <f t="shared" ref="T2:T16" si="0">ROUND($C$5*$C$22*$C$23*$C$24*S2*$C$28,0)</f>
        <v>0</v>
      </c>
      <c r="U2" s="826"/>
      <c r="V2" s="2476">
        <f>ROUND(T2*U2/10000,0)</f>
        <v>0</v>
      </c>
      <c r="W2" s="829"/>
      <c r="X2" s="829"/>
      <c r="Y2" s="829"/>
      <c r="Z2" s="829"/>
      <c r="AA2" s="829"/>
      <c r="AB2" s="829"/>
      <c r="AC2" s="830"/>
      <c r="AD2" s="831"/>
      <c r="AE2" s="831"/>
      <c r="AF2" s="831"/>
      <c r="AG2" s="831"/>
      <c r="AH2" s="831"/>
      <c r="AI2" s="831"/>
      <c r="AJ2" s="832"/>
    </row>
    <row r="3" spans="1:36" ht="15.6">
      <c r="A3" s="98" t="s">
        <v>1852</v>
      </c>
      <c r="B3" s="2589" t="e">
        <f>ROUND(B2*10000/D1,0)</f>
        <v>#DIV/0!</v>
      </c>
      <c r="C3" s="1467" t="s">
        <v>1853</v>
      </c>
      <c r="D3" s="68" t="s">
        <v>1854</v>
      </c>
      <c r="E3" s="2531" t="s">
        <v>3275</v>
      </c>
      <c r="F3" s="1469" t="s">
        <v>4301</v>
      </c>
      <c r="G3" s="3004">
        <f>IF(F3="宗地容积率",'数据-汇总表'!I4,IF(F3="估价对象容积率",'数据-汇总表'!I6,'数据-汇总表'!I7))</f>
        <v>3.09</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1.1838</v>
      </c>
      <c r="T3" s="2476">
        <f t="shared" si="0"/>
        <v>0</v>
      </c>
      <c r="U3" s="826"/>
      <c r="V3" s="2476">
        <f t="shared" ref="V3:V16" si="1">ROUND(T3*U3/10000,0)</f>
        <v>0</v>
      </c>
      <c r="W3" s="829"/>
      <c r="X3" s="829"/>
      <c r="Y3" s="829"/>
      <c r="Z3" s="829"/>
      <c r="AA3" s="829"/>
      <c r="AB3" s="829"/>
      <c r="AC3" s="830"/>
      <c r="AD3" s="831"/>
      <c r="AE3" s="831"/>
      <c r="AF3" s="831"/>
      <c r="AG3" s="831"/>
      <c r="AH3" s="831"/>
      <c r="AI3" s="831"/>
      <c r="AJ3" s="832"/>
    </row>
    <row r="4" spans="1:36" ht="15.6">
      <c r="A4" s="3500" t="s">
        <v>3637</v>
      </c>
      <c r="B4" s="3499" t="e">
        <f>ROUND(B2*10000/F1,0)</f>
        <v>#DIV/0!</v>
      </c>
      <c r="C4" s="3498" t="s">
        <v>3638</v>
      </c>
      <c r="D4" s="3499" t="e">
        <f>ROUND(B2/(F1/666.67),0)</f>
        <v>#DIV/0!</v>
      </c>
      <c r="E4" s="3498" t="s">
        <v>3639</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1.0004999999999999</v>
      </c>
      <c r="T4" s="2476">
        <f t="shared" si="0"/>
        <v>0</v>
      </c>
      <c r="U4" s="826"/>
      <c r="V4" s="2476">
        <f t="shared" si="1"/>
        <v>0</v>
      </c>
      <c r="W4" s="829"/>
      <c r="X4" s="829"/>
      <c r="Y4" s="829"/>
      <c r="Z4" s="829"/>
      <c r="AA4" s="829"/>
      <c r="AB4" s="829"/>
      <c r="AC4" s="830"/>
      <c r="AD4" s="831"/>
      <c r="AE4" s="831"/>
      <c r="AF4" s="831"/>
      <c r="AG4" s="831"/>
      <c r="AH4" s="831"/>
      <c r="AI4" s="831"/>
      <c r="AJ4" s="832"/>
    </row>
    <row r="5" spans="1:36" s="1479" customFormat="1" ht="15.6" thickBot="1">
      <c r="A5" s="1470" t="s">
        <v>356</v>
      </c>
      <c r="B5" s="1471" t="s">
        <v>1859</v>
      </c>
      <c r="C5" s="3005">
        <f>ROUND(IF(E2="商业",C6*C7*C17+C20,(IF(E2="住宅",C6*C13*C17+C20,IF(E2="办公",C6*C12*C17+C20,C6+C20)))),0)</f>
        <v>-126</v>
      </c>
      <c r="D5" s="3006">
        <f>ROUND(C6*C17+C20,0)</f>
        <v>14414</v>
      </c>
      <c r="E5" s="921"/>
      <c r="F5" s="1472"/>
      <c r="G5" s="1473"/>
      <c r="H5" s="1473"/>
      <c r="I5" s="1473"/>
      <c r="J5" s="1474"/>
      <c r="K5" s="1475"/>
      <c r="L5" s="1468" t="s">
        <v>1860</v>
      </c>
      <c r="M5" s="570">
        <f>SUMPRODUCT((区片价!B87:B126=I2)*(区片价!C3:G3=E2)*(区片价!C87:G126))</f>
        <v>14540</v>
      </c>
      <c r="N5" s="572">
        <f>SUMPRODUCT((因素修正幅度!B87:B126=I2)*(因素修正幅度!C3:G3=E2)*(因素修正幅度!C87:G126))</f>
        <v>0.1</v>
      </c>
      <c r="O5" s="772"/>
      <c r="P5" s="772"/>
      <c r="Q5" s="772"/>
      <c r="R5" s="825">
        <v>4</v>
      </c>
      <c r="S5" s="2476">
        <f>ROUND(SUMPRODUCT((B106:B110=R5)*(C105:N105=G2)*(C106:N110)),4)</f>
        <v>0.88239999999999996</v>
      </c>
      <c r="T5" s="2476">
        <f t="shared" si="0"/>
        <v>0</v>
      </c>
      <c r="U5" s="826"/>
      <c r="V5" s="2476">
        <f t="shared" si="1"/>
        <v>0</v>
      </c>
      <c r="W5" s="829"/>
      <c r="X5" s="829"/>
      <c r="Y5" s="829"/>
      <c r="Z5" s="829"/>
      <c r="AA5" s="829"/>
      <c r="AB5" s="829"/>
      <c r="AC5" s="1476"/>
      <c r="AD5" s="1477"/>
      <c r="AE5" s="1477"/>
      <c r="AF5" s="1477"/>
      <c r="AG5" s="1477"/>
      <c r="AH5" s="1477"/>
      <c r="AI5" s="1477"/>
      <c r="AJ5" s="1478"/>
    </row>
    <row r="6" spans="1:36" ht="15.6" thickBot="1">
      <c r="A6" s="1480" t="s">
        <v>1861</v>
      </c>
      <c r="B6" s="1481" t="s">
        <v>1862</v>
      </c>
      <c r="C6" s="3007">
        <f>SUMIF(L1:L12,G2,M1:M12)</f>
        <v>14540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0.84799999999999998</v>
      </c>
      <c r="T6" s="2476">
        <f t="shared" si="0"/>
        <v>0</v>
      </c>
      <c r="U6" s="826"/>
      <c r="V6" s="2476">
        <f t="shared" si="1"/>
        <v>0</v>
      </c>
      <c r="W6" s="829"/>
      <c r="X6" s="829"/>
      <c r="Y6" s="829"/>
      <c r="Z6" s="829"/>
      <c r="AA6" s="829"/>
      <c r="AB6" s="829"/>
      <c r="AC6" s="1476"/>
      <c r="AD6" s="1477"/>
      <c r="AE6" s="1477"/>
      <c r="AF6" s="1477"/>
      <c r="AG6" s="1477"/>
      <c r="AH6" s="1477"/>
      <c r="AI6" s="1477"/>
      <c r="AJ6" s="1478"/>
    </row>
    <row r="7" spans="1:36" ht="24.6" thickBot="1">
      <c r="A7" s="2431" t="s">
        <v>3122</v>
      </c>
      <c r="B7" s="1486" t="s">
        <v>1864</v>
      </c>
      <c r="C7" s="3009" t="e">
        <f>IF(C8="不临65条商业街",1,ROUND(1+(1.6*E8+1.2*E9+0.8*E10+0.4*E11)*C9,4))</f>
        <v>#DIV/0!</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五级</v>
      </c>
      <c r="Y7" s="827" t="s">
        <v>1868</v>
      </c>
      <c r="Z7" s="828">
        <f>G3</f>
        <v>3.09</v>
      </c>
      <c r="AA7" s="829"/>
      <c r="AB7" s="829"/>
      <c r="AC7" s="830"/>
      <c r="AD7" s="831"/>
      <c r="AE7" s="831"/>
      <c r="AF7" s="831"/>
      <c r="AG7" s="831"/>
      <c r="AH7" s="831"/>
      <c r="AI7" s="831"/>
      <c r="AJ7" s="832"/>
    </row>
    <row r="8" spans="1:36" ht="15">
      <c r="A8" s="2428"/>
      <c r="B8" s="68" t="s">
        <v>1869</v>
      </c>
      <c r="C8" s="1491"/>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727" t="s">
        <v>1872</v>
      </c>
      <c r="X8" s="4728"/>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0</v>
      </c>
      <c r="N9" s="572">
        <f>SUMPRODUCT((因素修正幅度!B277:B326=I2)*(因素修正幅度!C3:G3=E2)*(因素修正幅度!C277:G326))</f>
        <v>0</v>
      </c>
      <c r="O9" s="772"/>
      <c r="P9" s="772"/>
      <c r="Q9" s="772"/>
      <c r="R9" s="825">
        <v>8</v>
      </c>
      <c r="S9" s="826"/>
      <c r="T9" s="2476">
        <f t="shared" si="0"/>
        <v>0</v>
      </c>
      <c r="U9" s="826"/>
      <c r="V9" s="2476">
        <f t="shared" si="1"/>
        <v>0</v>
      </c>
      <c r="W9" s="4729"/>
      <c r="X9" s="2477" t="s">
        <v>3151</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729"/>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6"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8" thickBot="1">
      <c r="A12" s="2431" t="s">
        <v>3123</v>
      </c>
      <c r="B12" s="2432" t="s">
        <v>3124</v>
      </c>
      <c r="C12" s="3010"/>
      <c r="D12" s="2433" t="s">
        <v>3125</v>
      </c>
      <c r="E12" s="2434" t="s">
        <v>3126</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24.6" thickBot="1">
      <c r="A13" s="2431" t="s">
        <v>3127</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24">
      <c r="A14" s="2427"/>
      <c r="B14" s="1504" t="s">
        <v>1897</v>
      </c>
      <c r="C14" s="1505" t="s">
        <v>1898</v>
      </c>
      <c r="D14" s="930" t="s">
        <v>1899</v>
      </c>
      <c r="E14" s="18" t="s">
        <v>1900</v>
      </c>
      <c r="F14" s="2438" t="s">
        <v>3128</v>
      </c>
      <c r="G14" s="2438" t="s">
        <v>3128</v>
      </c>
      <c r="H14" s="2438" t="s">
        <v>3128</v>
      </c>
      <c r="I14" s="2438" t="s">
        <v>3128</v>
      </c>
      <c r="J14" s="2438" t="s">
        <v>3128</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3129</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6"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ht="24">
      <c r="A17" s="2450" t="s">
        <v>3130</v>
      </c>
      <c r="B17" s="2443" t="s">
        <v>3131</v>
      </c>
      <c r="C17" s="3013">
        <f>ROUND(IF(OR(E2="工业",E2="公共服务"),1,IF(AND(E18=0,E19=0),1,IF(AND(E18=J24,E19=G19),0.8,IF(E19=0,1+E17*(-0.2),1+E17*G17*(-0.2))))),4)</f>
        <v>1</v>
      </c>
      <c r="D17" s="2444" t="s">
        <v>3132</v>
      </c>
      <c r="E17" s="2451">
        <f>ROUND(G18/I18,2)</f>
        <v>0</v>
      </c>
      <c r="F17" s="2444" t="s">
        <v>3135</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3.8">
      <c r="A18" s="2453"/>
      <c r="B18" s="1881"/>
      <c r="C18" s="2449"/>
      <c r="D18" s="2445" t="s">
        <v>3133</v>
      </c>
      <c r="E18" s="2658"/>
      <c r="F18" s="2446" t="s">
        <v>3136</v>
      </c>
      <c r="G18" s="2449">
        <f>ROUND(1-(1/(POWER(1+G24,E18))),4)</f>
        <v>0</v>
      </c>
      <c r="H18" s="2446" t="s">
        <v>3138</v>
      </c>
      <c r="I18" s="2449">
        <f>ROUND(1-(1/(POWER(1+G24,J24))),4)</f>
        <v>0.93120000000000003</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4.4" thickBot="1">
      <c r="A19" s="2455"/>
      <c r="B19" s="2456"/>
      <c r="C19" s="2457"/>
      <c r="D19" s="2457" t="s">
        <v>3134</v>
      </c>
      <c r="E19" s="3014"/>
      <c r="F19" s="2458" t="s">
        <v>3137</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3.8">
      <c r="A20" s="4730" t="s">
        <v>3139</v>
      </c>
      <c r="B20" s="66" t="s">
        <v>1906</v>
      </c>
      <c r="C20" s="3015">
        <f>ROUND(IF(F21="与级别开发程度一致",0,(G21-E21)/C21),0)</f>
        <v>-126</v>
      </c>
      <c r="D20" s="2460" t="s">
        <v>1910</v>
      </c>
      <c r="E20" s="2461"/>
      <c r="F20" s="4736" t="s">
        <v>1907</v>
      </c>
      <c r="G20" s="4737"/>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4.4" thickBot="1">
      <c r="A21" s="4731"/>
      <c r="B21" s="1619" t="s">
        <v>1909</v>
      </c>
      <c r="C21" s="3016">
        <f>IF(E3="M4科研用地",SUMPRODUCT((修正!A2:A7=E3)*(修正!B1:M1=G2)*(修正!B2:M7)),SUMPRODUCT((修正!A2:A7=E2)*(修正!B1:M1=G2)*(修正!B2:M7)))</f>
        <v>2.5</v>
      </c>
      <c r="D21" s="82" t="str">
        <f>IF(OR(G2="八级",G2="九级",G2="十级",G2="十一级",G2="十二级"),"五通一平","七通一平")</f>
        <v>七通一平</v>
      </c>
      <c r="E21" s="1611">
        <f>SUMPRODUCT((修正!B1:M1=G2)*(修正!B17:M17))</f>
        <v>315</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 thickBot="1">
      <c r="A22" s="1614" t="s">
        <v>357</v>
      </c>
      <c r="B22" s="1615" t="s">
        <v>1912</v>
      </c>
      <c r="C22" s="3017">
        <f>SUMIF(修正!C20:C53,E3,修正!E20:E53)</f>
        <v>1</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24.6"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1914</v>
      </c>
      <c r="E23" s="518">
        <v>44197</v>
      </c>
      <c r="F23" s="1517" t="s">
        <v>1915</v>
      </c>
      <c r="G23" s="519">
        <f>'数据-取费表'!B2</f>
        <v>46049</v>
      </c>
      <c r="H23" s="2462"/>
      <c r="I23" s="2463" t="str">
        <f>IF(H23="季度增幅（自定义）",SUMIF(N25:N28,E2,O25:O28),"")</f>
        <v/>
      </c>
      <c r="J23" s="2548"/>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6" thickBot="1">
      <c r="A24" s="1521" t="s">
        <v>359</v>
      </c>
      <c r="B24" s="1522" t="s">
        <v>1918</v>
      </c>
      <c r="C24" s="521">
        <f>ROUND(POWER(1+G24,J24-I24)*(POWER(1+G24,I24)-1)/(POWER(1+G24,J24)-1),4)</f>
        <v>0.84050000000000002</v>
      </c>
      <c r="D24" s="1523" t="s">
        <v>1919</v>
      </c>
      <c r="E24" s="917">
        <f>存贷款利率!E28/100</f>
        <v>4.3499999999999997E-2</v>
      </c>
      <c r="F24" s="1523" t="s">
        <v>1911</v>
      </c>
      <c r="G24" s="523">
        <f>SUMIF(M30:Q30,E2,M33:Q33)</f>
        <v>5.5E-2</v>
      </c>
      <c r="H24" s="1523" t="s">
        <v>1920</v>
      </c>
      <c r="I24" s="524">
        <f>SUMIF('数据-取费表'!C6:C15,E2,'数据-取费表'!F6:F15)/COUNTIF('数据-取费表'!C6:C15,E2)</f>
        <v>28.51</v>
      </c>
      <c r="J24" s="525">
        <f>IF(E2="住宅",70,IF(E2="商业",40,50))</f>
        <v>50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4.4">
      <c r="A25" s="1528" t="s">
        <v>360</v>
      </c>
      <c r="B25" s="1529" t="s">
        <v>4302</v>
      </c>
      <c r="C25" s="323">
        <f>IF(B25="容积率修正",IF(G3&lt;10,D26,J26),C27)</f>
        <v>0.9577</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4">
      <c r="A26" s="1436" t="s">
        <v>1926</v>
      </c>
      <c r="B26" s="1533" t="s">
        <v>1927</v>
      </c>
      <c r="C26" s="1533" t="s">
        <v>3140</v>
      </c>
      <c r="D26" s="3019">
        <f>IF(E26=G26,F26,IF(G3&lt;10,ROUND(F26+(H26-F26)*(G3-E26)/(G26-E26),4),"——"))</f>
        <v>0.9577</v>
      </c>
      <c r="E26" s="3019">
        <f>ROUNDDOWN(G3,1)</f>
        <v>3</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3019">
        <f>ROUNDUP(G3,1)</f>
        <v>3.1</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0.95709999999999995</v>
      </c>
      <c r="I26" s="1533" t="s">
        <v>3141</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 thickBot="1">
      <c r="A28" s="1521" t="s">
        <v>361</v>
      </c>
      <c r="B28" s="1514" t="s">
        <v>1932</v>
      </c>
      <c r="C28" s="517">
        <f>SUMIF(A47:A101,E2,B47:B101)</f>
        <v>1</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4.4">
      <c r="A30" s="1545"/>
      <c r="B30" s="1533" t="s">
        <v>1936</v>
      </c>
      <c r="C30" s="3024">
        <f>IF(B25="容积率修正",E33+SUM(I37:I42),SUM(V2:V16)+SUM(I37:I42))</f>
        <v>0</v>
      </c>
      <c r="D30" s="3964" t="s">
        <v>3798</v>
      </c>
      <c r="E30" s="1463"/>
      <c r="F30" s="1546"/>
      <c r="G30" s="1463"/>
      <c r="H30" s="1463"/>
      <c r="I30" s="1463"/>
      <c r="J30" s="1547"/>
      <c r="K30" s="772"/>
      <c r="L30" s="2468" t="s">
        <v>1848</v>
      </c>
      <c r="M30" s="2469" t="s">
        <v>1902</v>
      </c>
      <c r="N30" s="2469" t="s">
        <v>1903</v>
      </c>
      <c r="O30" s="2469" t="s">
        <v>1904</v>
      </c>
      <c r="P30" s="2469" t="s">
        <v>1905</v>
      </c>
      <c r="Q30" s="2472" t="s">
        <v>3145</v>
      </c>
      <c r="R30" s="776"/>
      <c r="S30" s="776"/>
      <c r="T30" s="773"/>
      <c r="U30" s="773"/>
      <c r="V30" s="773"/>
      <c r="W30" s="772"/>
      <c r="X30" s="772"/>
      <c r="Y30" s="772"/>
      <c r="Z30" s="777"/>
      <c r="AA30" s="777"/>
      <c r="AB30" s="777"/>
      <c r="AC30" s="777"/>
      <c r="AD30" s="777"/>
      <c r="AE30" s="772"/>
      <c r="AF30" s="772"/>
      <c r="AG30" s="1465"/>
      <c r="AH30" s="1465"/>
      <c r="AI30" s="1465"/>
      <c r="AJ30" s="1465"/>
    </row>
    <row r="31" spans="1:37" ht="1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3.8">
      <c r="A33" s="1558"/>
      <c r="B33" s="1559" t="s">
        <v>1942</v>
      </c>
      <c r="C33" s="3024">
        <f>ROUND(C5*C22*C23*C24*C25*C28,0)</f>
        <v>0</v>
      </c>
      <c r="D33" s="3027"/>
      <c r="E33" s="3029">
        <f>ROUND(C33*D33/10000,0)</f>
        <v>0</v>
      </c>
      <c r="F33" s="2464" t="s">
        <v>3143</v>
      </c>
      <c r="G33" s="1560"/>
      <c r="H33" s="1560"/>
      <c r="I33" s="1560"/>
      <c r="J33" s="1561"/>
      <c r="K33" s="772"/>
      <c r="L33" s="2467" t="s">
        <v>3146</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8" thickBot="1">
      <c r="A34" s="1562"/>
      <c r="B34" s="1563" t="s">
        <v>1943</v>
      </c>
      <c r="C34" s="3025">
        <f>ROUND(IF(E2="工业",C33*M42,IF(B25="楼层修正",SUM(V2:V16)*M41*10000/D34,C33*M41)),0)</f>
        <v>0</v>
      </c>
      <c r="D34" s="3028"/>
      <c r="E34" s="3029">
        <f>ROUND(IF(B25="楼层修正",SUM(V2:V16)*M40,C34*D34/10000),0)</f>
        <v>0</v>
      </c>
      <c r="F34" s="1564" t="s">
        <v>1944</v>
      </c>
      <c r="G34" s="1565"/>
      <c r="H34" s="1565"/>
      <c r="I34" s="1565"/>
      <c r="J34" s="1566"/>
      <c r="K34" s="772"/>
      <c r="L34" s="2467" t="s">
        <v>3147</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3144</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36.6" thickBot="1">
      <c r="A36" s="1558"/>
      <c r="B36" s="1571"/>
      <c r="C36" s="300" t="s">
        <v>1939</v>
      </c>
      <c r="D36" s="297" t="s">
        <v>1940</v>
      </c>
      <c r="E36" s="297" t="s">
        <v>1941</v>
      </c>
      <c r="F36" s="224" t="s">
        <v>1947</v>
      </c>
      <c r="G36" s="1572" t="s">
        <v>1939</v>
      </c>
      <c r="H36" s="1572" t="s">
        <v>1940</v>
      </c>
      <c r="I36" s="1572" t="s">
        <v>1941</v>
      </c>
      <c r="J36" s="138"/>
      <c r="K36" s="1582" t="s">
        <v>3148</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6" thickBot="1">
      <c r="A37" s="4734"/>
      <c r="B37" s="1573" t="s">
        <v>1948</v>
      </c>
      <c r="C37" s="3024">
        <f>ROUND(D5*C22*C23*C24*C28*F37,0)</f>
        <v>0</v>
      </c>
      <c r="D37" s="3027"/>
      <c r="E37" s="3026">
        <f>ROUND(C37*D37/10000,0)</f>
        <v>0</v>
      </c>
      <c r="F37" s="2991">
        <f>SUMIF(修正!A59:A70,G2,修正!B59:B70)</f>
        <v>0.6</v>
      </c>
      <c r="G37" s="3026">
        <f>ROUND(IF(E2="工业",C37*$M$42,C37*$M$41),0)</f>
        <v>0</v>
      </c>
      <c r="H37" s="2991">
        <f>D37</f>
        <v>0</v>
      </c>
      <c r="I37" s="3026">
        <f>ROUND(G37*H37/10000,0)</f>
        <v>0</v>
      </c>
      <c r="J37" s="2218"/>
      <c r="K37" s="2474" t="s">
        <v>3149</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735"/>
      <c r="B38" s="1505" t="s">
        <v>1949</v>
      </c>
      <c r="C38" s="3024">
        <f>ROUND(D5*C22*C23*C24*C28*F38,0)</f>
        <v>0</v>
      </c>
      <c r="D38" s="3027"/>
      <c r="E38" s="3026">
        <f t="shared" ref="E38:E42" si="4">ROUND(C38*D38/10000,0)</f>
        <v>0</v>
      </c>
      <c r="F38" s="2991">
        <f>SUMIF(修正!A59:A70,G2,修正!C59:C70)</f>
        <v>0.3</v>
      </c>
      <c r="G38" s="3026">
        <f>ROUND(IF(E2="工业",C38*$M$42,C38*$M$41),0)</f>
        <v>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8" thickBot="1">
      <c r="A39" s="4735"/>
      <c r="B39" s="1505" t="s">
        <v>3142</v>
      </c>
      <c r="C39" s="3024">
        <f>ROUND(D5*C22*C23*C24*C28*F39,0)</f>
        <v>0</v>
      </c>
      <c r="D39" s="3027"/>
      <c r="E39" s="3026">
        <f t="shared" si="4"/>
        <v>0</v>
      </c>
      <c r="F39" s="2991">
        <f>SUMIF(修正!A59:A70,G2,修正!D59:D70)</f>
        <v>0.25</v>
      </c>
      <c r="G39" s="3026">
        <f>ROUND(IF(E2="工业",C39*$M$42,C39*$M$41),0)</f>
        <v>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0</v>
      </c>
      <c r="D40" s="3027"/>
      <c r="E40" s="3026">
        <f t="shared" si="4"/>
        <v>0</v>
      </c>
      <c r="F40" s="3022">
        <f>SUMIF(修正!A59:A70,G2,修正!E59:E70)</f>
        <v>0.25</v>
      </c>
      <c r="G40" s="3026">
        <f>ROUND(IF(E2="工业",C40*$M$42,C40*$M$41),0)</f>
        <v>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0.25</v>
      </c>
      <c r="G41" s="3026">
        <f>ROUND(IF(E2="工业",C41*$M$42,C41*$M$41),0)</f>
        <v>0</v>
      </c>
      <c r="H41" s="2991">
        <f t="shared" si="5"/>
        <v>0</v>
      </c>
      <c r="I41" s="3026">
        <f t="shared" si="6"/>
        <v>0</v>
      </c>
      <c r="J41" s="683"/>
      <c r="L41" s="2475" t="s">
        <v>3150</v>
      </c>
      <c r="M41" s="1577">
        <v>0.25</v>
      </c>
      <c r="Z41" s="773"/>
      <c r="AA41" s="773"/>
      <c r="AB41" s="773"/>
      <c r="AC41" s="773"/>
      <c r="AD41" s="773"/>
      <c r="AE41" s="773"/>
      <c r="AF41" s="773"/>
      <c r="AG41" s="773"/>
      <c r="AH41" s="773"/>
      <c r="AI41" s="773"/>
      <c r="AJ41" s="773"/>
    </row>
    <row r="42" spans="1:37" s="772" customFormat="1" ht="13.8" thickBot="1">
      <c r="A42" s="1562"/>
      <c r="B42" s="1578" t="s">
        <v>1953</v>
      </c>
      <c r="C42" s="3025">
        <f>ROUND(D5*C22*C23*C44*C28*F42,0)</f>
        <v>0</v>
      </c>
      <c r="D42" s="3028"/>
      <c r="E42" s="3025">
        <f t="shared" si="4"/>
        <v>0</v>
      </c>
      <c r="F42" s="3030">
        <f>SUMIF(修正!A59:A70,G2,修正!G59:G70)</f>
        <v>0.15</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ht="24">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4.4">
      <c r="A48" s="1585" t="s">
        <v>1955</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5.2">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25.2">
      <c r="A50" s="1588" t="s">
        <v>1964</v>
      </c>
      <c r="B50" s="1591">
        <f>估价对象房地状况!C4</f>
        <v>0</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24">
      <c r="A51" s="1588" t="s">
        <v>1965</v>
      </c>
      <c r="B51" s="931">
        <f>估价对象房地状况!C18</f>
        <v>0</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48">
      <c r="A52" s="2483" t="s">
        <v>3152</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7.200000000000003">
      <c r="A53" s="1588" t="s">
        <v>1966</v>
      </c>
      <c r="B53" s="1592" t="s">
        <v>1967</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1968</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36">
      <c r="A55" s="1588" t="s">
        <v>1969</v>
      </c>
      <c r="B55" s="1593" t="s">
        <v>1970</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4">
      <c r="A56" s="1594" t="s">
        <v>1971</v>
      </c>
      <c r="B56" s="911">
        <f>估价对象房地状况!C21</f>
        <v>0</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4">
      <c r="A57" s="1594" t="s">
        <v>1972</v>
      </c>
      <c r="B57" s="931">
        <f>估价对象房地状况!C22</f>
        <v>0</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36.6" thickBot="1">
      <c r="A58" s="1595" t="s">
        <v>1973</v>
      </c>
      <c r="B58" s="1596">
        <f>估价对象房地状况!C20</f>
        <v>0</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4.4">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5.2">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24">
      <c r="A61" s="1588" t="s">
        <v>1976</v>
      </c>
      <c r="B61" s="1591">
        <f>估价对象房地状况!C17</f>
        <v>0</v>
      </c>
      <c r="C61" s="1508"/>
      <c r="D61" s="725">
        <f t="shared" ref="D61:D69" si="12">SUMIF($J$60:$N$60,C61,J61:N61)</f>
        <v>0</v>
      </c>
      <c r="E61" s="507">
        <f>ROUND(SUM(D61:D69),4)</f>
        <v>0</v>
      </c>
      <c r="F61" s="1327">
        <f>IF(E2="办公",SUMIF(L1:L12,G2,N1:N12),"——")</f>
        <v>0.1</v>
      </c>
      <c r="G61" s="723"/>
      <c r="H61" s="726">
        <f t="shared" ref="H61:H69" si="13">IFERROR(ROUNDDOWN($F$61*I61/2,4),"——")</f>
        <v>1.2500000000000001E-2</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24">
      <c r="A62" s="1588" t="s">
        <v>1965</v>
      </c>
      <c r="B62" s="931">
        <f>估价对象房地状况!C18</f>
        <v>0</v>
      </c>
      <c r="C62" s="1508"/>
      <c r="D62" s="725">
        <f t="shared" si="12"/>
        <v>0</v>
      </c>
      <c r="E62" s="508"/>
      <c r="F62" s="1327"/>
      <c r="G62" s="723"/>
      <c r="H62" s="726">
        <f t="shared" si="13"/>
        <v>1.2999999999999999E-2</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48">
      <c r="A63" s="2483" t="s">
        <v>3152</v>
      </c>
      <c r="B63" s="931">
        <f>估价对象房地状况!C19</f>
        <v>0</v>
      </c>
      <c r="C63" s="1508"/>
      <c r="D63" s="725">
        <f t="shared" si="12"/>
        <v>0</v>
      </c>
      <c r="E63" s="508"/>
      <c r="F63" s="1327"/>
      <c r="G63" s="723"/>
      <c r="H63" s="726">
        <f t="shared" si="13"/>
        <v>5.4999999999999997E-3</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7.200000000000003">
      <c r="A64" s="1588" t="s">
        <v>1966</v>
      </c>
      <c r="B64" s="1592" t="s">
        <v>1967</v>
      </c>
      <c r="C64" s="1508"/>
      <c r="D64" s="725">
        <f t="shared" si="12"/>
        <v>0</v>
      </c>
      <c r="E64" s="508"/>
      <c r="F64" s="1327"/>
      <c r="G64" s="723"/>
      <c r="H64" s="726">
        <f t="shared" si="13"/>
        <v>2.5000000000000001E-3</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2"/>
        <v>0</v>
      </c>
      <c r="E65" s="508"/>
      <c r="F65" s="1327"/>
      <c r="G65" s="723"/>
      <c r="H65" s="726">
        <f t="shared" si="13"/>
        <v>2.5000000000000001E-3</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36">
      <c r="A66" s="1588" t="s">
        <v>1969</v>
      </c>
      <c r="B66" s="1593" t="s">
        <v>1970</v>
      </c>
      <c r="C66" s="1508"/>
      <c r="D66" s="725">
        <f t="shared" si="12"/>
        <v>0</v>
      </c>
      <c r="E66" s="508"/>
      <c r="F66" s="1327"/>
      <c r="G66" s="723"/>
      <c r="H66" s="726">
        <f t="shared" si="13"/>
        <v>3.0000000000000001E-3</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4">
      <c r="A67" s="1588" t="s">
        <v>1971</v>
      </c>
      <c r="B67" s="911">
        <f>估价对象房地状况!C21</f>
        <v>0</v>
      </c>
      <c r="C67" s="1508"/>
      <c r="D67" s="725">
        <f t="shared" si="12"/>
        <v>0</v>
      </c>
      <c r="E67" s="508"/>
      <c r="F67" s="1327"/>
      <c r="G67" s="723"/>
      <c r="H67" s="726">
        <f t="shared" si="13"/>
        <v>3.0000000000000001E-3</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4">
      <c r="A68" s="1588" t="s">
        <v>1972</v>
      </c>
      <c r="B68" s="911">
        <f>估价对象房地状况!C22</f>
        <v>0</v>
      </c>
      <c r="C68" s="1508"/>
      <c r="D68" s="725">
        <f t="shared" si="12"/>
        <v>0</v>
      </c>
      <c r="E68" s="508"/>
      <c r="F68" s="1327"/>
      <c r="G68" s="723"/>
      <c r="H68" s="726">
        <f t="shared" si="13"/>
        <v>4.4999999999999997E-3</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36.6" thickBot="1">
      <c r="A69" s="1595" t="s">
        <v>1973</v>
      </c>
      <c r="B69" s="1597">
        <f>估价对象房地状况!C20</f>
        <v>0</v>
      </c>
      <c r="C69" s="1508"/>
      <c r="D69" s="725">
        <f t="shared" si="12"/>
        <v>0</v>
      </c>
      <c r="E69" s="509"/>
      <c r="F69" s="1327"/>
      <c r="G69" s="723"/>
      <c r="H69" s="726">
        <f t="shared" si="13"/>
        <v>3.5000000000000001E-3</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4.4">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5.2">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24">
      <c r="A72" s="1588" t="s">
        <v>1978</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24">
      <c r="A73" s="1588" t="s">
        <v>1965</v>
      </c>
      <c r="B73" s="931">
        <f>估价对象房地状况!C18</f>
        <v>0</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48">
      <c r="A74" s="2483" t="s">
        <v>3152</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3.8">
      <c r="A75" s="1588" t="s">
        <v>1979</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4">
      <c r="A76" s="1588" t="s">
        <v>1971</v>
      </c>
      <c r="B76" s="911">
        <f>估价对象房地状况!C21</f>
        <v>0</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4">
      <c r="A77" s="1588" t="s">
        <v>1972</v>
      </c>
      <c r="B77" s="911">
        <f>估价对象房地状况!C22</f>
        <v>0</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36">
      <c r="A78" s="1588" t="s">
        <v>1969</v>
      </c>
      <c r="B78" s="1593" t="s">
        <v>1970</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36">
      <c r="A79" s="1588" t="s">
        <v>1973</v>
      </c>
      <c r="B79" s="1591">
        <f>估价对象房地状况!C20</f>
        <v>0</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36.6" thickBot="1">
      <c r="A80" s="1595" t="s">
        <v>1980</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4.4">
      <c r="A81" s="1585" t="s">
        <v>1981</v>
      </c>
      <c r="B81" s="1586">
        <f>1+E83</f>
        <v>1</v>
      </c>
      <c r="C81" s="504"/>
      <c r="D81" s="504"/>
      <c r="E81" s="505"/>
      <c r="F81" s="1587"/>
      <c r="G81" s="3"/>
      <c r="H81" s="3"/>
      <c r="I81" s="3"/>
      <c r="J81" s="4"/>
      <c r="K81" s="4"/>
      <c r="L81" s="4"/>
      <c r="M81" s="4"/>
      <c r="N81" s="4"/>
      <c r="Z81" s="1466"/>
      <c r="AA81" s="1516"/>
      <c r="AG81" s="774"/>
      <c r="AK81" s="1516"/>
    </row>
    <row r="82" spans="1:37" ht="25.2">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24">
      <c r="A83" s="1588" t="s">
        <v>1982</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24">
      <c r="A84" s="1588" t="s">
        <v>1965</v>
      </c>
      <c r="B84" s="931">
        <f>估价对象房地状况!G16</f>
        <v>0</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48">
      <c r="A85" s="2483" t="s">
        <v>3153</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3.8">
      <c r="A86" s="1588" t="s">
        <v>1979</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4">
      <c r="A87" s="1588" t="s">
        <v>1971</v>
      </c>
      <c r="B87" s="911">
        <f>估价对象房地状况!G19</f>
        <v>0</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4">
      <c r="A88" s="1588" t="s">
        <v>1972</v>
      </c>
      <c r="B88" s="911">
        <f>估价对象房地状况!G20</f>
        <v>0</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36">
      <c r="A89" s="1588" t="s">
        <v>1969</v>
      </c>
      <c r="B89" s="1593" t="s">
        <v>1983</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14.4" thickBot="1">
      <c r="A90" s="1595" t="s">
        <v>1984</v>
      </c>
      <c r="B90" s="1600">
        <f>估价对象房地状况!G18</f>
        <v>0</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3.8">
      <c r="A91" s="2491" t="s">
        <v>2497</v>
      </c>
      <c r="B91" s="2492">
        <f>1+E93</f>
        <v>1</v>
      </c>
      <c r="C91" s="2485"/>
      <c r="D91" s="2486"/>
      <c r="E91" s="1327"/>
      <c r="F91" s="1327"/>
      <c r="G91" s="2487"/>
      <c r="H91" s="2488"/>
      <c r="I91" s="2489"/>
      <c r="J91" s="2490"/>
      <c r="K91" s="2490"/>
      <c r="L91" s="2490"/>
      <c r="M91" s="2490"/>
      <c r="N91" s="2490"/>
    </row>
    <row r="92" spans="1:37" ht="25.2">
      <c r="A92" s="2493" t="s">
        <v>3154</v>
      </c>
      <c r="B92" s="1881"/>
      <c r="C92" s="1881" t="s">
        <v>3163</v>
      </c>
      <c r="D92" s="1881" t="s">
        <v>3164</v>
      </c>
      <c r="E92" s="2466" t="s">
        <v>3165</v>
      </c>
      <c r="F92" s="2495" t="s">
        <v>3166</v>
      </c>
      <c r="G92" s="1881" t="s">
        <v>3167</v>
      </c>
      <c r="H92" s="2502" t="s">
        <v>3170</v>
      </c>
      <c r="I92" s="1881" t="s">
        <v>3171</v>
      </c>
      <c r="J92" s="1731" t="s">
        <v>3172</v>
      </c>
      <c r="K92" s="1731" t="s">
        <v>3173</v>
      </c>
      <c r="L92" s="1731" t="s">
        <v>3174</v>
      </c>
      <c r="M92" s="1731" t="s">
        <v>3175</v>
      </c>
      <c r="N92" s="1731" t="s">
        <v>3176</v>
      </c>
    </row>
    <row r="93" spans="1:37" ht="24">
      <c r="A93" s="2483" t="s">
        <v>3155</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24">
      <c r="A94" s="2493" t="s">
        <v>3156</v>
      </c>
      <c r="B94" s="2484">
        <f>估价对象房地状况!C18</f>
        <v>0</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48">
      <c r="A95" s="2483" t="s">
        <v>3152</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7.200000000000003">
      <c r="A96" s="2493" t="s">
        <v>3157</v>
      </c>
      <c r="B96" s="2499" t="s">
        <v>3168</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3158</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36">
      <c r="A98" s="2493" t="s">
        <v>3159</v>
      </c>
      <c r="B98" s="2500" t="s">
        <v>3169</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4">
      <c r="A99" s="2493" t="s">
        <v>3160</v>
      </c>
      <c r="B99" s="2484">
        <f>估价对象房地状况!C21</f>
        <v>0</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4">
      <c r="A100" s="2493" t="s">
        <v>3161</v>
      </c>
      <c r="B100" s="2484">
        <f>估价对象房地状况!C22</f>
        <v>0</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36.6" thickBot="1">
      <c r="A101" s="2494" t="s">
        <v>3162</v>
      </c>
      <c r="B101" s="2501">
        <f>估价对象房地状况!C20</f>
        <v>0</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732" t="s">
        <v>3177</v>
      </c>
      <c r="B103" s="4732"/>
      <c r="C103" s="4732"/>
      <c r="D103" s="4732"/>
      <c r="E103" s="4732"/>
      <c r="F103" s="4732"/>
      <c r="G103" s="4732"/>
      <c r="H103" s="4732"/>
      <c r="I103" s="4732"/>
      <c r="J103" s="4732"/>
      <c r="K103" s="1319"/>
      <c r="L103" s="1319"/>
      <c r="M103" s="1319"/>
      <c r="N103" s="1319"/>
    </row>
    <row r="104" spans="1:14">
      <c r="A104" s="4733" t="s">
        <v>3178</v>
      </c>
      <c r="B104" s="4733" t="s">
        <v>3179</v>
      </c>
      <c r="C104" s="2503" t="s">
        <v>3180</v>
      </c>
      <c r="D104" s="2504"/>
      <c r="E104" s="2504"/>
      <c r="F104" s="2504"/>
      <c r="G104" s="2504"/>
      <c r="H104" s="2504"/>
      <c r="I104" s="2504"/>
      <c r="J104" s="2505"/>
      <c r="K104" s="2506"/>
      <c r="L104" s="2506"/>
      <c r="M104" s="2506"/>
      <c r="N104" s="2506"/>
    </row>
    <row r="105" spans="1:14">
      <c r="A105" s="4733"/>
      <c r="B105" s="4733"/>
      <c r="C105" s="2507" t="s">
        <v>3181</v>
      </c>
      <c r="D105" s="2507" t="s">
        <v>3182</v>
      </c>
      <c r="E105" s="2507" t="s">
        <v>3183</v>
      </c>
      <c r="F105" s="2507" t="s">
        <v>3184</v>
      </c>
      <c r="G105" s="2507" t="s">
        <v>3185</v>
      </c>
      <c r="H105" s="2507" t="s">
        <v>3186</v>
      </c>
      <c r="I105" s="2507" t="s">
        <v>3187</v>
      </c>
      <c r="J105" s="2507" t="s">
        <v>3188</v>
      </c>
      <c r="K105" s="2507" t="s">
        <v>3189</v>
      </c>
      <c r="L105" s="2507" t="s">
        <v>3190</v>
      </c>
      <c r="M105" s="2507" t="s">
        <v>3191</v>
      </c>
      <c r="N105" s="2507" t="s">
        <v>3192</v>
      </c>
    </row>
    <row r="106" spans="1:14">
      <c r="A106" s="4723" t="s">
        <v>3193</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724"/>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724"/>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724"/>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724"/>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724"/>
      <c r="B111" s="2507" t="s">
        <v>3151</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725"/>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726" t="s">
        <v>3194</v>
      </c>
      <c r="B113" s="4726"/>
      <c r="C113" s="4726"/>
      <c r="D113" s="4726"/>
      <c r="E113" s="4726"/>
      <c r="F113" s="4726"/>
      <c r="G113" s="4726"/>
      <c r="H113" s="4726"/>
      <c r="I113" s="4726"/>
      <c r="J113" s="4726"/>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8" thickBot="1">
      <c r="A115" s="2510"/>
      <c r="B115" s="2510"/>
      <c r="C115" s="2510"/>
      <c r="D115" s="2510"/>
      <c r="E115" s="2510"/>
      <c r="F115" s="2510"/>
      <c r="G115" s="2510"/>
      <c r="H115" s="2510"/>
      <c r="I115" s="2510"/>
      <c r="J115" s="2510"/>
      <c r="K115" s="1582"/>
      <c r="L115" s="2510"/>
      <c r="M115" s="2510"/>
      <c r="N115" s="2510"/>
    </row>
    <row r="116" spans="1:14" ht="25.8" thickBot="1">
      <c r="A116" s="2511" t="s">
        <v>3195</v>
      </c>
      <c r="B116" s="2527">
        <f>G3</f>
        <v>3.09</v>
      </c>
      <c r="C116" s="2512" t="s">
        <v>3196</v>
      </c>
      <c r="D116" s="2513">
        <f>SUMPRODUCT((A118:A122=F116)*(B117:M117=H116)*B118:M122)</f>
        <v>0.89759999999999995</v>
      </c>
      <c r="E116" s="68" t="s">
        <v>3197</v>
      </c>
      <c r="F116" s="2514" t="str">
        <f>E2</f>
        <v>办公</v>
      </c>
      <c r="G116" s="68" t="s">
        <v>3198</v>
      </c>
      <c r="H116" s="2514" t="str">
        <f>G2</f>
        <v>五级</v>
      </c>
      <c r="I116" s="68"/>
      <c r="J116" s="2515"/>
      <c r="K116" s="2515"/>
      <c r="L116" s="2515"/>
      <c r="M116" s="2515"/>
      <c r="N116" s="2510"/>
    </row>
    <row r="117" spans="1:14">
      <c r="A117" s="2516"/>
      <c r="B117" s="2517" t="s">
        <v>3199</v>
      </c>
      <c r="C117" s="2517" t="s">
        <v>3200</v>
      </c>
      <c r="D117" s="2517" t="s">
        <v>3201</v>
      </c>
      <c r="E117" s="2518" t="s">
        <v>3202</v>
      </c>
      <c r="F117" s="2518" t="s">
        <v>3203</v>
      </c>
      <c r="G117" s="2518" t="s">
        <v>3204</v>
      </c>
      <c r="H117" s="2519" t="s">
        <v>3205</v>
      </c>
      <c r="I117" s="2519" t="s">
        <v>3206</v>
      </c>
      <c r="J117" s="2520" t="s">
        <v>3207</v>
      </c>
      <c r="K117" s="2520" t="s">
        <v>3208</v>
      </c>
      <c r="L117" s="2520" t="s">
        <v>3209</v>
      </c>
      <c r="M117" s="2521" t="s">
        <v>3210</v>
      </c>
      <c r="N117" s="2510"/>
    </row>
    <row r="118" spans="1:14">
      <c r="A118" s="2470" t="s">
        <v>3211</v>
      </c>
      <c r="B118" s="2502">
        <f>ROUND(0.9968-0.011*B116,4)</f>
        <v>0.96279999999999999</v>
      </c>
      <c r="C118" s="2502">
        <f>B118</f>
        <v>0.96279999999999999</v>
      </c>
      <c r="D118" s="2502">
        <f>ROUND(0.949-0.014*B116,4)</f>
        <v>0.90569999999999995</v>
      </c>
      <c r="E118" s="2502">
        <f>D118</f>
        <v>0.90569999999999995</v>
      </c>
      <c r="F118" s="2502">
        <f>E118</f>
        <v>0.90569999999999995</v>
      </c>
      <c r="G118" s="2502">
        <f>F118</f>
        <v>0.90569999999999995</v>
      </c>
      <c r="H118" s="2502">
        <f>G118</f>
        <v>0.90569999999999995</v>
      </c>
      <c r="I118" s="2502">
        <f>ROUND(0.8486-0.018*B116,4)</f>
        <v>0.79300000000000004</v>
      </c>
      <c r="J118" s="2502">
        <f t="shared" ref="J118:M122" si="35">I118</f>
        <v>0.79300000000000004</v>
      </c>
      <c r="K118" s="2502">
        <f t="shared" si="35"/>
        <v>0.79300000000000004</v>
      </c>
      <c r="L118" s="2502">
        <f t="shared" si="35"/>
        <v>0.79300000000000004</v>
      </c>
      <c r="M118" s="2522">
        <f t="shared" si="35"/>
        <v>0.79300000000000004</v>
      </c>
      <c r="N118" s="2510"/>
    </row>
    <row r="119" spans="1:14">
      <c r="A119" s="2470" t="s">
        <v>3212</v>
      </c>
      <c r="B119" s="2502">
        <f>ROUND(0.993-0.0112*B116,4)</f>
        <v>0.95840000000000003</v>
      </c>
      <c r="C119" s="2502">
        <f>B119</f>
        <v>0.95840000000000003</v>
      </c>
      <c r="D119" s="2502">
        <f>ROUND(0.9415-0.0142*B116,4)</f>
        <v>0.89759999999999995</v>
      </c>
      <c r="E119" s="2502">
        <f t="shared" ref="E119:H120" si="36">D119</f>
        <v>0.89759999999999995</v>
      </c>
      <c r="F119" s="2502">
        <f t="shared" si="36"/>
        <v>0.89759999999999995</v>
      </c>
      <c r="G119" s="2502">
        <f t="shared" si="36"/>
        <v>0.89759999999999995</v>
      </c>
      <c r="H119" s="2502">
        <f t="shared" si="36"/>
        <v>0.89759999999999995</v>
      </c>
      <c r="I119" s="2502">
        <f>ROUND(0.838-0.0182*B116,4)</f>
        <v>0.78180000000000005</v>
      </c>
      <c r="J119" s="2502">
        <f t="shared" si="35"/>
        <v>0.78180000000000005</v>
      </c>
      <c r="K119" s="2502">
        <f t="shared" si="35"/>
        <v>0.78180000000000005</v>
      </c>
      <c r="L119" s="2502">
        <f t="shared" si="35"/>
        <v>0.78180000000000005</v>
      </c>
      <c r="M119" s="2522">
        <f t="shared" si="35"/>
        <v>0.78180000000000005</v>
      </c>
      <c r="N119" s="2510"/>
    </row>
    <row r="120" spans="1:14">
      <c r="A120" s="2470" t="s">
        <v>3213</v>
      </c>
      <c r="B120" s="2502">
        <f>ROUND(0.9448-0.0115*B116,4)</f>
        <v>0.9093</v>
      </c>
      <c r="C120" s="2502">
        <f>B120</f>
        <v>0.9093</v>
      </c>
      <c r="D120" s="2502">
        <f>ROUND(0.937-0.0145*B116,4)</f>
        <v>0.89219999999999999</v>
      </c>
      <c r="E120" s="2502">
        <f t="shared" si="36"/>
        <v>0.89219999999999999</v>
      </c>
      <c r="F120" s="2502">
        <f t="shared" si="36"/>
        <v>0.89219999999999999</v>
      </c>
      <c r="G120" s="2502">
        <f t="shared" si="36"/>
        <v>0.89219999999999999</v>
      </c>
      <c r="H120" s="2502">
        <f t="shared" si="36"/>
        <v>0.89219999999999999</v>
      </c>
      <c r="I120" s="2502">
        <f>ROUND(0.7965-0.0185*B116,4)</f>
        <v>0.73929999999999996</v>
      </c>
      <c r="J120" s="2502">
        <f t="shared" si="35"/>
        <v>0.73929999999999996</v>
      </c>
      <c r="K120" s="2502">
        <f t="shared" si="35"/>
        <v>0.73929999999999996</v>
      </c>
      <c r="L120" s="2502">
        <f t="shared" si="35"/>
        <v>0.73929999999999996</v>
      </c>
      <c r="M120" s="2522">
        <f t="shared" si="35"/>
        <v>0.73929999999999996</v>
      </c>
      <c r="N120" s="2510"/>
    </row>
    <row r="121" spans="1:14" ht="13.8" thickBot="1">
      <c r="A121" s="2523" t="s">
        <v>3214</v>
      </c>
      <c r="B121" s="2524">
        <f>ROUND(0.7836-0.012*B116,4)</f>
        <v>0.74650000000000005</v>
      </c>
      <c r="C121" s="2524">
        <f>B121</f>
        <v>0.74650000000000005</v>
      </c>
      <c r="D121" s="2524">
        <f>ROUND(0.753-0.015*B116,4)</f>
        <v>0.70669999999999999</v>
      </c>
      <c r="E121" s="2524">
        <f>D121</f>
        <v>0.70669999999999999</v>
      </c>
      <c r="F121" s="2524">
        <f>E121</f>
        <v>0.70669999999999999</v>
      </c>
      <c r="G121" s="2524">
        <f>ROUND(0.6612-0.018*B116,4)</f>
        <v>0.60560000000000003</v>
      </c>
      <c r="H121" s="2524">
        <f>G121</f>
        <v>0.60560000000000003</v>
      </c>
      <c r="I121" s="2524">
        <f>ROUND(0.5905-0.019*B116,4)</f>
        <v>0.53180000000000005</v>
      </c>
      <c r="J121" s="2524">
        <f t="shared" si="35"/>
        <v>0.53180000000000005</v>
      </c>
      <c r="K121" s="2524">
        <f t="shared" si="35"/>
        <v>0.53180000000000005</v>
      </c>
      <c r="L121" s="2524">
        <f t="shared" si="35"/>
        <v>0.53180000000000005</v>
      </c>
      <c r="M121" s="2525">
        <f t="shared" si="35"/>
        <v>0.53180000000000005</v>
      </c>
      <c r="N121" s="2510"/>
    </row>
    <row r="122" spans="1:14">
      <c r="A122" s="2526" t="s">
        <v>2497</v>
      </c>
      <c r="B122" s="2502">
        <f>ROUND(0.9404-0.0106*B116,4)</f>
        <v>0.90759999999999996</v>
      </c>
      <c r="C122" s="2502">
        <f>B122</f>
        <v>0.90759999999999996</v>
      </c>
      <c r="D122" s="2502">
        <f>ROUND(0.8955-0.0135*B116,4)</f>
        <v>0.8538</v>
      </c>
      <c r="E122" s="2502">
        <f t="shared" ref="E122:H122" si="37">D122</f>
        <v>0.8538</v>
      </c>
      <c r="F122" s="2502">
        <f t="shared" si="37"/>
        <v>0.8538</v>
      </c>
      <c r="G122" s="2502">
        <f t="shared" si="37"/>
        <v>0.8538</v>
      </c>
      <c r="H122" s="2502">
        <f t="shared" si="37"/>
        <v>0.8538</v>
      </c>
      <c r="I122" s="2502">
        <f>ROUND(0.7632-0.0166*B116,4)</f>
        <v>0.71189999999999998</v>
      </c>
      <c r="J122" s="2502">
        <f t="shared" si="35"/>
        <v>0.71189999999999998</v>
      </c>
      <c r="K122" s="2502">
        <f t="shared" si="35"/>
        <v>0.71189999999999998</v>
      </c>
      <c r="L122" s="2502">
        <f t="shared" si="35"/>
        <v>0.71189999999999998</v>
      </c>
      <c r="M122" s="2522">
        <f t="shared" si="35"/>
        <v>0.71189999999999998</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0.399999999999999">
      <c r="A1" s="3322" t="s">
        <v>3519</v>
      </c>
      <c r="B1" s="47"/>
      <c r="C1" s="807"/>
      <c r="D1" s="806"/>
      <c r="E1" s="2078"/>
      <c r="F1" s="2078"/>
      <c r="G1" s="1971"/>
      <c r="H1" s="2078"/>
      <c r="I1" s="2078"/>
      <c r="J1" s="2078"/>
      <c r="K1" s="2079">
        <f>MATCH(C1,'数据-取费表'!A6:A16,0)+5</f>
        <v>10</v>
      </c>
    </row>
    <row r="2" spans="1:33" ht="18" customHeight="1">
      <c r="A2" s="96" t="s">
        <v>1433</v>
      </c>
      <c r="B2" s="2589">
        <f ca="1">C34</f>
        <v>-36491</v>
      </c>
      <c r="C2" s="171" t="s">
        <v>1536</v>
      </c>
      <c r="D2" s="171"/>
      <c r="E2" s="2078"/>
      <c r="F2" s="2078"/>
      <c r="G2" s="2078"/>
      <c r="H2" s="2078"/>
      <c r="I2" s="2078"/>
      <c r="J2" s="2078"/>
      <c r="K2" s="2078"/>
    </row>
    <row r="3" spans="1:33" ht="18" customHeight="1">
      <c r="A3" s="98" t="s">
        <v>1435</v>
      </c>
      <c r="B3" s="2589">
        <f ca="1">ROUND(B2*10000/IF(C1="",'数据-汇总表'!E3,INDIRECT("'数据-取费表'!K"&amp;$K$1)),0)</f>
        <v>-6356</v>
      </c>
      <c r="C3" s="171" t="s">
        <v>1537</v>
      </c>
      <c r="D3" s="171"/>
      <c r="E3" s="2078"/>
      <c r="F3" s="2078"/>
      <c r="G3" s="2078"/>
      <c r="H3" s="2078"/>
      <c r="I3" s="2078"/>
      <c r="J3" s="2078"/>
      <c r="K3" s="2078"/>
    </row>
    <row r="4" spans="1:33" ht="18" customHeight="1">
      <c r="A4" s="3492" t="s">
        <v>3634</v>
      </c>
      <c r="B4" s="2588">
        <f ca="1">ROUND(B2*10000/IF(C1="",'数据-汇总表'!D3,INDIRECT("'数据-取费表'!R"&amp;$K$1)),0)</f>
        <v>-22186</v>
      </c>
      <c r="C4" s="1362" t="s">
        <v>3636</v>
      </c>
      <c r="D4" s="171"/>
      <c r="E4" s="2078"/>
      <c r="F4" s="2078"/>
      <c r="G4" s="2078"/>
      <c r="H4" s="2078"/>
      <c r="I4" s="2078"/>
      <c r="J4" s="2078"/>
      <c r="K4" s="2078"/>
    </row>
    <row r="5" spans="1:33" ht="18" customHeight="1" thickBot="1">
      <c r="A5" s="94"/>
      <c r="B5" s="3501">
        <f ca="1">ROUND(B2/(IF(C1="",'数据-汇总表'!D3,INDIRECT("'数据-取费表'!R"&amp;$K$1))/666.67),0)</f>
        <v>-1479</v>
      </c>
      <c r="C5" s="3495" t="s">
        <v>3635</v>
      </c>
      <c r="D5" s="171"/>
      <c r="E5" s="2078"/>
      <c r="F5" s="2078"/>
      <c r="G5" s="2078"/>
      <c r="H5" s="2078"/>
      <c r="I5" s="2078"/>
      <c r="J5" s="2078"/>
      <c r="K5" s="2078"/>
    </row>
    <row r="6" spans="1:33" s="533" customFormat="1" ht="16.5" customHeight="1">
      <c r="A6" s="2724" t="s">
        <v>3523</v>
      </c>
      <c r="B6" s="2723"/>
      <c r="C6" s="4716" t="s">
        <v>3375</v>
      </c>
      <c r="D6" s="4716"/>
      <c r="E6" s="4716"/>
      <c r="F6" s="4716"/>
      <c r="G6" s="4716"/>
      <c r="H6" s="4716"/>
      <c r="I6" s="4716"/>
      <c r="J6" s="4716"/>
      <c r="K6" s="4717"/>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3972</v>
      </c>
      <c r="B10" s="4202" t="s">
        <v>3967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38" t="s">
        <v>3524</v>
      </c>
      <c r="B11" s="4739"/>
      <c r="C11" s="4739"/>
      <c r="D11" s="4739"/>
      <c r="E11" s="4739"/>
      <c r="F11" s="4739"/>
      <c r="G11" s="4739"/>
      <c r="H11" s="4739"/>
      <c r="I11" s="4739"/>
      <c r="J11" s="4739"/>
      <c r="K11" s="4740"/>
    </row>
    <row r="12" spans="1:33" s="4199" customFormat="1" ht="13.5" customHeight="1">
      <c r="A12" s="3317" t="s">
        <v>3513</v>
      </c>
      <c r="B12" s="4196" t="s">
        <v>1542</v>
      </c>
      <c r="C12" s="4200" t="s">
        <v>3967</v>
      </c>
      <c r="D12" s="4196" t="s">
        <v>1544</v>
      </c>
      <c r="E12" s="4196" t="s">
        <v>1545</v>
      </c>
      <c r="F12" s="4196" t="s">
        <v>1546</v>
      </c>
      <c r="G12" s="4208" t="s">
        <v>3399</v>
      </c>
      <c r="H12" s="4209"/>
      <c r="I12" s="4209"/>
      <c r="J12" s="4209"/>
      <c r="K12" s="4210"/>
    </row>
    <row r="13" spans="1:33" s="539" customFormat="1" ht="13.5" customHeight="1">
      <c r="A13" s="2558">
        <v>1</v>
      </c>
      <c r="B13" s="2748" t="s">
        <v>3525</v>
      </c>
      <c r="C13" s="2733">
        <f>SUM(C10:K10)</f>
        <v>0</v>
      </c>
      <c r="D13" s="538"/>
      <c r="E13" s="538"/>
      <c r="F13" s="3331"/>
      <c r="G13" s="3456"/>
      <c r="H13" s="3455"/>
      <c r="I13" s="3455"/>
      <c r="J13" s="3455"/>
      <c r="K13" s="3467"/>
    </row>
    <row r="14" spans="1:33" s="539" customFormat="1" ht="13.5" customHeight="1">
      <c r="A14" s="2558">
        <v>2</v>
      </c>
      <c r="B14" s="2749" t="s">
        <v>3628</v>
      </c>
      <c r="C14" s="2733">
        <v>0</v>
      </c>
      <c r="D14" s="2749"/>
      <c r="E14" s="2749"/>
      <c r="F14" s="2662">
        <v>0</v>
      </c>
      <c r="G14" s="3641" t="s">
        <v>3678</v>
      </c>
      <c r="H14" s="3455"/>
      <c r="I14" s="3455"/>
      <c r="J14" s="3455"/>
      <c r="K14" s="3467"/>
    </row>
    <row r="15" spans="1:33" s="541" customFormat="1" ht="13.5" customHeight="1">
      <c r="A15" s="2558">
        <v>3</v>
      </c>
      <c r="B15" s="548" t="s">
        <v>3598</v>
      </c>
      <c r="C15" s="2600">
        <f ca="1">C32-C33</f>
        <v>36491</v>
      </c>
      <c r="D15" s="548"/>
      <c r="E15" s="173"/>
      <c r="F15" s="3332"/>
      <c r="G15" s="3457" t="s">
        <v>3543</v>
      </c>
      <c r="H15" s="544"/>
      <c r="I15" s="544"/>
      <c r="J15" s="544"/>
      <c r="K15" s="545"/>
    </row>
    <row r="16" spans="1:33" s="541" customFormat="1" ht="13.5" customHeight="1">
      <c r="A16" s="3468" t="s">
        <v>3593</v>
      </c>
      <c r="B16" s="3336" t="s">
        <v>3526</v>
      </c>
      <c r="C16" s="3337">
        <f ca="1">SUM(C17:C22)</f>
        <v>32148</v>
      </c>
      <c r="D16" s="3336"/>
      <c r="E16" s="3336"/>
      <c r="F16" s="3338"/>
      <c r="G16" s="2698"/>
      <c r="H16" s="3455"/>
      <c r="I16" s="3455"/>
      <c r="J16" s="3455"/>
      <c r="K16" s="3467"/>
    </row>
    <row r="17" spans="1:33" s="541" customFormat="1" ht="13.5" customHeight="1">
      <c r="A17" s="3469" t="s">
        <v>3544</v>
      </c>
      <c r="B17" s="3323" t="s">
        <v>3531</v>
      </c>
      <c r="C17" s="2566">
        <f ca="1">IF(C1="",'数据-取费表'!M16,INDIRECT("'数据-取费表'!M"&amp;$K$1)+INDIRECT("'数据-取费表'!ap"&amp;$K$1))</f>
        <v>28704</v>
      </c>
      <c r="D17" s="3339"/>
      <c r="E17" s="3340"/>
      <c r="F17" s="3352"/>
      <c r="G17" s="3458"/>
      <c r="H17" s="3455"/>
      <c r="I17" s="3455"/>
      <c r="J17" s="3455"/>
      <c r="K17" s="3467"/>
    </row>
    <row r="18" spans="1:33" s="541" customFormat="1" ht="13.5" customHeight="1">
      <c r="A18" s="3469" t="s">
        <v>3532</v>
      </c>
      <c r="B18" s="3324" t="s">
        <v>3533</v>
      </c>
      <c r="C18" s="2566">
        <f ca="1">ROUND(C17*F18,0)</f>
        <v>1435</v>
      </c>
      <c r="D18" s="3336"/>
      <c r="E18" s="3336"/>
      <c r="F18" s="3353">
        <f>'数据-取费表'!B33</f>
        <v>0.05</v>
      </c>
      <c r="G18" s="2698"/>
      <c r="H18" s="3455"/>
      <c r="I18" s="3455"/>
      <c r="J18" s="3455"/>
      <c r="K18" s="3467"/>
    </row>
    <row r="19" spans="1:33" s="541" customFormat="1" ht="13.5" customHeight="1">
      <c r="A19" s="3469" t="s">
        <v>3545</v>
      </c>
      <c r="B19" s="3325" t="s">
        <v>3501</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3546</v>
      </c>
      <c r="B20" s="3325" t="s">
        <v>3554</v>
      </c>
      <c r="C20" s="2566">
        <f ca="1">ROUND(D20*E20/10000,0)</f>
        <v>1722</v>
      </c>
      <c r="D20" s="3334">
        <f ca="1">IF(C1="",'数据-汇总表'!E3,INDIRECT("'数据-取费表'!K"&amp;$K$1)+INDIRECT("'数据-取费表'!S"&amp;$K$1))</f>
        <v>57408.26</v>
      </c>
      <c r="E20" s="3335">
        <f>'数据-取费表'!B35</f>
        <v>300</v>
      </c>
      <c r="F20" s="3334"/>
      <c r="G20" s="2562"/>
      <c r="H20" s="3455"/>
      <c r="I20" s="3455"/>
      <c r="J20" s="544"/>
      <c r="K20" s="545"/>
    </row>
    <row r="21" spans="1:33" s="541" customFormat="1" ht="13.5" customHeight="1">
      <c r="A21" s="3469" t="s">
        <v>3547</v>
      </c>
      <c r="B21" s="3326" t="s">
        <v>3504</v>
      </c>
      <c r="C21" s="2566">
        <f ca="1">ROUND(C17*F21,0)</f>
        <v>287</v>
      </c>
      <c r="D21" s="3341"/>
      <c r="E21" s="3341"/>
      <c r="F21" s="3353">
        <f>'数据-取费表'!B36</f>
        <v>0.01</v>
      </c>
      <c r="G21" s="2562"/>
      <c r="H21" s="546"/>
      <c r="I21" s="546"/>
      <c r="J21" s="546"/>
      <c r="K21" s="3470"/>
    </row>
    <row r="22" spans="1:33" s="541" customFormat="1" ht="13.5" customHeight="1">
      <c r="A22" s="3469" t="s">
        <v>3548</v>
      </c>
      <c r="B22" s="3326" t="s">
        <v>3555</v>
      </c>
      <c r="C22" s="2566">
        <f ca="1">ROUND(C17*F22,0)</f>
        <v>0</v>
      </c>
      <c r="D22" s="3341"/>
      <c r="E22" s="3341"/>
      <c r="F22" s="3353">
        <f>'数据-取费表'!B37</f>
        <v>0</v>
      </c>
      <c r="G22" s="2562"/>
      <c r="H22" s="546"/>
      <c r="I22" s="546"/>
      <c r="J22" s="546"/>
      <c r="K22" s="3470"/>
    </row>
    <row r="23" spans="1:33" s="542" customFormat="1" ht="13.5" customHeight="1">
      <c r="A23" s="3468" t="s">
        <v>3594</v>
      </c>
      <c r="B23" s="3336" t="s">
        <v>3490</v>
      </c>
      <c r="C23" s="2571">
        <f ca="1">ROUND(C16*F23,0)</f>
        <v>643</v>
      </c>
      <c r="D23" s="3342"/>
      <c r="E23" s="3342"/>
      <c r="F23" s="3354">
        <f>'数据-取费表'!B38</f>
        <v>0.02</v>
      </c>
      <c r="G23" s="2574" t="s">
        <v>3527</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3595</v>
      </c>
      <c r="B24" s="3336" t="s">
        <v>3534</v>
      </c>
      <c r="C24" s="2571" t="str">
        <f>F24&amp;"V建"</f>
        <v>0.02V建</v>
      </c>
      <c r="D24" s="3342"/>
      <c r="E24" s="3342"/>
      <c r="F24" s="3354">
        <f>'数据-取费表'!B39</f>
        <v>0.02</v>
      </c>
      <c r="G24" s="2574" t="s">
        <v>3528</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4.4">
      <c r="A25" s="3468" t="s">
        <v>3596</v>
      </c>
      <c r="B25" s="3336" t="s">
        <v>3416</v>
      </c>
      <c r="C25" s="3343" t="str">
        <f ca="1">C26&amp;"+"&amp;C27&amp;"V建"</f>
        <v>1026+0.0004V建</v>
      </c>
      <c r="D25" s="3344"/>
      <c r="E25" s="3344"/>
      <c r="F25" s="3353">
        <f ca="1">'数据-取费表'!B41</f>
        <v>3.1300000000000001E-2</v>
      </c>
      <c r="G25" s="3459" t="s">
        <v>3535</v>
      </c>
      <c r="H25" s="3460"/>
      <c r="I25" s="3460"/>
      <c r="J25" s="3460"/>
      <c r="K25" s="3471"/>
    </row>
    <row r="26" spans="1:33" s="542" customFormat="1" ht="13.5" customHeight="1">
      <c r="A26" s="3469" t="s">
        <v>3536</v>
      </c>
      <c r="B26" s="3326" t="s">
        <v>3559</v>
      </c>
      <c r="C26" s="3343">
        <f ca="1">ROUND(IF('数据-取费表'!B20&lt;=1,(C16+C23)*F25*'数据-取费表'!B20/2,(C23+C16)*(POWER((1+F25),'数据-取费表'!B20/2)-1)),0)</f>
        <v>1026</v>
      </c>
      <c r="D26" s="3344"/>
      <c r="E26" s="3344"/>
      <c r="F26" s="3334"/>
      <c r="G26" s="3459" t="s">
        <v>3537</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3538</v>
      </c>
      <c r="B27" s="3326" t="s">
        <v>3560</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3539</v>
      </c>
      <c r="B28" s="3336" t="s">
        <v>3556</v>
      </c>
      <c r="C28" s="2721" t="str">
        <f ca="1">C29&amp;"+"&amp;C30&amp;"V建"</f>
        <v>4919+0.003V建</v>
      </c>
      <c r="D28" s="1037"/>
      <c r="E28" s="1037"/>
      <c r="F28" s="3355">
        <f ca="1">IF(C1="",'数据-取费表'!Q16,INDIRECT("'数据-取费表'!q"&amp;$K$1))</f>
        <v>0.15</v>
      </c>
      <c r="G28" s="4741" t="s">
        <v>3540</v>
      </c>
      <c r="H28" s="3455"/>
      <c r="I28" s="3455"/>
      <c r="J28" s="3455"/>
      <c r="K28" s="3467"/>
    </row>
    <row r="29" spans="1:33" s="541" customFormat="1" ht="13.5" customHeight="1">
      <c r="A29" s="3469" t="s">
        <v>3552</v>
      </c>
      <c r="B29" s="3326" t="s">
        <v>3557</v>
      </c>
      <c r="C29" s="2722">
        <f ca="1">ROUND((C16+C23)*F28,0)</f>
        <v>4919</v>
      </c>
      <c r="D29" s="1037"/>
      <c r="E29" s="1037"/>
      <c r="F29" s="2794"/>
      <c r="G29" s="4741"/>
      <c r="H29" s="3462"/>
      <c r="I29" s="3462"/>
      <c r="J29" s="3462"/>
      <c r="K29" s="3472"/>
    </row>
    <row r="30" spans="1:33" s="549" customFormat="1" ht="13.5" customHeight="1">
      <c r="A30" s="3469" t="s">
        <v>3553</v>
      </c>
      <c r="B30" s="3326" t="s">
        <v>3558</v>
      </c>
      <c r="C30" s="2566">
        <f ca="1">ROUND(F24*F28,4)</f>
        <v>3.0000000000000001E-3</v>
      </c>
      <c r="D30" s="3346"/>
      <c r="E30" s="3344"/>
      <c r="F30" s="3334"/>
      <c r="G30" s="3463"/>
      <c r="H30" s="544"/>
      <c r="I30" s="544"/>
      <c r="J30" s="544"/>
      <c r="K30" s="545"/>
    </row>
    <row r="31" spans="1:33" s="549" customFormat="1" ht="13.5" customHeight="1">
      <c r="A31" s="3468" t="s">
        <v>3549</v>
      </c>
      <c r="B31" s="3336" t="s">
        <v>3561</v>
      </c>
      <c r="C31" s="2566">
        <v>0</v>
      </c>
      <c r="D31" s="3347"/>
      <c r="E31" s="3348"/>
      <c r="F31" s="3334"/>
      <c r="G31" s="3464" t="s">
        <v>3529</v>
      </c>
      <c r="H31" s="544"/>
      <c r="I31" s="544"/>
      <c r="J31" s="544"/>
      <c r="K31" s="545"/>
    </row>
    <row r="32" spans="1:33" s="541" customFormat="1" ht="13.5" customHeight="1">
      <c r="A32" s="3468" t="s">
        <v>3550</v>
      </c>
      <c r="B32" s="3336" t="s">
        <v>3597</v>
      </c>
      <c r="C32" s="3337">
        <f ca="1">ROUND((C16+C23+C26+C29)/(1-F24-C27-C30),0)</f>
        <v>39664</v>
      </c>
      <c r="D32" s="3347"/>
      <c r="E32" s="3348"/>
      <c r="F32" s="3334"/>
      <c r="G32" s="3465" t="s">
        <v>3530</v>
      </c>
      <c r="H32" s="3466"/>
      <c r="I32" s="3466"/>
      <c r="J32" s="3466"/>
      <c r="K32" s="3473"/>
    </row>
    <row r="33" spans="1:11" s="176" customFormat="1" ht="13.5" customHeight="1">
      <c r="A33" s="3468" t="s">
        <v>3551</v>
      </c>
      <c r="B33" s="3349" t="s">
        <v>3541</v>
      </c>
      <c r="C33" s="3350">
        <f ca="1">ROUND(C32*(1-F33),0)</f>
        <v>3173</v>
      </c>
      <c r="D33" s="3351"/>
      <c r="E33" s="3135"/>
      <c r="F33" s="3354">
        <f>IF('数据-取费表'!B24=0,'数据-取费表'!N16,1)</f>
        <v>0.92</v>
      </c>
      <c r="G33" s="3457" t="s">
        <v>3542</v>
      </c>
      <c r="H33" s="3462"/>
      <c r="I33" s="3462"/>
      <c r="J33" s="3462"/>
      <c r="K33" s="3472"/>
    </row>
    <row r="34" spans="1:11" s="539" customFormat="1" ht="16.2" thickBot="1">
      <c r="A34" s="3474">
        <v>4</v>
      </c>
      <c r="B34" s="3475" t="s">
        <v>3599</v>
      </c>
      <c r="C34" s="3476">
        <f ca="1">C13-C15</f>
        <v>-36491</v>
      </c>
      <c r="D34" s="3475"/>
      <c r="E34" s="3475"/>
      <c r="F34" s="3477"/>
      <c r="G34" s="3478" t="s">
        <v>3627</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322" t="s">
        <v>3520</v>
      </c>
      <c r="B1" s="3330"/>
      <c r="C1" s="2905"/>
      <c r="D1" s="93"/>
      <c r="E1" s="93"/>
      <c r="F1" s="93"/>
      <c r="G1" s="778">
        <f>MATCH(C1,'数据-取费表'!A6:A16,0)+5</f>
        <v>10</v>
      </c>
    </row>
    <row r="2" spans="1:7" s="95" customFormat="1" ht="15.6">
      <c r="A2" s="96" t="s">
        <v>1433</v>
      </c>
      <c r="B2" s="2588">
        <f ca="1">C34</f>
        <v>2235</v>
      </c>
      <c r="C2" s="94" t="s">
        <v>1434</v>
      </c>
      <c r="D2" s="94"/>
      <c r="E2" s="2575"/>
      <c r="F2" s="94"/>
      <c r="G2" s="94"/>
    </row>
    <row r="3" spans="1:7" s="95" customFormat="1" ht="15.6">
      <c r="A3" s="98" t="s">
        <v>1435</v>
      </c>
      <c r="B3" s="2589">
        <f ca="1">ROUND(B2*10000/(IF(C1="",'数据-汇总表'!E3,INDIRECT("'数据-取费表'!k"&amp;$G$1))),0)</f>
        <v>389</v>
      </c>
      <c r="C3" s="94" t="s">
        <v>1436</v>
      </c>
      <c r="D3" s="94"/>
      <c r="E3" s="2575"/>
      <c r="F3" s="94"/>
      <c r="G3" s="94"/>
    </row>
    <row r="4" spans="1:7" s="95" customFormat="1" ht="15.6">
      <c r="A4" s="3492" t="s">
        <v>3634</v>
      </c>
      <c r="B4" s="2588">
        <f ca="1">ROUND(B2*10000/'数据-汇总表'!D3,0)</f>
        <v>1359</v>
      </c>
      <c r="C4" s="96" t="s">
        <v>3636</v>
      </c>
      <c r="D4" s="94"/>
      <c r="E4" s="2575"/>
      <c r="F4" s="94"/>
      <c r="G4" s="94"/>
    </row>
    <row r="5" spans="1:7" s="95" customFormat="1" ht="16.2" thickBot="1">
      <c r="A5" s="94"/>
      <c r="B5" s="3501">
        <f ca="1">ROUND(B2/('数据-汇总表'!D3/666.67),0)</f>
        <v>91</v>
      </c>
      <c r="C5" s="3486" t="s">
        <v>3635</v>
      </c>
      <c r="D5" s="94"/>
      <c r="E5" s="2575"/>
      <c r="F5" s="94"/>
      <c r="G5" s="94"/>
    </row>
    <row r="6" spans="1:7" s="95" customFormat="1" ht="15.6">
      <c r="A6" s="3374" t="s">
        <v>3326</v>
      </c>
      <c r="B6" s="3375" t="s">
        <v>3327</v>
      </c>
      <c r="C6" s="3376" t="s">
        <v>3962</v>
      </c>
      <c r="D6" s="3377" t="s">
        <v>3332</v>
      </c>
      <c r="E6" s="3378" t="s">
        <v>3333</v>
      </c>
      <c r="F6" s="3378" t="s">
        <v>3334</v>
      </c>
      <c r="G6" s="3379" t="s">
        <v>3328</v>
      </c>
    </row>
    <row r="7" spans="1:7" s="103" customFormat="1" ht="15.6">
      <c r="A7" s="3380" t="s">
        <v>3325</v>
      </c>
      <c r="B7" s="2568" t="s">
        <v>3579</v>
      </c>
      <c r="C7" s="2591">
        <f>IF(G7="征收国有地",C8,IF(G7="征收集体地",C11,C17))</f>
        <v>0</v>
      </c>
      <c r="D7" s="3362"/>
      <c r="E7" s="3362"/>
      <c r="F7" s="3362"/>
      <c r="G7" s="3437"/>
    </row>
    <row r="8" spans="1:7" s="109" customFormat="1">
      <c r="A8" s="3381" t="s">
        <v>3603</v>
      </c>
      <c r="B8" s="3369" t="s">
        <v>3574</v>
      </c>
      <c r="C8" s="2628">
        <f>C9+C10</f>
        <v>0</v>
      </c>
      <c r="D8" s="3328"/>
      <c r="E8" s="3328"/>
      <c r="F8" s="3328"/>
      <c r="G8" s="3360"/>
    </row>
    <row r="9" spans="1:7" s="109" customFormat="1">
      <c r="A9" s="2647" t="s">
        <v>1453</v>
      </c>
      <c r="B9" s="124" t="s">
        <v>3562</v>
      </c>
      <c r="C9" s="3513">
        <f>ROUND(D9*E9/10000,0)</f>
        <v>0</v>
      </c>
      <c r="D9" s="3358"/>
      <c r="E9" s="3358"/>
      <c r="F9" s="3328"/>
      <c r="G9" s="3382"/>
    </row>
    <row r="10" spans="1:7" s="109" customFormat="1">
      <c r="A10" s="2647" t="s">
        <v>1456</v>
      </c>
      <c r="B10" s="124" t="s">
        <v>3563</v>
      </c>
      <c r="C10" s="3513">
        <f>ROUND(D10*E10/10000,0)</f>
        <v>0</v>
      </c>
      <c r="D10" s="3358"/>
      <c r="E10" s="3358"/>
      <c r="F10" s="3328"/>
      <c r="G10" s="3382"/>
    </row>
    <row r="11" spans="1:7" s="109" customFormat="1" ht="14.4">
      <c r="A11" s="3329" t="s">
        <v>3585</v>
      </c>
      <c r="B11" s="3432" t="s">
        <v>3575</v>
      </c>
      <c r="C11" s="136">
        <f>C12+C15+C16</f>
        <v>0</v>
      </c>
      <c r="D11" s="3328"/>
      <c r="E11" s="3328"/>
      <c r="F11" s="3328"/>
      <c r="G11" s="3382"/>
    </row>
    <row r="12" spans="1:7" s="109" customFormat="1">
      <c r="A12" s="2647" t="s">
        <v>1453</v>
      </c>
      <c r="B12" s="124" t="s">
        <v>3564</v>
      </c>
      <c r="C12" s="124">
        <f>C13+C14</f>
        <v>0</v>
      </c>
      <c r="D12" s="1020"/>
      <c r="E12" s="1020"/>
      <c r="F12" s="3328"/>
      <c r="G12" s="3383" t="s">
        <v>3565</v>
      </c>
    </row>
    <row r="13" spans="1:7" s="109" customFormat="1">
      <c r="A13" s="3433" t="s">
        <v>3587</v>
      </c>
      <c r="B13" s="3434" t="s">
        <v>3586</v>
      </c>
      <c r="C13" s="3513">
        <f>ROUND(D13*E13/10000,0)</f>
        <v>0</v>
      </c>
      <c r="D13" s="3358"/>
      <c r="E13" s="3358"/>
      <c r="F13" s="3328"/>
      <c r="G13" s="3384" t="s">
        <v>3667</v>
      </c>
    </row>
    <row r="14" spans="1:7" s="109" customFormat="1">
      <c r="A14" s="3433" t="s">
        <v>3589</v>
      </c>
      <c r="B14" s="3434" t="s">
        <v>3588</v>
      </c>
      <c r="C14" s="3358">
        <v>0</v>
      </c>
      <c r="D14" s="1020"/>
      <c r="E14" s="1020"/>
      <c r="F14" s="3328"/>
      <c r="G14" s="3384"/>
    </row>
    <row r="15" spans="1:7" s="109" customFormat="1">
      <c r="A15" s="2647" t="s">
        <v>1456</v>
      </c>
      <c r="B15" s="124" t="s">
        <v>3566</v>
      </c>
      <c r="C15" s="3513">
        <f t="shared" ref="C15" si="0">ROUND(D15*E15/10000,0)</f>
        <v>0</v>
      </c>
      <c r="D15" s="3358"/>
      <c r="E15" s="3358"/>
      <c r="F15" s="3328"/>
      <c r="G15" s="3384" t="s">
        <v>3567</v>
      </c>
    </row>
    <row r="16" spans="1:7" s="109" customFormat="1">
      <c r="A16" s="2647" t="s">
        <v>3578</v>
      </c>
      <c r="B16" s="3370" t="s">
        <v>3568</v>
      </c>
      <c r="C16" s="3513">
        <f>C13*F16</f>
        <v>0</v>
      </c>
      <c r="D16" s="3358"/>
      <c r="E16" s="3358"/>
      <c r="F16" s="3514">
        <v>0.25</v>
      </c>
      <c r="G16" s="3447" t="s">
        <v>3569</v>
      </c>
    </row>
    <row r="17" spans="1:9" s="109" customFormat="1" ht="14.4">
      <c r="A17" s="3329" t="s">
        <v>337</v>
      </c>
      <c r="B17" s="3369" t="s">
        <v>3576</v>
      </c>
      <c r="C17" s="2587">
        <f>C18+C19</f>
        <v>0</v>
      </c>
      <c r="D17" s="3439"/>
      <c r="E17" s="3440"/>
      <c r="F17" s="2619"/>
      <c r="G17" s="3448"/>
    </row>
    <row r="18" spans="1:9" s="109" customFormat="1">
      <c r="A18" s="3327" t="s">
        <v>347</v>
      </c>
      <c r="B18" s="3370" t="s">
        <v>1444</v>
      </c>
      <c r="C18" s="3125"/>
      <c r="D18" s="3441"/>
      <c r="E18" s="3440"/>
      <c r="F18" s="2618"/>
      <c r="G18" s="3515" t="s">
        <v>3668</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6">
      <c r="A20" s="3380" t="s">
        <v>3604</v>
      </c>
      <c r="B20" s="2568" t="s">
        <v>3577</v>
      </c>
      <c r="C20" s="2600">
        <f ca="1">C21+C24+C25</f>
        <v>2468</v>
      </c>
      <c r="D20" s="3442"/>
      <c r="E20" s="3443"/>
      <c r="F20" s="2623"/>
      <c r="G20" s="3449"/>
    </row>
    <row r="21" spans="1:9" s="118" customFormat="1" ht="14.4">
      <c r="A21" s="3385" t="s">
        <v>3600</v>
      </c>
      <c r="B21" s="3363" t="s">
        <v>3318</v>
      </c>
      <c r="C21" s="2628">
        <f>IF(G21="已包含在土地购买价格中","0",IF(C1="",'数据-取费表'!B29,IF(G22="全部缴纳",C22+C23,H22)))</f>
        <v>0</v>
      </c>
      <c r="D21" s="3444"/>
      <c r="E21" s="3445"/>
      <c r="F21" s="3359"/>
      <c r="G21" s="1364"/>
    </row>
    <row r="22" spans="1:9" s="109" customFormat="1">
      <c r="A22" s="2570" t="s">
        <v>3583</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3584</v>
      </c>
      <c r="B23" s="3364" t="s">
        <v>1451</v>
      </c>
      <c r="C23" s="2627">
        <f ca="1">ROUND(D23*E23/10000,0)</f>
        <v>1148</v>
      </c>
      <c r="D23" s="3356">
        <f ca="1">IF(C1="",'数据-汇总表'!E6,IF(INDIRECT("'数据-取费表'!c"&amp;$G$1)="住宅",INDIRECT("'数据-取费表'!s"&amp;$G$1),INDIRECT("'数据-取费表'!k"&amp;$G$1)+INDIRECT("'数据-取费表'!s"&amp;$G$1)))</f>
        <v>57408.26</v>
      </c>
      <c r="E23" s="3356">
        <f>'数据-取费表'!B28</f>
        <v>200</v>
      </c>
      <c r="F23" s="2619"/>
      <c r="G23" s="3450"/>
    </row>
    <row r="24" spans="1:9" s="109" customFormat="1" ht="14.4">
      <c r="A24" s="3329" t="s">
        <v>3585</v>
      </c>
      <c r="B24" s="3365" t="s">
        <v>3601</v>
      </c>
      <c r="C24" s="2628">
        <f ca="1">IF(G24="已包含在土地取得成本中","0",ROUND(D24*E24/10000,0))</f>
        <v>746</v>
      </c>
      <c r="D24" s="3357">
        <f ca="1">D22+D23</f>
        <v>57408.26</v>
      </c>
      <c r="E24" s="3357">
        <f>'数据-取费表'!B31</f>
        <v>130</v>
      </c>
      <c r="F24" s="3366"/>
      <c r="G24" s="1364"/>
    </row>
    <row r="25" spans="1:9" s="109" customFormat="1" ht="14.4">
      <c r="A25" s="3329" t="s">
        <v>337</v>
      </c>
      <c r="B25" s="3365" t="s">
        <v>3602</v>
      </c>
      <c r="C25" s="2628">
        <f ca="1">ROUND(E25*D25/10000,0)</f>
        <v>1722</v>
      </c>
      <c r="D25" s="3357">
        <f ca="1">D24</f>
        <v>57408.26</v>
      </c>
      <c r="E25" s="3357">
        <f>'数据-取费表'!B35</f>
        <v>300</v>
      </c>
      <c r="F25" s="3359"/>
      <c r="G25" s="3451"/>
    </row>
    <row r="26" spans="1:9" s="103" customFormat="1" ht="15.6">
      <c r="A26" s="3380" t="s">
        <v>3605</v>
      </c>
      <c r="B26" s="2568" t="s">
        <v>3606</v>
      </c>
      <c r="C26" s="2588">
        <f>C27+C28</f>
        <v>0</v>
      </c>
      <c r="D26" s="3446"/>
      <c r="E26" s="3446"/>
      <c r="F26" s="3359"/>
      <c r="G26" s="3452"/>
    </row>
    <row r="27" spans="1:9" s="109" customFormat="1">
      <c r="A27" s="3381" t="s">
        <v>3603</v>
      </c>
      <c r="B27" s="3367" t="s">
        <v>3570</v>
      </c>
      <c r="C27" s="2628">
        <f>ROUND(E27*D27/10000,0)</f>
        <v>0</v>
      </c>
      <c r="D27" s="3368"/>
      <c r="E27" s="3390">
        <v>25</v>
      </c>
      <c r="F27" s="3359"/>
      <c r="G27" s="3447" t="s">
        <v>3571</v>
      </c>
    </row>
    <row r="28" spans="1:9" s="109" customFormat="1">
      <c r="A28" s="3386" t="s">
        <v>3585</v>
      </c>
      <c r="B28" s="3367" t="s">
        <v>3572</v>
      </c>
      <c r="C28" s="2628">
        <f>ROUND(E28*D28/10000,0)</f>
        <v>0</v>
      </c>
      <c r="D28" s="3368"/>
      <c r="E28" s="3390">
        <v>60.1</v>
      </c>
      <c r="F28" s="3359"/>
      <c r="G28" s="3447" t="s">
        <v>3573</v>
      </c>
    </row>
    <row r="29" spans="1:9" s="2599" customFormat="1" ht="15.6">
      <c r="A29" s="3380" t="s">
        <v>3607</v>
      </c>
      <c r="B29" s="2568" t="s">
        <v>3608</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6">
      <c r="A30" s="3380" t="s">
        <v>3609</v>
      </c>
      <c r="B30" s="2568" t="s">
        <v>3610</v>
      </c>
      <c r="C30" s="2606">
        <f ca="1">ROUND((C7+C20+C26)*F30,0)</f>
        <v>370</v>
      </c>
      <c r="D30" s="2604"/>
      <c r="E30" s="296"/>
      <c r="F30" s="3371">
        <f ca="1">IF(C1="",'数据-取费表'!Q16,INDIRECT("'数据-取费表'!q"&amp;$G$1))</f>
        <v>0.15</v>
      </c>
      <c r="G30" s="3453"/>
    </row>
    <row r="31" spans="1:9" s="109" customFormat="1" ht="15.6">
      <c r="A31" s="2569" t="s">
        <v>3590</v>
      </c>
      <c r="B31" s="2568" t="s">
        <v>3582</v>
      </c>
      <c r="C31" s="2591">
        <f ca="1">C7+C20+C29+C30</f>
        <v>2838</v>
      </c>
      <c r="D31" s="2581"/>
      <c r="E31" s="2581"/>
      <c r="F31" s="2580"/>
      <c r="G31" s="2582" t="s">
        <v>3613</v>
      </c>
    </row>
    <row r="32" spans="1:9" s="109" customFormat="1" ht="15.6">
      <c r="A32" s="2569" t="s">
        <v>3581</v>
      </c>
      <c r="B32" s="2568" t="s">
        <v>3580</v>
      </c>
      <c r="C32" s="3436">
        <f ca="1">ROUND(C31*F32,0)</f>
        <v>284</v>
      </c>
      <c r="D32" s="130"/>
      <c r="E32" s="131"/>
      <c r="F32" s="3372">
        <v>0.1</v>
      </c>
      <c r="G32" s="3454"/>
    </row>
    <row r="33" spans="1:7" s="109" customFormat="1" ht="15.6">
      <c r="A33" s="3435">
        <v>8</v>
      </c>
      <c r="B33" s="2568" t="s">
        <v>3592</v>
      </c>
      <c r="C33" s="2591">
        <f ca="1">C31+C32</f>
        <v>3122</v>
      </c>
      <c r="D33" s="2581"/>
      <c r="E33" s="2581"/>
      <c r="F33" s="3373"/>
      <c r="G33" s="2582" t="s">
        <v>3612</v>
      </c>
    </row>
    <row r="34" spans="1:7" s="118" customFormat="1" ht="16.2" thickBot="1">
      <c r="A34" s="3387">
        <v>9</v>
      </c>
      <c r="B34" s="3388" t="s">
        <v>3591</v>
      </c>
      <c r="C34" s="2591">
        <f ca="1">ROUND(C33*F34,0)</f>
        <v>2235</v>
      </c>
      <c r="D34" s="3389"/>
      <c r="E34" s="3389"/>
      <c r="F34" s="3438">
        <f>'数据-取费表'!AS16</f>
        <v>0.71599999999999997</v>
      </c>
      <c r="G34" s="2582" t="s">
        <v>3614</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353" t="str">
        <f>IF(项目基本情况!B9="房地产市场价值","估价结果一览表","结果表-2")</f>
        <v>结果表-2</v>
      </c>
      <c r="B1" s="4353"/>
      <c r="C1" s="4353"/>
      <c r="D1" s="4353"/>
      <c r="E1" s="4353"/>
      <c r="F1" s="4353"/>
      <c r="G1" s="4353"/>
      <c r="H1" s="4353"/>
      <c r="I1" s="4353"/>
    </row>
    <row r="2" spans="1:9" ht="30" customHeight="1" thickTop="1">
      <c r="A2" s="4354" t="s">
        <v>913</v>
      </c>
      <c r="B2" s="4354" t="s">
        <v>914</v>
      </c>
      <c r="C2" s="4354" t="s">
        <v>915</v>
      </c>
      <c r="D2" s="4354" t="str">
        <f>结果表!D116</f>
        <v>出让国有建设用地使用权价值</v>
      </c>
      <c r="E2" s="4354"/>
      <c r="F2" s="4354">
        <f>结果表!F116</f>
        <v>0</v>
      </c>
      <c r="G2" s="4354"/>
      <c r="H2" s="4354" t="str">
        <f>IF(项目基本情况!B9="房地产市场价值","房地产市场价值","房地产价值")</f>
        <v>房地产价值</v>
      </c>
      <c r="I2" s="4354"/>
    </row>
    <row r="3" spans="1:9" ht="15.6">
      <c r="A3" s="4349"/>
      <c r="B3" s="4349"/>
      <c r="C3" s="4349"/>
      <c r="D3" s="562" t="s">
        <v>910</v>
      </c>
      <c r="E3" s="562" t="s">
        <v>916</v>
      </c>
      <c r="F3" s="562" t="s">
        <v>910</v>
      </c>
      <c r="G3" s="562" t="s">
        <v>911</v>
      </c>
      <c r="H3" s="562" t="s">
        <v>910</v>
      </c>
      <c r="I3" s="562" t="s">
        <v>911</v>
      </c>
    </row>
    <row r="4" spans="1:9" ht="15">
      <c r="A4" s="1073" t="str">
        <f>项目基本情况!S2</f>
        <v>北京市房地产</v>
      </c>
      <c r="B4" s="562">
        <f>项目基本情况!C17</f>
        <v>57408.26</v>
      </c>
      <c r="C4" s="562">
        <f>项目基本情况!C18</f>
        <v>16447.62</v>
      </c>
      <c r="D4" s="562">
        <f ca="1">结果表!D118</f>
        <v>168398</v>
      </c>
      <c r="E4" s="562">
        <f ca="1">结果表!E118</f>
        <v>29333</v>
      </c>
      <c r="F4" s="562">
        <f ca="1">结果表!F118</f>
        <v>0</v>
      </c>
      <c r="G4" s="562">
        <f ca="1">结果表!G118</f>
        <v>0</v>
      </c>
      <c r="H4" s="562">
        <f ca="1">结果表!H118</f>
        <v>168398</v>
      </c>
      <c r="I4" s="562">
        <f ca="1">结果表!I118</f>
        <v>29333</v>
      </c>
    </row>
    <row r="5" spans="1:9" ht="30" customHeight="1">
      <c r="A5" s="4349" t="s">
        <v>912</v>
      </c>
      <c r="B5" s="4349"/>
      <c r="C5" s="4349"/>
      <c r="D5" s="4349" t="str">
        <f ca="1">结果表!D119</f>
        <v>壹拾陆亿捌仟叁佰玖拾捌万元整</v>
      </c>
      <c r="E5" s="4349"/>
      <c r="F5" s="4349" t="str">
        <f ca="1">结果表!F119</f>
        <v>零元整</v>
      </c>
      <c r="G5" s="4349"/>
      <c r="H5" s="4349" t="str">
        <f ca="1">结果表!H119</f>
        <v>壹拾陆亿捌仟叁佰玖拾捌万元整</v>
      </c>
      <c r="I5" s="4349"/>
    </row>
    <row r="6" spans="1:9" ht="15.6">
      <c r="A6" s="4348" t="str">
        <f>结果表!A120</f>
        <v>估价师知悉的法定优先受偿款</v>
      </c>
      <c r="B6" s="4348"/>
      <c r="C6" s="4348"/>
      <c r="D6" s="4348">
        <f>结果表!H120</f>
        <v>0</v>
      </c>
      <c r="E6" s="4348"/>
      <c r="F6" s="4348"/>
      <c r="G6" s="4348"/>
      <c r="H6" s="4348"/>
      <c r="I6" s="4348"/>
    </row>
    <row r="7" spans="1:9" ht="15">
      <c r="A7" s="4349" t="s">
        <v>912</v>
      </c>
      <c r="B7" s="4349"/>
      <c r="C7" s="4349"/>
      <c r="D7" s="4350" t="str">
        <f>结果表!H121</f>
        <v>零元整</v>
      </c>
      <c r="E7" s="4351"/>
      <c r="F7" s="4351"/>
      <c r="G7" s="4351"/>
      <c r="H7" s="4351"/>
      <c r="I7" s="4352"/>
    </row>
    <row r="8" spans="1:9" ht="15.6">
      <c r="A8" s="4348" t="str">
        <f>结果表!A122</f>
        <v>房地产抵押价值</v>
      </c>
      <c r="B8" s="4348"/>
      <c r="C8" s="4348"/>
      <c r="D8" s="4348">
        <f ca="1">结果表!H122</f>
        <v>168398</v>
      </c>
      <c r="E8" s="4348"/>
      <c r="F8" s="4348"/>
      <c r="G8" s="4348"/>
      <c r="H8" s="4348"/>
      <c r="I8" s="4348"/>
    </row>
    <row r="9" spans="1:9" ht="15">
      <c r="A9" s="4349" t="s">
        <v>912</v>
      </c>
      <c r="B9" s="4349"/>
      <c r="C9" s="4349"/>
      <c r="D9" s="4349" t="str">
        <f ca="1">结果表!H123</f>
        <v>壹拾陆亿捌仟叁佰玖拾捌万元整</v>
      </c>
      <c r="E9" s="4349"/>
      <c r="F9" s="4349"/>
      <c r="G9" s="4349"/>
      <c r="H9" s="4349"/>
      <c r="I9" s="4349"/>
    </row>
    <row r="10" spans="1:9" ht="15.6">
      <c r="A10" s="4348" t="str">
        <f>结果表!A124</f>
        <v/>
      </c>
      <c r="B10" s="4348"/>
      <c r="C10" s="4348"/>
      <c r="D10" s="4348" t="str">
        <f>结果表!H124</f>
        <v>——</v>
      </c>
      <c r="E10" s="4348"/>
      <c r="F10" s="4348"/>
      <c r="G10" s="4348"/>
      <c r="H10" s="4348"/>
      <c r="I10" s="4348"/>
    </row>
    <row r="11" spans="1:9" ht="15">
      <c r="A11" s="4349" t="s">
        <v>912</v>
      </c>
      <c r="B11" s="4349"/>
      <c r="C11" s="4349"/>
      <c r="D11" s="4349" t="e">
        <f>结果表!H125</f>
        <v>#VALUE!</v>
      </c>
      <c r="E11" s="4349"/>
      <c r="F11" s="4349"/>
      <c r="G11" s="4349"/>
      <c r="H11" s="4349"/>
      <c r="I11" s="4349"/>
    </row>
    <row r="12" spans="1:9" ht="15.6">
      <c r="A12" s="4348" t="str">
        <f>结果表!A126</f>
        <v/>
      </c>
      <c r="B12" s="4348"/>
      <c r="C12" s="4348"/>
      <c r="D12" s="4348" t="str">
        <f>结果表!H126</f>
        <v>——</v>
      </c>
      <c r="E12" s="4348"/>
      <c r="F12" s="4348"/>
      <c r="G12" s="4348"/>
      <c r="H12" s="4348"/>
      <c r="I12" s="4348"/>
    </row>
    <row r="13" spans="1:9" ht="15.6" thickBot="1">
      <c r="A13" s="4346" t="s">
        <v>912</v>
      </c>
      <c r="B13" s="4346"/>
      <c r="C13" s="4346"/>
      <c r="D13" s="4346" t="e">
        <f>结果表!H127</f>
        <v>#VALUE!</v>
      </c>
      <c r="E13" s="4346"/>
      <c r="F13" s="4346"/>
      <c r="G13" s="4346"/>
      <c r="H13" s="4346"/>
      <c r="I13" s="4346"/>
    </row>
    <row r="14" spans="1:9" ht="14.4" thickTop="1">
      <c r="A14" s="4347" t="s">
        <v>917</v>
      </c>
      <c r="B14" s="4347"/>
      <c r="C14" s="4347"/>
      <c r="D14" s="4347"/>
      <c r="E14" s="4347"/>
      <c r="F14" s="4347"/>
      <c r="G14" s="4347"/>
      <c r="H14" s="4347"/>
      <c r="I14" s="4347"/>
    </row>
    <row r="16" spans="1:9" ht="17.399999999999999">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2" customWidth="1"/>
    <col min="14" max="14" width="10" style="2262" customWidth="1"/>
    <col min="15" max="16" width="8.21875" style="2262"/>
    <col min="17" max="17" width="34.109375" style="2262" customWidth="1"/>
    <col min="18" max="18" width="8.21875" style="2262" customWidth="1"/>
    <col min="19" max="19" width="8.21875" style="2262"/>
    <col min="20" max="20" width="11.6640625" style="2262" customWidth="1"/>
    <col min="21" max="16384" width="8.21875" style="2262"/>
  </cols>
  <sheetData>
    <row r="1" spans="1:13" ht="19.5" customHeight="1" thickBot="1">
      <c r="A1" s="2259" t="s">
        <v>2479</v>
      </c>
      <c r="B1" s="2260" t="s">
        <v>2480</v>
      </c>
      <c r="C1" s="2260" t="s">
        <v>2481</v>
      </c>
      <c r="D1" s="2260" t="s">
        <v>2482</v>
      </c>
      <c r="E1" s="2260" t="s">
        <v>2483</v>
      </c>
      <c r="F1" s="2260" t="s">
        <v>2484</v>
      </c>
      <c r="G1" s="2260" t="s">
        <v>2485</v>
      </c>
      <c r="H1" s="2260" t="s">
        <v>2486</v>
      </c>
      <c r="I1" s="2260" t="s">
        <v>2487</v>
      </c>
      <c r="J1" s="2260" t="s">
        <v>2488</v>
      </c>
      <c r="K1" s="2260" t="s">
        <v>2489</v>
      </c>
      <c r="L1" s="2260" t="s">
        <v>2490</v>
      </c>
      <c r="M1" s="2261" t="s">
        <v>2491</v>
      </c>
    </row>
    <row r="2" spans="1:13" ht="19.5" customHeight="1">
      <c r="A2" s="2263" t="s">
        <v>2492</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2493</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2494</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2495</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2496</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2497</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2498</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2499</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2500</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2501</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2502</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2503</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2504</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2505</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2506</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2507</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2508</v>
      </c>
      <c r="B18" s="2272"/>
      <c r="C18" s="2273"/>
      <c r="D18" s="2273"/>
      <c r="E18" s="2272"/>
      <c r="F18" s="2273"/>
      <c r="G18" s="2273"/>
    </row>
    <row r="19" spans="1:13" ht="19.5" customHeight="1" thickBot="1">
      <c r="A19" s="2271" t="s">
        <v>2509</v>
      </c>
      <c r="B19" s="2275" t="s">
        <v>2510</v>
      </c>
      <c r="C19" s="2275" t="s">
        <v>2511</v>
      </c>
      <c r="D19" s="2276"/>
      <c r="E19" s="2271" t="s">
        <v>2512</v>
      </c>
      <c r="F19" s="2277"/>
      <c r="G19" s="2277"/>
    </row>
    <row r="20" spans="1:13" ht="19.5" customHeight="1">
      <c r="A20" s="4753" t="s">
        <v>2492</v>
      </c>
      <c r="B20" s="4746" t="s">
        <v>2513</v>
      </c>
      <c r="C20" s="2557" t="s">
        <v>2324</v>
      </c>
      <c r="D20" s="2557"/>
      <c r="E20" s="3161">
        <v>1</v>
      </c>
      <c r="F20" s="2280" t="s">
        <v>2325</v>
      </c>
      <c r="G20" s="2280"/>
    </row>
    <row r="21" spans="1:13" ht="19.5" customHeight="1">
      <c r="A21" s="4754"/>
      <c r="B21" s="4742"/>
      <c r="C21" s="2289" t="s">
        <v>2326</v>
      </c>
      <c r="D21" s="2289"/>
      <c r="E21" s="3162">
        <v>1</v>
      </c>
      <c r="F21" s="2280" t="s">
        <v>2327</v>
      </c>
      <c r="G21" s="2280"/>
    </row>
    <row r="22" spans="1:13" ht="19.5" customHeight="1">
      <c r="A22" s="4754"/>
      <c r="B22" s="4742"/>
      <c r="C22" s="2289" t="s">
        <v>2328</v>
      </c>
      <c r="D22" s="2289"/>
      <c r="E22" s="3162">
        <v>0.9</v>
      </c>
      <c r="F22" s="2280" t="s">
        <v>2329</v>
      </c>
      <c r="G22" s="2280"/>
    </row>
    <row r="23" spans="1:13" ht="19.5" customHeight="1">
      <c r="A23" s="4754"/>
      <c r="B23" s="4742"/>
      <c r="C23" s="2289" t="s">
        <v>2330</v>
      </c>
      <c r="D23" s="2289"/>
      <c r="E23" s="3162">
        <v>0.9</v>
      </c>
      <c r="F23" s="2280" t="s">
        <v>2331</v>
      </c>
      <c r="G23" s="2280"/>
    </row>
    <row r="24" spans="1:13" ht="19.5" customHeight="1">
      <c r="A24" s="4754"/>
      <c r="B24" s="4742"/>
      <c r="C24" s="2289" t="s">
        <v>2332</v>
      </c>
      <c r="D24" s="2289"/>
      <c r="E24" s="3162">
        <v>0.8</v>
      </c>
      <c r="F24" s="2280" t="s">
        <v>2333</v>
      </c>
      <c r="G24" s="2280"/>
    </row>
    <row r="25" spans="1:13" ht="19.5" customHeight="1">
      <c r="A25" s="4754"/>
      <c r="B25" s="4742"/>
      <c r="C25" s="2289" t="s">
        <v>2334</v>
      </c>
      <c r="D25" s="2289"/>
      <c r="E25" s="3162">
        <v>0.8</v>
      </c>
      <c r="F25" s="2280"/>
      <c r="G25" s="2280"/>
    </row>
    <row r="26" spans="1:13" ht="19.5" customHeight="1">
      <c r="A26" s="4754"/>
      <c r="B26" s="4742"/>
      <c r="C26" s="2289" t="s">
        <v>3273</v>
      </c>
      <c r="D26" s="2289"/>
      <c r="E26" s="3162">
        <v>0.43</v>
      </c>
      <c r="F26" s="2280"/>
      <c r="G26" s="2280"/>
    </row>
    <row r="27" spans="1:13" ht="19.5" customHeight="1" thickBot="1">
      <c r="A27" s="4755"/>
      <c r="B27" s="4747"/>
      <c r="C27" s="2554" t="s">
        <v>3274</v>
      </c>
      <c r="D27" s="2554"/>
      <c r="E27" s="3163">
        <f>E26*0.9</f>
        <v>0.38700000000000001</v>
      </c>
      <c r="F27" s="2280" t="s">
        <v>2335</v>
      </c>
      <c r="G27" s="2280"/>
    </row>
    <row r="28" spans="1:13" ht="19.5" customHeight="1" thickBot="1">
      <c r="A28" s="2553" t="s">
        <v>2514</v>
      </c>
      <c r="B28" s="2552" t="s">
        <v>2513</v>
      </c>
      <c r="C28" s="2555" t="s">
        <v>2515</v>
      </c>
      <c r="D28" s="2556"/>
      <c r="E28" s="3164">
        <v>1</v>
      </c>
      <c r="F28" s="2280" t="s">
        <v>2336</v>
      </c>
      <c r="G28" s="2280"/>
    </row>
    <row r="29" spans="1:13" ht="19.5" customHeight="1">
      <c r="A29" s="4748" t="s">
        <v>2516</v>
      </c>
      <c r="B29" s="4751" t="s">
        <v>2497</v>
      </c>
      <c r="C29" s="2278" t="s">
        <v>2337</v>
      </c>
      <c r="D29" s="2279"/>
      <c r="E29" s="3161">
        <v>1</v>
      </c>
      <c r="F29" s="2280" t="s">
        <v>2338</v>
      </c>
      <c r="G29" s="2280"/>
    </row>
    <row r="30" spans="1:13" ht="19.5" customHeight="1">
      <c r="A30" s="4749"/>
      <c r="B30" s="4745"/>
      <c r="C30" s="2281" t="s">
        <v>2339</v>
      </c>
      <c r="D30" s="2282"/>
      <c r="E30" s="3162">
        <v>1</v>
      </c>
      <c r="F30" s="2280" t="s">
        <v>2340</v>
      </c>
      <c r="G30" s="2280"/>
    </row>
    <row r="31" spans="1:13" ht="19.5" customHeight="1">
      <c r="A31" s="4749"/>
      <c r="B31" s="4745"/>
      <c r="C31" s="2281" t="s">
        <v>2341</v>
      </c>
      <c r="D31" s="2282"/>
      <c r="E31" s="3162">
        <v>0.8</v>
      </c>
      <c r="F31" s="2280" t="s">
        <v>2342</v>
      </c>
      <c r="G31" s="2280"/>
    </row>
    <row r="32" spans="1:13" ht="19.5" customHeight="1">
      <c r="A32" s="4749"/>
      <c r="B32" s="4745"/>
      <c r="C32" s="2281" t="s">
        <v>2343</v>
      </c>
      <c r="D32" s="2282"/>
      <c r="E32" s="3162">
        <v>0.8</v>
      </c>
      <c r="F32" s="2280" t="s">
        <v>2344</v>
      </c>
      <c r="G32" s="2280"/>
    </row>
    <row r="33" spans="1:7" ht="19.5" customHeight="1">
      <c r="A33" s="4749"/>
      <c r="B33" s="4745"/>
      <c r="C33" s="2281" t="s">
        <v>2345</v>
      </c>
      <c r="D33" s="2282"/>
      <c r="E33" s="3162">
        <v>0.8</v>
      </c>
      <c r="F33" s="2280" t="s">
        <v>2346</v>
      </c>
      <c r="G33" s="2280"/>
    </row>
    <row r="34" spans="1:7" ht="19.5" customHeight="1">
      <c r="A34" s="4749"/>
      <c r="B34" s="4745"/>
      <c r="C34" s="2281" t="s">
        <v>2347</v>
      </c>
      <c r="D34" s="2282"/>
      <c r="E34" s="3162">
        <v>0.7</v>
      </c>
      <c r="F34" s="2280" t="s">
        <v>2348</v>
      </c>
      <c r="G34" s="2280"/>
    </row>
    <row r="35" spans="1:7" ht="19.5" customHeight="1">
      <c r="A35" s="4749"/>
      <c r="B35" s="4745"/>
      <c r="C35" s="2281" t="s">
        <v>2349</v>
      </c>
      <c r="D35" s="2282"/>
      <c r="E35" s="3162">
        <v>0.8</v>
      </c>
      <c r="F35" s="2280" t="s">
        <v>2350</v>
      </c>
      <c r="G35" s="2280"/>
    </row>
    <row r="36" spans="1:7" ht="19.5" customHeight="1">
      <c r="A36" s="4749"/>
      <c r="B36" s="4745"/>
      <c r="C36" s="2281" t="s">
        <v>2351</v>
      </c>
      <c r="D36" s="2282"/>
      <c r="E36" s="3162">
        <v>0.6</v>
      </c>
      <c r="F36" s="2280" t="s">
        <v>2352</v>
      </c>
      <c r="G36" s="2280"/>
    </row>
    <row r="37" spans="1:7" ht="19.5" customHeight="1">
      <c r="A37" s="4749"/>
      <c r="B37" s="4745"/>
      <c r="C37" s="2281" t="s">
        <v>2353</v>
      </c>
      <c r="D37" s="2282"/>
      <c r="E37" s="3162">
        <v>0.2</v>
      </c>
      <c r="F37" s="2280" t="s">
        <v>2354</v>
      </c>
      <c r="G37" s="2280"/>
    </row>
    <row r="38" spans="1:7" ht="19.5" customHeight="1">
      <c r="A38" s="4749"/>
      <c r="B38" s="4745"/>
      <c r="C38" s="2281" t="s">
        <v>2355</v>
      </c>
      <c r="D38" s="2282"/>
      <c r="E38" s="3162">
        <v>0.2</v>
      </c>
      <c r="F38" s="2280" t="s">
        <v>2356</v>
      </c>
      <c r="G38" s="2280"/>
    </row>
    <row r="39" spans="1:7" ht="19.5" customHeight="1">
      <c r="A39" s="4749"/>
      <c r="B39" s="4743" t="s">
        <v>2517</v>
      </c>
      <c r="C39" s="2281" t="s">
        <v>2357</v>
      </c>
      <c r="D39" s="2282"/>
      <c r="E39" s="3162">
        <v>0.6</v>
      </c>
      <c r="F39" s="2280" t="s">
        <v>2358</v>
      </c>
      <c r="G39" s="2280"/>
    </row>
    <row r="40" spans="1:7" ht="19.5" customHeight="1">
      <c r="A40" s="4749"/>
      <c r="B40" s="4745"/>
      <c r="C40" s="2281" t="s">
        <v>2359</v>
      </c>
      <c r="D40" s="2282"/>
      <c r="E40" s="3162">
        <v>0.6</v>
      </c>
      <c r="F40" s="2280" t="s">
        <v>2360</v>
      </c>
      <c r="G40" s="2280"/>
    </row>
    <row r="41" spans="1:7" ht="19.5" customHeight="1" thickBot="1">
      <c r="A41" s="4750"/>
      <c r="B41" s="4752"/>
      <c r="C41" s="2283" t="s">
        <v>2361</v>
      </c>
      <c r="D41" s="2284"/>
      <c r="E41" s="3163">
        <v>0.6</v>
      </c>
      <c r="F41" s="2280" t="s">
        <v>2362</v>
      </c>
      <c r="G41" s="2280"/>
    </row>
    <row r="42" spans="1:7" ht="19.5" customHeight="1" thickBot="1">
      <c r="A42" s="2285" t="s">
        <v>2494</v>
      </c>
      <c r="B42" s="2286" t="s">
        <v>2494</v>
      </c>
      <c r="C42" s="2287" t="s">
        <v>2518</v>
      </c>
      <c r="D42" s="2288"/>
      <c r="E42" s="3165">
        <v>1</v>
      </c>
      <c r="F42" s="2280" t="s">
        <v>2363</v>
      </c>
      <c r="G42" s="2280"/>
    </row>
    <row r="43" spans="1:7" ht="19.5" customHeight="1">
      <c r="A43" s="4753" t="s">
        <v>2495</v>
      </c>
      <c r="B43" s="4751" t="s">
        <v>2519</v>
      </c>
      <c r="C43" s="2278" t="s">
        <v>2364</v>
      </c>
      <c r="D43" s="2279"/>
      <c r="E43" s="3161">
        <v>1</v>
      </c>
      <c r="F43" s="2280" t="s">
        <v>2365</v>
      </c>
      <c r="G43" s="2280"/>
    </row>
    <row r="44" spans="1:7" ht="19.5" customHeight="1">
      <c r="A44" s="4754"/>
      <c r="B44" s="4745"/>
      <c r="C44" s="2281" t="s">
        <v>2366</v>
      </c>
      <c r="D44" s="2282"/>
      <c r="E44" s="3162">
        <v>1</v>
      </c>
      <c r="F44" s="2280" t="s">
        <v>2367</v>
      </c>
      <c r="G44" s="2280"/>
    </row>
    <row r="45" spans="1:7" ht="19.5" customHeight="1">
      <c r="A45" s="4754"/>
      <c r="B45" s="4744"/>
      <c r="C45" s="2281" t="s">
        <v>2368</v>
      </c>
      <c r="D45" s="2282"/>
      <c r="E45" s="3162">
        <v>1.5</v>
      </c>
      <c r="F45" s="2280" t="s">
        <v>2369</v>
      </c>
      <c r="G45" s="2280"/>
    </row>
    <row r="46" spans="1:7" ht="19.5" customHeight="1">
      <c r="A46" s="4754"/>
      <c r="B46" s="2289" t="s">
        <v>2520</v>
      </c>
      <c r="C46" s="2281" t="s">
        <v>2521</v>
      </c>
      <c r="D46" s="2282"/>
      <c r="E46" s="3162">
        <v>2</v>
      </c>
      <c r="F46" s="2280" t="s">
        <v>2370</v>
      </c>
      <c r="G46" s="2280"/>
    </row>
    <row r="47" spans="1:7" ht="19.5" customHeight="1">
      <c r="A47" s="4754"/>
      <c r="B47" s="4743" t="s">
        <v>2522</v>
      </c>
      <c r="C47" s="2281" t="s">
        <v>2371</v>
      </c>
      <c r="D47" s="2282"/>
      <c r="E47" s="3162">
        <v>1</v>
      </c>
      <c r="F47" s="2280" t="s">
        <v>2372</v>
      </c>
      <c r="G47" s="2280"/>
    </row>
    <row r="48" spans="1:7" ht="19.5" customHeight="1">
      <c r="A48" s="4754"/>
      <c r="B48" s="4745"/>
      <c r="C48" s="2281" t="s">
        <v>2373</v>
      </c>
      <c r="D48" s="2282"/>
      <c r="E48" s="3162">
        <v>1</v>
      </c>
      <c r="F48" s="2280" t="s">
        <v>2374</v>
      </c>
      <c r="G48" s="2280"/>
    </row>
    <row r="49" spans="1:7" ht="19.5" customHeight="1">
      <c r="A49" s="4754"/>
      <c r="B49" s="4745"/>
      <c r="C49" s="2281" t="s">
        <v>2375</v>
      </c>
      <c r="D49" s="2282"/>
      <c r="E49" s="3162">
        <v>1</v>
      </c>
      <c r="F49" s="2280" t="s">
        <v>2376</v>
      </c>
      <c r="G49" s="2280"/>
    </row>
    <row r="50" spans="1:7" ht="19.5" customHeight="1">
      <c r="A50" s="4754"/>
      <c r="B50" s="4745"/>
      <c r="C50" s="2281" t="s">
        <v>2377</v>
      </c>
      <c r="D50" s="2282"/>
      <c r="E50" s="3162">
        <v>1</v>
      </c>
      <c r="F50" s="2280" t="s">
        <v>2378</v>
      </c>
      <c r="G50" s="2280"/>
    </row>
    <row r="51" spans="1:7" ht="19.5" customHeight="1">
      <c r="A51" s="4754"/>
      <c r="B51" s="4745"/>
      <c r="C51" s="2281" t="s">
        <v>2379</v>
      </c>
      <c r="D51" s="2282"/>
      <c r="E51" s="3162">
        <v>1</v>
      </c>
      <c r="F51" s="2280" t="s">
        <v>2380</v>
      </c>
      <c r="G51" s="2280"/>
    </row>
    <row r="52" spans="1:7" ht="19.5" customHeight="1">
      <c r="A52" s="4754"/>
      <c r="B52" s="4745"/>
      <c r="C52" s="2281" t="s">
        <v>2381</v>
      </c>
      <c r="D52" s="2282"/>
      <c r="E52" s="3162">
        <v>1</v>
      </c>
      <c r="F52" s="2280" t="s">
        <v>2382</v>
      </c>
      <c r="G52" s="2280"/>
    </row>
    <row r="53" spans="1:7" ht="19.5" customHeight="1" thickBot="1">
      <c r="A53" s="4755"/>
      <c r="B53" s="4752"/>
      <c r="C53" s="2283" t="s">
        <v>2383</v>
      </c>
      <c r="D53" s="2284"/>
      <c r="E53" s="3163">
        <v>1</v>
      </c>
      <c r="F53" s="2280" t="s">
        <v>2384</v>
      </c>
      <c r="G53" s="2280"/>
    </row>
    <row r="54" spans="1:7" ht="19.5" customHeight="1">
      <c r="A54" s="2290"/>
      <c r="B54" s="2290"/>
      <c r="C54" s="2290"/>
      <c r="D54" s="2290"/>
      <c r="E54" s="2290"/>
      <c r="F54" s="2290"/>
      <c r="G54" s="2290"/>
    </row>
    <row r="56" spans="1:7" ht="19.5" customHeight="1">
      <c r="A56" s="2291"/>
      <c r="B56" s="2269" t="s">
        <v>2523</v>
      </c>
      <c r="C56" s="2269" t="s">
        <v>2523</v>
      </c>
      <c r="D56" s="2269" t="s">
        <v>2523</v>
      </c>
      <c r="E56" s="2271" t="s">
        <v>2523</v>
      </c>
      <c r="F56" s="2271" t="s">
        <v>2524</v>
      </c>
      <c r="G56" s="2271" t="s">
        <v>2525</v>
      </c>
    </row>
    <row r="57" spans="1:7" ht="19.5" customHeight="1">
      <c r="A57" s="2292"/>
      <c r="B57" s="2271" t="s">
        <v>2492</v>
      </c>
      <c r="C57" s="2271" t="s">
        <v>2492</v>
      </c>
      <c r="D57" s="2271" t="s">
        <v>2492</v>
      </c>
      <c r="E57" s="2269" t="s">
        <v>2493</v>
      </c>
      <c r="F57" s="2269" t="s">
        <v>2495</v>
      </c>
      <c r="G57" s="2269" t="s">
        <v>2526</v>
      </c>
    </row>
    <row r="58" spans="1:7" ht="19.5" customHeight="1">
      <c r="A58" s="2293"/>
      <c r="B58" s="3156">
        <v>1</v>
      </c>
      <c r="C58" s="3156">
        <v>2</v>
      </c>
      <c r="D58" s="3156">
        <v>3</v>
      </c>
      <c r="E58" s="2294" t="s">
        <v>2527</v>
      </c>
      <c r="F58" s="2294" t="s">
        <v>2527</v>
      </c>
      <c r="G58" s="2294" t="s">
        <v>2527</v>
      </c>
    </row>
    <row r="59" spans="1:7" ht="19.5" customHeight="1">
      <c r="A59" s="2295" t="s">
        <v>2480</v>
      </c>
      <c r="B59" s="3153">
        <v>0.7</v>
      </c>
      <c r="C59" s="3153">
        <v>0.4</v>
      </c>
      <c r="D59" s="3153">
        <v>0.3</v>
      </c>
      <c r="E59" s="3166">
        <v>0.3</v>
      </c>
      <c r="F59" s="3153">
        <v>0.3</v>
      </c>
      <c r="G59" s="3153">
        <v>0.2</v>
      </c>
    </row>
    <row r="60" spans="1:7" ht="19.5" customHeight="1">
      <c r="A60" s="2295" t="s">
        <v>2481</v>
      </c>
      <c r="B60" s="3153">
        <v>0.7</v>
      </c>
      <c r="C60" s="3153">
        <v>0.4</v>
      </c>
      <c r="D60" s="3153">
        <v>0.3</v>
      </c>
      <c r="E60" s="3153">
        <v>0.3</v>
      </c>
      <c r="F60" s="3153">
        <v>0.3</v>
      </c>
      <c r="G60" s="3153">
        <v>0.2</v>
      </c>
    </row>
    <row r="61" spans="1:7" ht="19.5" customHeight="1">
      <c r="A61" s="2295" t="s">
        <v>2482</v>
      </c>
      <c r="B61" s="3153">
        <v>0.6</v>
      </c>
      <c r="C61" s="3153">
        <v>0.3</v>
      </c>
      <c r="D61" s="3153">
        <v>0.25</v>
      </c>
      <c r="E61" s="3153">
        <v>0.25</v>
      </c>
      <c r="F61" s="3153">
        <v>0.25</v>
      </c>
      <c r="G61" s="3153">
        <v>0.15</v>
      </c>
    </row>
    <row r="62" spans="1:7" ht="19.5" customHeight="1">
      <c r="A62" s="2295" t="s">
        <v>2483</v>
      </c>
      <c r="B62" s="3153">
        <v>0.6</v>
      </c>
      <c r="C62" s="3153">
        <v>0.3</v>
      </c>
      <c r="D62" s="3153">
        <v>0.25</v>
      </c>
      <c r="E62" s="3153">
        <v>0.25</v>
      </c>
      <c r="F62" s="3153">
        <v>0.25</v>
      </c>
      <c r="G62" s="3153">
        <v>0.15</v>
      </c>
    </row>
    <row r="63" spans="1:7" ht="19.5" customHeight="1">
      <c r="A63" s="2295" t="s">
        <v>2484</v>
      </c>
      <c r="B63" s="3153">
        <v>0.6</v>
      </c>
      <c r="C63" s="3153">
        <v>0.3</v>
      </c>
      <c r="D63" s="3153">
        <v>0.25</v>
      </c>
      <c r="E63" s="3153">
        <v>0.25</v>
      </c>
      <c r="F63" s="3153">
        <v>0.25</v>
      </c>
      <c r="G63" s="3153">
        <v>0.15</v>
      </c>
    </row>
    <row r="64" spans="1:7" ht="19.5" customHeight="1">
      <c r="A64" s="2295" t="s">
        <v>2485</v>
      </c>
      <c r="B64" s="3153">
        <v>0.6</v>
      </c>
      <c r="C64" s="3153">
        <v>0.3</v>
      </c>
      <c r="D64" s="3153">
        <v>0.25</v>
      </c>
      <c r="E64" s="3153">
        <v>0.25</v>
      </c>
      <c r="F64" s="3153">
        <v>0.25</v>
      </c>
      <c r="G64" s="3153">
        <v>0.15</v>
      </c>
    </row>
    <row r="65" spans="1:7" ht="19.5" customHeight="1">
      <c r="A65" s="2295" t="s">
        <v>2486</v>
      </c>
      <c r="B65" s="3153">
        <v>0.6</v>
      </c>
      <c r="C65" s="3153">
        <v>0.3</v>
      </c>
      <c r="D65" s="3153">
        <v>0.25</v>
      </c>
      <c r="E65" s="3153">
        <v>0.25</v>
      </c>
      <c r="F65" s="3153">
        <v>0.25</v>
      </c>
      <c r="G65" s="3153">
        <v>0.15</v>
      </c>
    </row>
    <row r="66" spans="1:7" ht="19.5" customHeight="1">
      <c r="A66" s="2295" t="s">
        <v>2487</v>
      </c>
      <c r="B66" s="3153">
        <v>0.5</v>
      </c>
      <c r="C66" s="3153">
        <v>0.2</v>
      </c>
      <c r="D66" s="3153">
        <v>0.2</v>
      </c>
      <c r="E66" s="3153">
        <v>0.2</v>
      </c>
      <c r="F66" s="3153">
        <v>0.2</v>
      </c>
      <c r="G66" s="3153">
        <v>0.1</v>
      </c>
    </row>
    <row r="67" spans="1:7" ht="19.5" customHeight="1">
      <c r="A67" s="2295" t="s">
        <v>2488</v>
      </c>
      <c r="B67" s="3153">
        <v>0.5</v>
      </c>
      <c r="C67" s="3153">
        <v>0.2</v>
      </c>
      <c r="D67" s="3153">
        <v>0.2</v>
      </c>
      <c r="E67" s="3153">
        <v>0.2</v>
      </c>
      <c r="F67" s="3153">
        <v>0.2</v>
      </c>
      <c r="G67" s="3153">
        <v>0.1</v>
      </c>
    </row>
    <row r="68" spans="1:7" ht="19.5" customHeight="1">
      <c r="A68" s="2295" t="s">
        <v>2489</v>
      </c>
      <c r="B68" s="3153">
        <v>0.5</v>
      </c>
      <c r="C68" s="3153">
        <v>0.2</v>
      </c>
      <c r="D68" s="3153">
        <v>0.2</v>
      </c>
      <c r="E68" s="3153">
        <v>0.2</v>
      </c>
      <c r="F68" s="3153">
        <v>0.2</v>
      </c>
      <c r="G68" s="3153">
        <v>0.1</v>
      </c>
    </row>
    <row r="69" spans="1:7" ht="19.5" customHeight="1">
      <c r="A69" s="2295" t="s">
        <v>2490</v>
      </c>
      <c r="B69" s="3153">
        <v>0.5</v>
      </c>
      <c r="C69" s="3153">
        <v>0.2</v>
      </c>
      <c r="D69" s="3153">
        <v>0.2</v>
      </c>
      <c r="E69" s="3153">
        <v>0.2</v>
      </c>
      <c r="F69" s="3153">
        <v>0.2</v>
      </c>
      <c r="G69" s="3153">
        <v>0.1</v>
      </c>
    </row>
    <row r="70" spans="1:7" ht="19.5" customHeight="1">
      <c r="A70" s="2295" t="s">
        <v>2491</v>
      </c>
      <c r="B70" s="3153">
        <v>0.5</v>
      </c>
      <c r="C70" s="3153">
        <v>0.2</v>
      </c>
      <c r="D70" s="3153">
        <v>0.2</v>
      </c>
      <c r="E70" s="3153">
        <v>0.2</v>
      </c>
      <c r="F70" s="3153">
        <v>0.2</v>
      </c>
      <c r="G70" s="3153">
        <v>0.1</v>
      </c>
    </row>
    <row r="72" spans="1:7" ht="19.5" customHeight="1">
      <c r="A72" s="2280"/>
      <c r="B72" s="2296"/>
      <c r="C72" s="2296"/>
      <c r="D72" s="2296" t="s">
        <v>2528</v>
      </c>
      <c r="E72" s="2296"/>
      <c r="F72" s="2296"/>
    </row>
    <row r="73" spans="1:7" ht="19.5" customHeight="1">
      <c r="A73" s="2289" t="s">
        <v>2529</v>
      </c>
      <c r="B73" s="2289" t="s">
        <v>2530</v>
      </c>
      <c r="C73" s="2289" t="s">
        <v>2531</v>
      </c>
      <c r="D73" s="2289" t="s">
        <v>2532</v>
      </c>
      <c r="E73" s="2289" t="s">
        <v>2533</v>
      </c>
      <c r="F73" s="2289" t="s">
        <v>2534</v>
      </c>
    </row>
    <row r="74" spans="1:7" ht="14.4">
      <c r="A74" s="2289"/>
      <c r="B74" s="2289"/>
      <c r="C74" s="2289" t="s">
        <v>2535</v>
      </c>
      <c r="D74" s="2289"/>
      <c r="E74" s="2289" t="s">
        <v>2506</v>
      </c>
      <c r="F74" s="2289" t="s">
        <v>2506</v>
      </c>
    </row>
    <row r="75" spans="1:7" ht="14.4">
      <c r="A75" s="2289">
        <v>1</v>
      </c>
      <c r="B75" s="4743" t="s">
        <v>2536</v>
      </c>
      <c r="C75" s="2269" t="s">
        <v>2537</v>
      </c>
      <c r="D75" s="2269" t="s">
        <v>2538</v>
      </c>
      <c r="E75" s="3167">
        <v>0.2</v>
      </c>
      <c r="F75" s="3168">
        <v>25</v>
      </c>
    </row>
    <row r="76" spans="1:7" ht="24">
      <c r="A76" s="2289">
        <v>2</v>
      </c>
      <c r="B76" s="4745"/>
      <c r="C76" s="2269" t="s">
        <v>2539</v>
      </c>
      <c r="D76" s="2269" t="s">
        <v>2540</v>
      </c>
      <c r="E76" s="3167">
        <v>0.2</v>
      </c>
      <c r="F76" s="3168">
        <v>25</v>
      </c>
    </row>
    <row r="77" spans="1:7" ht="24">
      <c r="A77" s="2289">
        <v>3</v>
      </c>
      <c r="B77" s="4745"/>
      <c r="C77" s="2269" t="s">
        <v>2541</v>
      </c>
      <c r="D77" s="2269" t="s">
        <v>2542</v>
      </c>
      <c r="E77" s="3167">
        <v>0.2</v>
      </c>
      <c r="F77" s="3168">
        <v>25</v>
      </c>
    </row>
    <row r="78" spans="1:7" ht="14.4">
      <c r="A78" s="2289">
        <v>4</v>
      </c>
      <c r="B78" s="4745"/>
      <c r="C78" s="2269" t="s">
        <v>2543</v>
      </c>
      <c r="D78" s="2269" t="s">
        <v>2544</v>
      </c>
      <c r="E78" s="3167">
        <v>0.15</v>
      </c>
      <c r="F78" s="3168">
        <v>20</v>
      </c>
    </row>
    <row r="79" spans="1:7" ht="24">
      <c r="A79" s="2289">
        <v>5</v>
      </c>
      <c r="B79" s="4745"/>
      <c r="C79" s="2269" t="s">
        <v>2545</v>
      </c>
      <c r="D79" s="2269" t="s">
        <v>2546</v>
      </c>
      <c r="E79" s="3167">
        <v>0.15</v>
      </c>
      <c r="F79" s="3168">
        <v>20</v>
      </c>
    </row>
    <row r="80" spans="1:7" ht="24">
      <c r="A80" s="2289">
        <v>6</v>
      </c>
      <c r="B80" s="4745"/>
      <c r="C80" s="2269" t="s">
        <v>2547</v>
      </c>
      <c r="D80" s="2269" t="s">
        <v>2548</v>
      </c>
      <c r="E80" s="3167">
        <v>0.15</v>
      </c>
      <c r="F80" s="3168">
        <v>20</v>
      </c>
    </row>
    <row r="81" spans="1:6" ht="24">
      <c r="A81" s="2289">
        <v>7</v>
      </c>
      <c r="B81" s="4745"/>
      <c r="C81" s="2269" t="s">
        <v>2549</v>
      </c>
      <c r="D81" s="2269" t="s">
        <v>2550</v>
      </c>
      <c r="E81" s="3167">
        <v>0.15</v>
      </c>
      <c r="F81" s="3168">
        <v>20</v>
      </c>
    </row>
    <row r="82" spans="1:6" ht="24">
      <c r="A82" s="2289">
        <v>8</v>
      </c>
      <c r="B82" s="4745"/>
      <c r="C82" s="2269" t="s">
        <v>2551</v>
      </c>
      <c r="D82" s="2269" t="s">
        <v>2552</v>
      </c>
      <c r="E82" s="3167">
        <v>0.1</v>
      </c>
      <c r="F82" s="3168">
        <v>15</v>
      </c>
    </row>
    <row r="83" spans="1:6" ht="24">
      <c r="A83" s="2289">
        <v>9</v>
      </c>
      <c r="B83" s="4745"/>
      <c r="C83" s="2269" t="s">
        <v>2553</v>
      </c>
      <c r="D83" s="2269" t="s">
        <v>2554</v>
      </c>
      <c r="E83" s="3167">
        <v>0.1</v>
      </c>
      <c r="F83" s="3168">
        <v>15</v>
      </c>
    </row>
    <row r="84" spans="1:6" ht="24">
      <c r="A84" s="2289">
        <v>10</v>
      </c>
      <c r="B84" s="4745"/>
      <c r="C84" s="2269" t="s">
        <v>2555</v>
      </c>
      <c r="D84" s="2269" t="s">
        <v>2556</v>
      </c>
      <c r="E84" s="3167">
        <v>0.1</v>
      </c>
      <c r="F84" s="3168">
        <v>15</v>
      </c>
    </row>
    <row r="85" spans="1:6" ht="24">
      <c r="A85" s="2289">
        <v>11</v>
      </c>
      <c r="B85" s="4745"/>
      <c r="C85" s="2269" t="s">
        <v>2557</v>
      </c>
      <c r="D85" s="2269" t="s">
        <v>2558</v>
      </c>
      <c r="E85" s="3167">
        <v>0.1</v>
      </c>
      <c r="F85" s="3168">
        <v>15</v>
      </c>
    </row>
    <row r="86" spans="1:6" ht="24">
      <c r="A86" s="2289">
        <v>12</v>
      </c>
      <c r="B86" s="4745"/>
      <c r="C86" s="2269" t="s">
        <v>2559</v>
      </c>
      <c r="D86" s="2269" t="s">
        <v>2560</v>
      </c>
      <c r="E86" s="3167">
        <v>0.1</v>
      </c>
      <c r="F86" s="3168">
        <v>15</v>
      </c>
    </row>
    <row r="87" spans="1:6" ht="24">
      <c r="A87" s="2289">
        <v>13</v>
      </c>
      <c r="B87" s="4745"/>
      <c r="C87" s="2269" t="s">
        <v>2561</v>
      </c>
      <c r="D87" s="2269" t="s">
        <v>2562</v>
      </c>
      <c r="E87" s="3167">
        <v>0.1</v>
      </c>
      <c r="F87" s="3168">
        <v>15</v>
      </c>
    </row>
    <row r="88" spans="1:6" ht="24">
      <c r="A88" s="2289">
        <v>14</v>
      </c>
      <c r="B88" s="4745"/>
      <c r="C88" s="2269" t="s">
        <v>2563</v>
      </c>
      <c r="D88" s="2269" t="s">
        <v>2564</v>
      </c>
      <c r="E88" s="3167">
        <v>0.1</v>
      </c>
      <c r="F88" s="3168">
        <v>15</v>
      </c>
    </row>
    <row r="89" spans="1:6" ht="24">
      <c r="A89" s="2289">
        <v>15</v>
      </c>
      <c r="B89" s="4745"/>
      <c r="C89" s="2269" t="s">
        <v>2565</v>
      </c>
      <c r="D89" s="2269" t="s">
        <v>2566</v>
      </c>
      <c r="E89" s="3167">
        <v>0.1</v>
      </c>
      <c r="F89" s="3168">
        <v>15</v>
      </c>
    </row>
    <row r="90" spans="1:6" ht="24">
      <c r="A90" s="2289">
        <v>16</v>
      </c>
      <c r="B90" s="4745"/>
      <c r="C90" s="2269" t="s">
        <v>2567</v>
      </c>
      <c r="D90" s="2269" t="s">
        <v>2568</v>
      </c>
      <c r="E90" s="3167">
        <v>0.1</v>
      </c>
      <c r="F90" s="3168">
        <v>15</v>
      </c>
    </row>
    <row r="91" spans="1:6" ht="24">
      <c r="A91" s="2289">
        <v>17</v>
      </c>
      <c r="B91" s="4744"/>
      <c r="C91" s="2269" t="s">
        <v>2569</v>
      </c>
      <c r="D91" s="2269" t="s">
        <v>2570</v>
      </c>
      <c r="E91" s="3167">
        <v>0.1</v>
      </c>
      <c r="F91" s="3168">
        <v>15</v>
      </c>
    </row>
    <row r="92" spans="1:6" ht="14.4">
      <c r="A92" s="2289">
        <v>18</v>
      </c>
      <c r="B92" s="4743" t="s">
        <v>2571</v>
      </c>
      <c r="C92" s="2269" t="s">
        <v>2572</v>
      </c>
      <c r="D92" s="2269" t="s">
        <v>2573</v>
      </c>
      <c r="E92" s="3167">
        <v>0.2</v>
      </c>
      <c r="F92" s="3168">
        <v>25</v>
      </c>
    </row>
    <row r="93" spans="1:6" ht="24">
      <c r="A93" s="2289">
        <v>19</v>
      </c>
      <c r="B93" s="4745"/>
      <c r="C93" s="2269" t="s">
        <v>2574</v>
      </c>
      <c r="D93" s="2269" t="s">
        <v>2575</v>
      </c>
      <c r="E93" s="3167">
        <v>0.2</v>
      </c>
      <c r="F93" s="3168">
        <v>25</v>
      </c>
    </row>
    <row r="94" spans="1:6" ht="14.4">
      <c r="A94" s="2289">
        <v>20</v>
      </c>
      <c r="B94" s="4745"/>
      <c r="C94" s="2269" t="s">
        <v>2576</v>
      </c>
      <c r="D94" s="2269" t="s">
        <v>2577</v>
      </c>
      <c r="E94" s="3167">
        <v>0.15</v>
      </c>
      <c r="F94" s="3168">
        <v>20</v>
      </c>
    </row>
    <row r="95" spans="1:6" ht="24">
      <c r="A95" s="2289">
        <v>21</v>
      </c>
      <c r="B95" s="4745"/>
      <c r="C95" s="2269" t="s">
        <v>2578</v>
      </c>
      <c r="D95" s="2269" t="s">
        <v>2579</v>
      </c>
      <c r="E95" s="3167">
        <v>0.15</v>
      </c>
      <c r="F95" s="3168">
        <v>20</v>
      </c>
    </row>
    <row r="96" spans="1:6" ht="24">
      <c r="A96" s="2289">
        <v>22</v>
      </c>
      <c r="B96" s="4745"/>
      <c r="C96" s="2269" t="s">
        <v>2580</v>
      </c>
      <c r="D96" s="2269" t="s">
        <v>2581</v>
      </c>
      <c r="E96" s="3167">
        <v>0.15</v>
      </c>
      <c r="F96" s="3168">
        <v>20</v>
      </c>
    </row>
    <row r="97" spans="1:6" ht="36">
      <c r="A97" s="2289">
        <v>23</v>
      </c>
      <c r="B97" s="4745"/>
      <c r="C97" s="2269" t="s">
        <v>2582</v>
      </c>
      <c r="D97" s="2269" t="s">
        <v>2583</v>
      </c>
      <c r="E97" s="3167">
        <v>0.15</v>
      </c>
      <c r="F97" s="3168">
        <v>20</v>
      </c>
    </row>
    <row r="98" spans="1:6" ht="24">
      <c r="A98" s="2289">
        <v>24</v>
      </c>
      <c r="B98" s="4745"/>
      <c r="C98" s="2269" t="s">
        <v>2584</v>
      </c>
      <c r="D98" s="2269" t="s">
        <v>2585</v>
      </c>
      <c r="E98" s="3167">
        <v>0.1</v>
      </c>
      <c r="F98" s="3168">
        <v>15</v>
      </c>
    </row>
    <row r="99" spans="1:6" ht="24">
      <c r="A99" s="2289">
        <v>25</v>
      </c>
      <c r="B99" s="4745"/>
      <c r="C99" s="2269" t="s">
        <v>2586</v>
      </c>
      <c r="D99" s="2269" t="s">
        <v>2587</v>
      </c>
      <c r="E99" s="3167">
        <v>0.1</v>
      </c>
      <c r="F99" s="3168">
        <v>15</v>
      </c>
    </row>
    <row r="100" spans="1:6" ht="24">
      <c r="A100" s="2289">
        <v>26</v>
      </c>
      <c r="B100" s="4745"/>
      <c r="C100" s="2269" t="s">
        <v>2588</v>
      </c>
      <c r="D100" s="2269" t="s">
        <v>2589</v>
      </c>
      <c r="E100" s="3167">
        <v>0.1</v>
      </c>
      <c r="F100" s="3168">
        <v>15</v>
      </c>
    </row>
    <row r="101" spans="1:6" ht="24">
      <c r="A101" s="2289">
        <v>27</v>
      </c>
      <c r="B101" s="4745"/>
      <c r="C101" s="2269" t="s">
        <v>2590</v>
      </c>
      <c r="D101" s="2269" t="s">
        <v>2591</v>
      </c>
      <c r="E101" s="3167">
        <v>0.1</v>
      </c>
      <c r="F101" s="3168">
        <v>15</v>
      </c>
    </row>
    <row r="102" spans="1:6" ht="24">
      <c r="A102" s="2289">
        <v>28</v>
      </c>
      <c r="B102" s="4745"/>
      <c r="C102" s="2269" t="s">
        <v>2592</v>
      </c>
      <c r="D102" s="2269" t="s">
        <v>2593</v>
      </c>
      <c r="E102" s="3167">
        <v>0.1</v>
      </c>
      <c r="F102" s="3168">
        <v>15</v>
      </c>
    </row>
    <row r="103" spans="1:6" ht="24">
      <c r="A103" s="2289">
        <v>29</v>
      </c>
      <c r="B103" s="4745"/>
      <c r="C103" s="2269" t="s">
        <v>2594</v>
      </c>
      <c r="D103" s="2269" t="s">
        <v>2595</v>
      </c>
      <c r="E103" s="3167">
        <v>0.1</v>
      </c>
      <c r="F103" s="3168">
        <v>15</v>
      </c>
    </row>
    <row r="104" spans="1:6" ht="24">
      <c r="A104" s="2289">
        <v>30</v>
      </c>
      <c r="B104" s="4745"/>
      <c r="C104" s="2269" t="s">
        <v>2596</v>
      </c>
      <c r="D104" s="2269" t="s">
        <v>2597</v>
      </c>
      <c r="E104" s="3167">
        <v>0.1</v>
      </c>
      <c r="F104" s="3168">
        <v>15</v>
      </c>
    </row>
    <row r="105" spans="1:6" ht="24">
      <c r="A105" s="2289">
        <v>31</v>
      </c>
      <c r="B105" s="4745"/>
      <c r="C105" s="2269" t="s">
        <v>2598</v>
      </c>
      <c r="D105" s="2269" t="s">
        <v>2599</v>
      </c>
      <c r="E105" s="3167">
        <v>0.1</v>
      </c>
      <c r="F105" s="3168">
        <v>15</v>
      </c>
    </row>
    <row r="106" spans="1:6" ht="24">
      <c r="A106" s="2289">
        <v>32</v>
      </c>
      <c r="B106" s="4745"/>
      <c r="C106" s="2269" t="s">
        <v>2600</v>
      </c>
      <c r="D106" s="2269" t="s">
        <v>2601</v>
      </c>
      <c r="E106" s="3167">
        <v>0.1</v>
      </c>
      <c r="F106" s="3168">
        <v>15</v>
      </c>
    </row>
    <row r="107" spans="1:6" ht="24">
      <c r="A107" s="2289">
        <v>33</v>
      </c>
      <c r="B107" s="4745"/>
      <c r="C107" s="2269" t="s">
        <v>2602</v>
      </c>
      <c r="D107" s="2269" t="s">
        <v>2603</v>
      </c>
      <c r="E107" s="3167">
        <v>0.1</v>
      </c>
      <c r="F107" s="3168">
        <v>15</v>
      </c>
    </row>
    <row r="108" spans="1:6" ht="24">
      <c r="A108" s="2289">
        <v>34</v>
      </c>
      <c r="B108" s="4744"/>
      <c r="C108" s="2269" t="s">
        <v>2604</v>
      </c>
      <c r="D108" s="2269" t="s">
        <v>2605</v>
      </c>
      <c r="E108" s="3167">
        <v>0.1</v>
      </c>
      <c r="F108" s="3168">
        <v>15</v>
      </c>
    </row>
    <row r="109" spans="1:6" ht="36">
      <c r="A109" s="2289">
        <v>35</v>
      </c>
      <c r="B109" s="4743" t="s">
        <v>2606</v>
      </c>
      <c r="C109" s="2289" t="s">
        <v>2607</v>
      </c>
      <c r="D109" s="2269" t="s">
        <v>2608</v>
      </c>
      <c r="E109" s="3167">
        <v>0.15</v>
      </c>
      <c r="F109" s="3168">
        <v>20</v>
      </c>
    </row>
    <row r="110" spans="1:6" ht="24">
      <c r="A110" s="2289">
        <v>36</v>
      </c>
      <c r="B110" s="4745"/>
      <c r="C110" s="2289" t="s">
        <v>2609</v>
      </c>
      <c r="D110" s="2269" t="s">
        <v>2610</v>
      </c>
      <c r="E110" s="3167">
        <v>0.15</v>
      </c>
      <c r="F110" s="3168">
        <v>20</v>
      </c>
    </row>
    <row r="111" spans="1:6" ht="24">
      <c r="A111" s="2289">
        <v>37</v>
      </c>
      <c r="B111" s="4745"/>
      <c r="C111" s="2289" t="s">
        <v>2611</v>
      </c>
      <c r="D111" s="2269" t="s">
        <v>2612</v>
      </c>
      <c r="E111" s="3167">
        <v>0.15</v>
      </c>
      <c r="F111" s="3168">
        <v>20</v>
      </c>
    </row>
    <row r="112" spans="1:6" ht="24">
      <c r="A112" s="2289">
        <v>38</v>
      </c>
      <c r="B112" s="4745"/>
      <c r="C112" s="2289" t="s">
        <v>2613</v>
      </c>
      <c r="D112" s="2269" t="s">
        <v>2614</v>
      </c>
      <c r="E112" s="3167">
        <v>0.1</v>
      </c>
      <c r="F112" s="3168">
        <v>15</v>
      </c>
    </row>
    <row r="113" spans="1:6" ht="24">
      <c r="A113" s="2289">
        <v>39</v>
      </c>
      <c r="B113" s="4745"/>
      <c r="C113" s="2289" t="s">
        <v>2615</v>
      </c>
      <c r="D113" s="2269" t="s">
        <v>2616</v>
      </c>
      <c r="E113" s="3167">
        <v>0.1</v>
      </c>
      <c r="F113" s="3168">
        <v>15</v>
      </c>
    </row>
    <row r="114" spans="1:6" ht="24">
      <c r="A114" s="2289">
        <v>40</v>
      </c>
      <c r="B114" s="4744"/>
      <c r="C114" s="2289" t="s">
        <v>2617</v>
      </c>
      <c r="D114" s="2269" t="s">
        <v>2618</v>
      </c>
      <c r="E114" s="3167">
        <v>0.1</v>
      </c>
      <c r="F114" s="3168">
        <v>15</v>
      </c>
    </row>
    <row r="115" spans="1:6" ht="24">
      <c r="A115" s="2289">
        <v>41</v>
      </c>
      <c r="B115" s="4742" t="s">
        <v>2619</v>
      </c>
      <c r="C115" s="2289" t="s">
        <v>2620</v>
      </c>
      <c r="D115" s="2269" t="s">
        <v>2621</v>
      </c>
      <c r="E115" s="3167">
        <v>0.1</v>
      </c>
      <c r="F115" s="3168">
        <v>15</v>
      </c>
    </row>
    <row r="116" spans="1:6" ht="24">
      <c r="A116" s="2289">
        <v>42</v>
      </c>
      <c r="B116" s="4742"/>
      <c r="C116" s="2289" t="s">
        <v>2622</v>
      </c>
      <c r="D116" s="2269" t="s">
        <v>2623</v>
      </c>
      <c r="E116" s="3167">
        <v>0.1</v>
      </c>
      <c r="F116" s="3168">
        <v>15</v>
      </c>
    </row>
    <row r="117" spans="1:6" ht="24">
      <c r="A117" s="2289">
        <v>43</v>
      </c>
      <c r="B117" s="4742"/>
      <c r="C117" s="2289" t="s">
        <v>2624</v>
      </c>
      <c r="D117" s="2269" t="s">
        <v>2625</v>
      </c>
      <c r="E117" s="3167">
        <v>0.1</v>
      </c>
      <c r="F117" s="3168">
        <v>15</v>
      </c>
    </row>
    <row r="118" spans="1:6" ht="24">
      <c r="A118" s="2289">
        <v>44</v>
      </c>
      <c r="B118" s="4743" t="s">
        <v>2626</v>
      </c>
      <c r="C118" s="2289" t="s">
        <v>2627</v>
      </c>
      <c r="D118" s="2269" t="s">
        <v>2628</v>
      </c>
      <c r="E118" s="3167">
        <v>0.1</v>
      </c>
      <c r="F118" s="3168">
        <v>15</v>
      </c>
    </row>
    <row r="119" spans="1:6" ht="24">
      <c r="A119" s="2289">
        <v>45</v>
      </c>
      <c r="B119" s="4744"/>
      <c r="C119" s="2269" t="s">
        <v>2629</v>
      </c>
      <c r="D119" s="2269" t="s">
        <v>2630</v>
      </c>
      <c r="E119" s="3167">
        <v>0.1</v>
      </c>
      <c r="F119" s="3168">
        <v>15</v>
      </c>
    </row>
    <row r="120" spans="1:6" ht="24">
      <c r="A120" s="2289">
        <v>46</v>
      </c>
      <c r="B120" s="4743" t="s">
        <v>2631</v>
      </c>
      <c r="C120" s="2289" t="s">
        <v>2632</v>
      </c>
      <c r="D120" s="2269" t="s">
        <v>2633</v>
      </c>
      <c r="E120" s="3167">
        <v>0.1</v>
      </c>
      <c r="F120" s="3168">
        <v>15</v>
      </c>
    </row>
    <row r="121" spans="1:6" ht="24">
      <c r="A121" s="2289">
        <v>47</v>
      </c>
      <c r="B121" s="4744"/>
      <c r="C121" s="2289" t="s">
        <v>2634</v>
      </c>
      <c r="D121" s="2269" t="s">
        <v>2635</v>
      </c>
      <c r="E121" s="3167">
        <v>0.1</v>
      </c>
      <c r="F121" s="3168">
        <v>15</v>
      </c>
    </row>
    <row r="122" spans="1:6" ht="24">
      <c r="A122" s="2289">
        <v>48</v>
      </c>
      <c r="B122" s="4743" t="s">
        <v>2636</v>
      </c>
      <c r="C122" s="2289" t="s">
        <v>2637</v>
      </c>
      <c r="D122" s="2269" t="s">
        <v>2638</v>
      </c>
      <c r="E122" s="3167">
        <v>0.1</v>
      </c>
      <c r="F122" s="3168">
        <v>15</v>
      </c>
    </row>
    <row r="123" spans="1:6" ht="24">
      <c r="A123" s="2289">
        <v>49</v>
      </c>
      <c r="B123" s="4744"/>
      <c r="C123" s="2289" t="s">
        <v>2639</v>
      </c>
      <c r="D123" s="2269" t="s">
        <v>2640</v>
      </c>
      <c r="E123" s="3167">
        <v>0.1</v>
      </c>
      <c r="F123" s="3168">
        <v>15</v>
      </c>
    </row>
    <row r="124" spans="1:6" ht="24">
      <c r="A124" s="2289">
        <v>50</v>
      </c>
      <c r="B124" s="4742" t="s">
        <v>2641</v>
      </c>
      <c r="C124" s="2289" t="s">
        <v>2642</v>
      </c>
      <c r="D124" s="2269" t="s">
        <v>2643</v>
      </c>
      <c r="E124" s="3167">
        <v>0.1</v>
      </c>
      <c r="F124" s="3168">
        <v>15</v>
      </c>
    </row>
    <row r="125" spans="1:6" ht="24">
      <c r="A125" s="2289">
        <v>51</v>
      </c>
      <c r="B125" s="4742"/>
      <c r="C125" s="2289" t="s">
        <v>2644</v>
      </c>
      <c r="D125" s="2269" t="s">
        <v>2645</v>
      </c>
      <c r="E125" s="3167">
        <v>0.1</v>
      </c>
      <c r="F125" s="3168">
        <v>15</v>
      </c>
    </row>
    <row r="126" spans="1:6" ht="24">
      <c r="A126" s="2289">
        <v>52</v>
      </c>
      <c r="B126" s="4742" t="s">
        <v>2646</v>
      </c>
      <c r="C126" s="2289" t="s">
        <v>2647</v>
      </c>
      <c r="D126" s="2269" t="s">
        <v>2648</v>
      </c>
      <c r="E126" s="3167">
        <v>0.1</v>
      </c>
      <c r="F126" s="3168">
        <v>15</v>
      </c>
    </row>
    <row r="127" spans="1:6" ht="24">
      <c r="A127" s="2289">
        <v>53</v>
      </c>
      <c r="B127" s="4742"/>
      <c r="C127" s="2289" t="s">
        <v>2649</v>
      </c>
      <c r="D127" s="2269" t="s">
        <v>2650</v>
      </c>
      <c r="E127" s="3167">
        <v>0.1</v>
      </c>
      <c r="F127" s="3168">
        <v>15</v>
      </c>
    </row>
    <row r="128" spans="1:6" ht="24">
      <c r="A128" s="2289">
        <v>54</v>
      </c>
      <c r="B128" s="2289" t="s">
        <v>2651</v>
      </c>
      <c r="C128" s="2289" t="s">
        <v>2652</v>
      </c>
      <c r="D128" s="2269" t="s">
        <v>2653</v>
      </c>
      <c r="E128" s="3167">
        <v>0.1</v>
      </c>
      <c r="F128" s="3168">
        <v>15</v>
      </c>
    </row>
    <row r="129" spans="1:6" ht="24">
      <c r="A129" s="2289">
        <v>55</v>
      </c>
      <c r="B129" s="4742" t="s">
        <v>2654</v>
      </c>
      <c r="C129" s="2289" t="s">
        <v>2655</v>
      </c>
      <c r="D129" s="2269" t="s">
        <v>2656</v>
      </c>
      <c r="E129" s="3167">
        <v>0.1</v>
      </c>
      <c r="F129" s="3168">
        <v>15</v>
      </c>
    </row>
    <row r="130" spans="1:6" ht="24">
      <c r="A130" s="2289">
        <v>56</v>
      </c>
      <c r="B130" s="4742"/>
      <c r="C130" s="2289" t="s">
        <v>2657</v>
      </c>
      <c r="D130" s="2269" t="s">
        <v>2658</v>
      </c>
      <c r="E130" s="3167">
        <v>0.1</v>
      </c>
      <c r="F130" s="3168">
        <v>15</v>
      </c>
    </row>
    <row r="131" spans="1:6" ht="24">
      <c r="A131" s="2289">
        <v>57</v>
      </c>
      <c r="B131" s="4742"/>
      <c r="C131" s="2289" t="s">
        <v>2659</v>
      </c>
      <c r="D131" s="2269" t="s">
        <v>2660</v>
      </c>
      <c r="E131" s="3167">
        <v>0.1</v>
      </c>
      <c r="F131" s="3168">
        <v>15</v>
      </c>
    </row>
    <row r="132" spans="1:6" ht="24">
      <c r="A132" s="2289">
        <v>58</v>
      </c>
      <c r="B132" s="4742" t="s">
        <v>2661</v>
      </c>
      <c r="C132" s="2289" t="s">
        <v>2662</v>
      </c>
      <c r="D132" s="2269" t="s">
        <v>2663</v>
      </c>
      <c r="E132" s="3167">
        <v>0.1</v>
      </c>
      <c r="F132" s="3168">
        <v>15</v>
      </c>
    </row>
    <row r="133" spans="1:6" ht="24">
      <c r="A133" s="2289">
        <v>59</v>
      </c>
      <c r="B133" s="4742"/>
      <c r="C133" s="2289" t="s">
        <v>2664</v>
      </c>
      <c r="D133" s="2269" t="s">
        <v>2665</v>
      </c>
      <c r="E133" s="3167">
        <v>0.1</v>
      </c>
      <c r="F133" s="3168">
        <v>15</v>
      </c>
    </row>
    <row r="134" spans="1:6" ht="24">
      <c r="A134" s="2289">
        <v>60</v>
      </c>
      <c r="B134" s="4743" t="s">
        <v>2666</v>
      </c>
      <c r="C134" s="2289" t="s">
        <v>2667</v>
      </c>
      <c r="D134" s="2269" t="s">
        <v>2668</v>
      </c>
      <c r="E134" s="3167">
        <v>0.1</v>
      </c>
      <c r="F134" s="3168">
        <v>15</v>
      </c>
    </row>
    <row r="135" spans="1:6" ht="24">
      <c r="A135" s="2289">
        <v>61</v>
      </c>
      <c r="B135" s="4744"/>
      <c r="C135" s="2289" t="s">
        <v>2669</v>
      </c>
      <c r="D135" s="2269" t="s">
        <v>2670</v>
      </c>
      <c r="E135" s="3167">
        <v>0.1</v>
      </c>
      <c r="F135" s="3168">
        <v>15</v>
      </c>
    </row>
    <row r="136" spans="1:6" ht="24">
      <c r="A136" s="2289">
        <v>62</v>
      </c>
      <c r="B136" s="2289" t="s">
        <v>2671</v>
      </c>
      <c r="C136" s="2289" t="s">
        <v>2672</v>
      </c>
      <c r="D136" s="2269" t="s">
        <v>2673</v>
      </c>
      <c r="E136" s="3167">
        <v>0.1</v>
      </c>
      <c r="F136" s="3168">
        <v>15</v>
      </c>
    </row>
    <row r="137" spans="1:6" ht="24">
      <c r="A137" s="2289">
        <v>63</v>
      </c>
      <c r="B137" s="4742" t="s">
        <v>2674</v>
      </c>
      <c r="C137" s="2289" t="s">
        <v>2675</v>
      </c>
      <c r="D137" s="2269" t="s">
        <v>2676</v>
      </c>
      <c r="E137" s="3167">
        <v>0.1</v>
      </c>
      <c r="F137" s="3168">
        <v>15</v>
      </c>
    </row>
    <row r="138" spans="1:6" ht="24">
      <c r="A138" s="2289">
        <v>64</v>
      </c>
      <c r="B138" s="4742"/>
      <c r="C138" s="2289" t="s">
        <v>2677</v>
      </c>
      <c r="D138" s="2269" t="s">
        <v>2678</v>
      </c>
      <c r="E138" s="3167">
        <v>0.1</v>
      </c>
      <c r="F138" s="3168">
        <v>15</v>
      </c>
    </row>
    <row r="139" spans="1:6" ht="24">
      <c r="A139" s="2289">
        <v>65</v>
      </c>
      <c r="B139" s="2289" t="s">
        <v>2679</v>
      </c>
      <c r="C139" s="2289" t="s">
        <v>2680</v>
      </c>
      <c r="D139" s="2269" t="s">
        <v>2681</v>
      </c>
      <c r="E139" s="3167">
        <v>0.1</v>
      </c>
      <c r="F139" s="3168">
        <v>15</v>
      </c>
    </row>
    <row r="140" spans="1:6" ht="14.4">
      <c r="A140" s="2289"/>
      <c r="B140" s="2289"/>
      <c r="C140" s="2289"/>
      <c r="D140" s="2289"/>
      <c r="E140" s="2289" t="s">
        <v>2682</v>
      </c>
      <c r="F140" s="2289" t="s">
        <v>2682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409" zoomScale="90" zoomScaleNormal="90" workbookViewId="0">
      <selection activeCell="F184" sqref="F1:F1048576"/>
    </sheetView>
  </sheetViews>
  <sheetFormatPr defaultColWidth="9" defaultRowHeight="14.4"/>
  <cols>
    <col min="1" max="13" width="9" style="2311"/>
  </cols>
  <sheetData>
    <row r="1" spans="1:20" ht="16.2" thickBot="1">
      <c r="A1" s="2297" t="s">
        <v>2683</v>
      </c>
      <c r="B1" s="2297"/>
      <c r="C1" s="2297"/>
      <c r="D1" s="2297"/>
      <c r="E1" s="2297"/>
      <c r="F1" s="2297"/>
      <c r="G1" s="2297"/>
      <c r="H1" s="2297"/>
      <c r="I1" s="2297"/>
      <c r="J1" s="2297"/>
      <c r="K1" s="2297"/>
      <c r="L1" s="2297"/>
      <c r="M1" s="2297"/>
      <c r="N1" s="512"/>
    </row>
    <row r="2" spans="1:20">
      <c r="A2" s="2298" t="s">
        <v>2684</v>
      </c>
      <c r="B2" s="2299" t="s">
        <v>2480</v>
      </c>
      <c r="C2" s="2299" t="s">
        <v>2481</v>
      </c>
      <c r="D2" s="2299" t="s">
        <v>2482</v>
      </c>
      <c r="E2" s="2299" t="s">
        <v>2483</v>
      </c>
      <c r="F2" s="2299" t="s">
        <v>2484</v>
      </c>
      <c r="G2" s="2299" t="s">
        <v>2485</v>
      </c>
      <c r="H2" s="2300" t="s">
        <v>2486</v>
      </c>
      <c r="I2" s="2300" t="s">
        <v>2487</v>
      </c>
      <c r="J2" s="2301" t="s">
        <v>2488</v>
      </c>
      <c r="K2" s="2301" t="s">
        <v>2489</v>
      </c>
      <c r="L2" s="2301" t="s">
        <v>2490</v>
      </c>
      <c r="M2" s="2302" t="s">
        <v>2491</v>
      </c>
      <c r="Q2" s="2312" t="s">
        <v>2689</v>
      </c>
      <c r="R2" s="2312" t="s">
        <v>2690</v>
      </c>
      <c r="S2" s="2312" t="s">
        <v>2691</v>
      </c>
      <c r="T2" s="2312" t="s">
        <v>2692</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6.2" thickBot="1">
      <c r="A93" s="2297" t="s">
        <v>2685</v>
      </c>
      <c r="B93" s="2297"/>
      <c r="C93" s="2297"/>
      <c r="D93" s="2297"/>
      <c r="E93" s="2297"/>
      <c r="F93" s="2297"/>
      <c r="G93" s="2297"/>
      <c r="H93" s="2297"/>
      <c r="I93" s="2297"/>
      <c r="J93" s="2297"/>
      <c r="K93" s="2297"/>
      <c r="L93" s="2297"/>
      <c r="M93" s="2297"/>
    </row>
    <row r="94" spans="1:20">
      <c r="A94" s="2298" t="s">
        <v>2684</v>
      </c>
      <c r="B94" s="2299" t="s">
        <v>2480</v>
      </c>
      <c r="C94" s="2299" t="s">
        <v>2481</v>
      </c>
      <c r="D94" s="2299" t="s">
        <v>2482</v>
      </c>
      <c r="E94" s="2299" t="s">
        <v>2483</v>
      </c>
      <c r="F94" s="2299" t="s">
        <v>2484</v>
      </c>
      <c r="G94" s="2299" t="s">
        <v>2485</v>
      </c>
      <c r="H94" s="2300" t="s">
        <v>2486</v>
      </c>
      <c r="I94" s="2300" t="s">
        <v>2487</v>
      </c>
      <c r="J94" s="2301" t="s">
        <v>2488</v>
      </c>
      <c r="K94" s="2301" t="s">
        <v>2489</v>
      </c>
      <c r="L94" s="2301" t="s">
        <v>2490</v>
      </c>
      <c r="M94" s="2302" t="s">
        <v>2491</v>
      </c>
      <c r="N94">
        <f>SUMPRODUCT((A95:A184=ROUNDDOWN(基准地价修正!G3,1))*(B94:M94=基准地价修正!G2)*(B95:M184))</f>
        <v>0.96309999999999996</v>
      </c>
      <c r="Q94" s="2312" t="s">
        <v>2689</v>
      </c>
      <c r="R94" s="2312" t="s">
        <v>2690</v>
      </c>
      <c r="S94" s="2312" t="s">
        <v>2691</v>
      </c>
      <c r="T94" s="2312" t="s">
        <v>2692</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5.6">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5.6">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6.2" thickBot="1">
      <c r="A185" s="2297" t="s">
        <v>2686</v>
      </c>
      <c r="B185" s="2297"/>
      <c r="C185" s="2297"/>
      <c r="D185" s="2297"/>
      <c r="E185" s="2297"/>
      <c r="F185" s="2297"/>
      <c r="G185" s="2297"/>
      <c r="H185" s="2297"/>
      <c r="I185" s="2297"/>
      <c r="J185" s="2297"/>
      <c r="K185" s="2297"/>
      <c r="L185" s="2297"/>
      <c r="M185" s="2297"/>
    </row>
    <row r="186" spans="1:20">
      <c r="A186" s="2298" t="s">
        <v>2684</v>
      </c>
      <c r="B186" s="2299" t="s">
        <v>2480</v>
      </c>
      <c r="C186" s="2299" t="s">
        <v>2481</v>
      </c>
      <c r="D186" s="2299" t="s">
        <v>2482</v>
      </c>
      <c r="E186" s="2299" t="s">
        <v>2483</v>
      </c>
      <c r="F186" s="2299" t="s">
        <v>2484</v>
      </c>
      <c r="G186" s="2299" t="s">
        <v>2485</v>
      </c>
      <c r="H186" s="2300" t="s">
        <v>2486</v>
      </c>
      <c r="I186" s="2300" t="s">
        <v>2487</v>
      </c>
      <c r="J186" s="2301" t="s">
        <v>2488</v>
      </c>
      <c r="K186" s="2301" t="s">
        <v>2489</v>
      </c>
      <c r="L186" s="2301" t="s">
        <v>2490</v>
      </c>
      <c r="M186" s="2302" t="s">
        <v>2491</v>
      </c>
      <c r="Q186" s="2312" t="s">
        <v>2689</v>
      </c>
      <c r="R186" s="2312" t="s">
        <v>2690</v>
      </c>
      <c r="S186" s="2312" t="s">
        <v>2691</v>
      </c>
      <c r="T186" s="2312" t="s">
        <v>2692</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6.2" thickBot="1">
      <c r="A277" s="2297" t="s">
        <v>2687</v>
      </c>
      <c r="B277" s="2297"/>
      <c r="C277" s="2297"/>
      <c r="D277" s="2297"/>
      <c r="E277" s="2297"/>
      <c r="F277" s="2297"/>
      <c r="G277" s="2297"/>
      <c r="H277" s="2297"/>
      <c r="I277" s="2297"/>
      <c r="J277" s="2297"/>
      <c r="K277" s="2297"/>
      <c r="L277" s="2297"/>
      <c r="M277" s="2297"/>
    </row>
    <row r="278" spans="1:21">
      <c r="A278" s="2298" t="s">
        <v>2684</v>
      </c>
      <c r="B278" s="2299" t="s">
        <v>2480</v>
      </c>
      <c r="C278" s="2299" t="s">
        <v>2481</v>
      </c>
      <c r="D278" s="2299" t="s">
        <v>2482</v>
      </c>
      <c r="E278" s="2299" t="s">
        <v>2483</v>
      </c>
      <c r="F278" s="2299" t="s">
        <v>2484</v>
      </c>
      <c r="G278" s="2299" t="s">
        <v>2485</v>
      </c>
      <c r="H278" s="2300" t="s">
        <v>2486</v>
      </c>
      <c r="I278" s="2300" t="s">
        <v>2487</v>
      </c>
      <c r="J278" s="2301" t="s">
        <v>2488</v>
      </c>
      <c r="K278" s="2301" t="s">
        <v>2489</v>
      </c>
      <c r="L278" s="2301" t="s">
        <v>2490</v>
      </c>
      <c r="M278" s="2302" t="s">
        <v>2491</v>
      </c>
      <c r="Q278" s="2312" t="s">
        <v>2689</v>
      </c>
      <c r="R278" s="2312" t="s">
        <v>2690</v>
      </c>
      <c r="S278" s="2312" t="s">
        <v>2693</v>
      </c>
      <c r="T278" s="2312" t="s">
        <v>2694</v>
      </c>
      <c r="U278" s="2312" t="s">
        <v>2692</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6.2" thickBot="1">
      <c r="A369" s="2297" t="s">
        <v>2688</v>
      </c>
      <c r="B369" s="2310"/>
      <c r="C369" s="2310"/>
      <c r="D369" s="2310"/>
      <c r="E369" s="2310"/>
      <c r="F369" s="2310"/>
      <c r="G369" s="2310"/>
      <c r="H369" s="2310"/>
      <c r="I369" s="2310"/>
      <c r="J369" s="2310"/>
      <c r="K369" s="2310"/>
      <c r="L369" s="2310"/>
      <c r="M369" s="2310"/>
    </row>
    <row r="370" spans="1:20">
      <c r="A370" s="2298" t="s">
        <v>2684</v>
      </c>
      <c r="B370" s="2299" t="s">
        <v>2480</v>
      </c>
      <c r="C370" s="2299" t="s">
        <v>2481</v>
      </c>
      <c r="D370" s="2299" t="s">
        <v>2482</v>
      </c>
      <c r="E370" s="2299" t="s">
        <v>2483</v>
      </c>
      <c r="F370" s="2299" t="s">
        <v>2484</v>
      </c>
      <c r="G370" s="2299" t="s">
        <v>2485</v>
      </c>
      <c r="H370" s="2300" t="s">
        <v>2486</v>
      </c>
      <c r="I370" s="2300" t="s">
        <v>2487</v>
      </c>
      <c r="J370" s="2301" t="s">
        <v>2488</v>
      </c>
      <c r="K370" s="2301" t="s">
        <v>2489</v>
      </c>
      <c r="L370" s="2301" t="s">
        <v>2490</v>
      </c>
      <c r="M370" s="2302" t="s">
        <v>2491</v>
      </c>
      <c r="N370">
        <f>SUMPRODUCT((A371:A460=ROUNDDOWN(基准地价修正!G3,1))*(B370:M370=基准地价修正!G2)*(B371:M460))</f>
        <v>0.91610000000000003</v>
      </c>
      <c r="Q370" s="2312" t="s">
        <v>2689</v>
      </c>
      <c r="R370" s="2312" t="s">
        <v>2690</v>
      </c>
      <c r="S370" s="2312" t="s">
        <v>2691</v>
      </c>
      <c r="T370" s="2312" t="s">
        <v>2692</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63557</v>
      </c>
      <c r="C2" s="2" t="s">
        <v>104</v>
      </c>
      <c r="D2" s="94"/>
      <c r="E2" s="94"/>
      <c r="F2" s="94"/>
      <c r="G2" s="94"/>
    </row>
    <row r="3" spans="1:7" s="95" customFormat="1" ht="18" customHeight="1" thickBot="1">
      <c r="A3" s="98" t="s">
        <v>56</v>
      </c>
      <c r="B3" s="99">
        <f ca="1">ROUND(B2*10000/'数据-汇总表'!E3,0)</f>
        <v>11071</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1148</v>
      </c>
      <c r="D10" s="556">
        <f>'数据-汇总表'!E6</f>
        <v>57408.26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746</v>
      </c>
      <c r="D19" s="107">
        <f>'数据-汇总表'!E3</f>
        <v>57408.26</v>
      </c>
      <c r="E19" s="106">
        <f>'数据-取费表'!B31</f>
        <v>130</v>
      </c>
      <c r="F19" s="126"/>
      <c r="G19" s="1" t="s">
        <v>430</v>
      </c>
    </row>
    <row r="20" spans="1:7" s="109" customFormat="1" ht="13.5" customHeight="1">
      <c r="A20" s="528" t="s">
        <v>413</v>
      </c>
      <c r="B20" s="105" t="s">
        <v>75</v>
      </c>
      <c r="C20" s="127">
        <f>ROUND((C5+C19)*F20,0)</f>
        <v>427</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1370</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47</v>
      </c>
      <c r="D24" s="133"/>
      <c r="E24" s="133"/>
      <c r="F24" s="134"/>
      <c r="G24" s="135" t="s">
        <v>80</v>
      </c>
    </row>
    <row r="25" spans="1:7" s="109" customFormat="1" ht="24">
      <c r="A25" s="531" t="s">
        <v>346</v>
      </c>
      <c r="B25" s="110" t="s">
        <v>414</v>
      </c>
      <c r="C25" s="764">
        <f ca="1">ROUND(IF('数据-取费表'!B22&lt;=1,C20*F22*'数据-取费表'!B23/2,C20*(POWER((1+F22),'数据-取费表'!B23/2)-1)),0)</f>
        <v>13</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6.4">
      <c r="A27" s="528" t="s">
        <v>340</v>
      </c>
      <c r="B27" s="139" t="s">
        <v>83</v>
      </c>
      <c r="C27" s="140">
        <f>C28</f>
        <v>3267</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3267</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27059</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32148</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28704</v>
      </c>
      <c r="D34" s="112"/>
      <c r="E34" s="115"/>
      <c r="F34" s="152">
        <f>IF('数据-取费表'!B24=0,1,'数据-取费表'!N16)</f>
        <v>1</v>
      </c>
      <c r="G34" s="114" t="s">
        <v>87</v>
      </c>
    </row>
    <row r="35" spans="1:7" ht="13.5" customHeight="1">
      <c r="A35" s="531" t="s">
        <v>349</v>
      </c>
      <c r="B35" s="110" t="s">
        <v>31</v>
      </c>
      <c r="C35" s="115">
        <f>ROUND(C34*F35,0)</f>
        <v>1435</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1722</v>
      </c>
      <c r="D37" s="112">
        <f>'数据-汇总表'!E3</f>
        <v>57408.26</v>
      </c>
      <c r="E37" s="144">
        <f>'数据-取费表'!B35</f>
        <v>300</v>
      </c>
      <c r="F37" s="154"/>
      <c r="G37" s="156" t="s">
        <v>90</v>
      </c>
    </row>
    <row r="38" spans="1:7" ht="13.5" customHeight="1">
      <c r="A38" s="531" t="s">
        <v>352</v>
      </c>
      <c r="B38" s="110" t="s">
        <v>34</v>
      </c>
      <c r="C38" s="115">
        <f>ROUND(C34*F38,0)</f>
        <v>287</v>
      </c>
      <c r="D38" s="115"/>
      <c r="E38" s="115"/>
      <c r="F38" s="154">
        <f>'数据-取费表'!B36</f>
        <v>0.01</v>
      </c>
      <c r="G38" s="114" t="s">
        <v>88</v>
      </c>
    </row>
    <row r="39" spans="1:7" s="109" customFormat="1" ht="13.5" customHeight="1">
      <c r="A39" s="528" t="s">
        <v>336</v>
      </c>
      <c r="B39" s="105" t="s">
        <v>75</v>
      </c>
      <c r="C39" s="127">
        <f>ROUND(C33*F20,0)</f>
        <v>643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1026</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1006</v>
      </c>
      <c r="D42" s="133"/>
      <c r="E42" s="133"/>
      <c r="F42" s="134"/>
      <c r="G42" s="4547" t="s">
        <v>92</v>
      </c>
    </row>
    <row r="43" spans="1:7" ht="13.5" customHeight="1">
      <c r="A43" s="531" t="s">
        <v>345</v>
      </c>
      <c r="B43" s="110" t="s">
        <v>420</v>
      </c>
      <c r="C43" s="133">
        <f ca="1">ROUND(IF('数据-取费表'!B22&lt;=1,C39*F22*'数据-取费表'!B21/2,C39*(POWER((1+F22),'数据-取费表'!B21/2)-1)),0)</f>
        <v>20</v>
      </c>
      <c r="D43" s="133"/>
      <c r="E43" s="133"/>
      <c r="F43" s="134"/>
      <c r="G43" s="4549"/>
    </row>
    <row r="44" spans="1:7" ht="13.5" customHeight="1">
      <c r="A44" s="531" t="s">
        <v>346</v>
      </c>
      <c r="B44" s="110" t="s">
        <v>422</v>
      </c>
      <c r="C44" s="133">
        <f ca="1">ROUND(IF('数据-取费表'!B22&lt;=1,C40*F22*'数据-取费表'!B21/2,C40*(POWER((1+F22),'数据-取费表'!B21/2)-1)),4)</f>
        <v>5.9999999999999995E-4</v>
      </c>
      <c r="D44" s="133"/>
      <c r="E44" s="133"/>
      <c r="F44" s="134"/>
      <c r="G44" s="4548"/>
    </row>
    <row r="45" spans="1:7" s="109" customFormat="1" ht="13.5" customHeight="1">
      <c r="A45" s="528" t="s">
        <v>339</v>
      </c>
      <c r="B45" s="139" t="s">
        <v>83</v>
      </c>
      <c r="C45" s="140">
        <f>C46</f>
        <v>4919</v>
      </c>
      <c r="D45" s="130">
        <f>C47</f>
        <v>3.0000000000000001E-3</v>
      </c>
      <c r="E45" s="131" t="s">
        <v>100</v>
      </c>
      <c r="F45" s="141"/>
      <c r="G45" s="142" t="s">
        <v>428</v>
      </c>
    </row>
    <row r="46" spans="1:7" s="109" customFormat="1" ht="13.5" customHeight="1">
      <c r="A46" s="531" t="s">
        <v>347</v>
      </c>
      <c r="B46" s="143" t="s">
        <v>421</v>
      </c>
      <c r="C46" s="144">
        <f>ROUND((C33+C39)*F27,0)</f>
        <v>4919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39672</v>
      </c>
      <c r="D49" s="127"/>
      <c r="E49" s="127"/>
      <c r="F49" s="159"/>
      <c r="G49" s="129" t="s">
        <v>429</v>
      </c>
    </row>
    <row r="50" spans="1:7" s="153" customFormat="1" ht="24">
      <c r="A50" s="528" t="s">
        <v>342</v>
      </c>
      <c r="B50" s="105" t="s">
        <v>95</v>
      </c>
      <c r="C50" s="127"/>
      <c r="D50" s="127"/>
      <c r="E50" s="127"/>
      <c r="F50" s="159">
        <f>IF('数据-取费表'!B24=0,'数据-取费表'!N16,1)</f>
        <v>0.92</v>
      </c>
      <c r="G50" s="142" t="s">
        <v>96</v>
      </c>
    </row>
    <row r="51" spans="1:7" ht="16.5" customHeight="1">
      <c r="A51" s="528" t="s">
        <v>343</v>
      </c>
      <c r="B51" s="105" t="s">
        <v>103</v>
      </c>
      <c r="C51" s="127">
        <f ca="1">ROUND(C49*F50,0)</f>
        <v>36498</v>
      </c>
      <c r="D51" s="127"/>
      <c r="E51" s="127"/>
      <c r="F51" s="159"/>
      <c r="G51" s="129" t="s">
        <v>35</v>
      </c>
    </row>
    <row r="52" spans="1:7" s="103" customFormat="1" ht="16.8" thickBot="1">
      <c r="A52" s="160" t="s">
        <v>36</v>
      </c>
      <c r="B52" s="161"/>
      <c r="C52" s="162">
        <f ca="1">C31+C51</f>
        <v>63557</v>
      </c>
      <c r="D52" s="161"/>
      <c r="E52" s="161"/>
      <c r="F52" s="161"/>
      <c r="G52" s="163"/>
    </row>
    <row r="55" spans="1:7" ht="15">
      <c r="B55" s="165" t="s">
        <v>37</v>
      </c>
      <c r="C55" s="166"/>
    </row>
    <row r="56" spans="1:7">
      <c r="B56" s="168" t="s">
        <v>38</v>
      </c>
      <c r="C56" s="169">
        <f ca="1">ROUND(C51/C52,3)</f>
        <v>0.57399999999999995</v>
      </c>
    </row>
    <row r="57" spans="1:7">
      <c r="B57" s="168" t="s">
        <v>39</v>
      </c>
      <c r="C57" s="170">
        <f ca="1">1-C56</f>
        <v>0.42600000000000005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86" customWidth="1"/>
    <col min="2" max="2" width="20" style="2386" customWidth="1"/>
    <col min="3" max="7" width="8.88671875" style="2386"/>
    <col min="8" max="16384" width="8.88671875" style="2262"/>
  </cols>
  <sheetData>
    <row r="1" spans="1:7">
      <c r="A1" s="4756" t="s">
        <v>3066</v>
      </c>
      <c r="B1" s="4756"/>
    </row>
    <row r="2" spans="1:7" ht="15" thickBot="1">
      <c r="A2" s="2387"/>
      <c r="B2" s="2387"/>
    </row>
    <row r="3" spans="1:7" ht="15" thickBot="1">
      <c r="A3" s="2387"/>
      <c r="B3" s="2387"/>
      <c r="C3" s="2388" t="s">
        <v>2696</v>
      </c>
      <c r="D3" s="2388" t="s">
        <v>2752</v>
      </c>
      <c r="E3" s="2388" t="s">
        <v>2698</v>
      </c>
      <c r="F3" s="2388" t="s">
        <v>2753</v>
      </c>
      <c r="G3" s="2388" t="s">
        <v>2516</v>
      </c>
    </row>
    <row r="4" spans="1:7" ht="15" thickBot="1">
      <c r="A4" s="2389" t="s">
        <v>2751</v>
      </c>
      <c r="B4" s="2390" t="s">
        <v>2757</v>
      </c>
      <c r="C4" s="2388"/>
      <c r="D4" s="2388"/>
      <c r="E4" s="2388"/>
      <c r="F4" s="2388"/>
      <c r="G4" s="2388"/>
    </row>
    <row r="5" spans="1:7">
      <c r="A5" s="2391" t="s">
        <v>2725</v>
      </c>
      <c r="B5" s="2392" t="s">
        <v>2739</v>
      </c>
      <c r="C5" s="2393">
        <v>9.8000000000000004E-2</v>
      </c>
      <c r="D5" s="2393">
        <v>8.6999999999999994E-2</v>
      </c>
      <c r="E5" s="2393">
        <v>8.6999999999999994E-2</v>
      </c>
      <c r="F5" s="2393">
        <v>9.8000000000000004E-2</v>
      </c>
      <c r="G5" s="2394">
        <v>9.5000000000000001E-2</v>
      </c>
    </row>
    <row r="6" spans="1:7">
      <c r="A6" s="2395" t="s">
        <v>142</v>
      </c>
      <c r="B6" s="2396" t="s">
        <v>2754</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5" thickBot="1">
      <c r="A9" s="2399" t="s">
        <v>142</v>
      </c>
      <c r="B9" s="2400" t="s">
        <v>152</v>
      </c>
      <c r="C9" s="2401">
        <v>0.1</v>
      </c>
      <c r="D9" s="2401">
        <v>0.1</v>
      </c>
      <c r="E9" s="2401">
        <v>0.1</v>
      </c>
      <c r="F9" s="2402"/>
      <c r="G9" s="2403">
        <v>0.1</v>
      </c>
    </row>
    <row r="10" spans="1:7">
      <c r="A10" s="2391" t="s">
        <v>182</v>
      </c>
      <c r="B10" s="2392" t="s">
        <v>2740</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2790</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5" thickBot="1">
      <c r="A29" s="2399" t="s">
        <v>182</v>
      </c>
      <c r="B29" s="2400" t="s">
        <v>2808</v>
      </c>
      <c r="C29" s="2405"/>
      <c r="D29" s="2401">
        <v>5.1999999999999998E-2</v>
      </c>
      <c r="E29" s="2401">
        <v>7.0000000000000007E-2</v>
      </c>
      <c r="F29" s="2405"/>
      <c r="G29" s="2403">
        <v>7.0999999999999994E-2</v>
      </c>
    </row>
    <row r="30" spans="1:7">
      <c r="A30" s="2406" t="s">
        <v>294</v>
      </c>
      <c r="B30" s="2392" t="s">
        <v>2741</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2727</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2811</v>
      </c>
      <c r="C50" s="2397">
        <v>9.8000000000000004E-2</v>
      </c>
      <c r="D50" s="2397">
        <v>7.2999999999999995E-2</v>
      </c>
      <c r="E50" s="2397">
        <v>7.0999999999999994E-2</v>
      </c>
      <c r="F50" s="2408"/>
      <c r="G50" s="2398">
        <v>7.2999999999999995E-2</v>
      </c>
    </row>
    <row r="51" spans="1:7">
      <c r="A51" s="2407" t="s">
        <v>294</v>
      </c>
      <c r="B51" s="2396" t="s">
        <v>2813</v>
      </c>
      <c r="C51" s="2397">
        <v>9.9000000000000005E-2</v>
      </c>
      <c r="D51" s="2397">
        <v>8.5000000000000006E-2</v>
      </c>
      <c r="E51" s="2397">
        <v>6.3E-2</v>
      </c>
      <c r="F51" s="2408"/>
      <c r="G51" s="2398">
        <v>9.6000000000000002E-2</v>
      </c>
    </row>
    <row r="52" spans="1:7">
      <c r="A52" s="2407" t="s">
        <v>294</v>
      </c>
      <c r="B52" s="2396" t="s">
        <v>2817</v>
      </c>
      <c r="C52" s="2397">
        <v>7.3999999999999996E-2</v>
      </c>
      <c r="D52" s="2397">
        <v>9.6000000000000002E-2</v>
      </c>
      <c r="E52" s="2397">
        <v>0.05</v>
      </c>
      <c r="F52" s="2408"/>
      <c r="G52" s="2398">
        <v>9.8000000000000004E-2</v>
      </c>
    </row>
    <row r="53" spans="1:7">
      <c r="A53" s="2407" t="s">
        <v>294</v>
      </c>
      <c r="B53" s="2396" t="s">
        <v>2822</v>
      </c>
      <c r="C53" s="2397">
        <v>8.5999999999999993E-2</v>
      </c>
      <c r="D53" s="2408"/>
      <c r="E53" s="2397">
        <v>9.1999999999999998E-2</v>
      </c>
      <c r="F53" s="2408"/>
      <c r="G53" s="2409"/>
    </row>
    <row r="54" spans="1:7" ht="15" thickBot="1">
      <c r="A54" s="2410" t="s">
        <v>294</v>
      </c>
      <c r="B54" s="2400" t="s">
        <v>2825</v>
      </c>
      <c r="C54" s="2401">
        <v>9.6000000000000002E-2</v>
      </c>
      <c r="D54" s="2402"/>
      <c r="E54" s="2411"/>
      <c r="F54" s="2402"/>
      <c r="G54" s="2412"/>
    </row>
    <row r="55" spans="1:7">
      <c r="A55" s="2406" t="s">
        <v>108</v>
      </c>
      <c r="B55" s="2392" t="s">
        <v>2742</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2823</v>
      </c>
      <c r="C78" s="2397">
        <v>0.1</v>
      </c>
      <c r="D78" s="2397">
        <v>8.5000000000000006E-2</v>
      </c>
      <c r="E78" s="2397">
        <v>9.6000000000000002E-2</v>
      </c>
      <c r="F78" s="2408"/>
      <c r="G78" s="2398">
        <v>9.6000000000000002E-2</v>
      </c>
    </row>
    <row r="79" spans="1:7">
      <c r="A79" s="2407" t="s">
        <v>108</v>
      </c>
      <c r="B79" s="2396" t="s">
        <v>2826</v>
      </c>
      <c r="C79" s="2397">
        <v>0.05</v>
      </c>
      <c r="D79" s="2397">
        <v>9.6000000000000002E-2</v>
      </c>
      <c r="E79" s="2397">
        <v>9.5000000000000001E-2</v>
      </c>
      <c r="F79" s="2408"/>
      <c r="G79" s="2398">
        <v>9.8000000000000004E-2</v>
      </c>
    </row>
    <row r="80" spans="1:7">
      <c r="A80" s="2407" t="s">
        <v>108</v>
      </c>
      <c r="B80" s="2396" t="s">
        <v>2830</v>
      </c>
      <c r="C80" s="2397">
        <v>8.5999999999999993E-2</v>
      </c>
      <c r="D80" s="2413"/>
      <c r="E80" s="2397">
        <v>0.1</v>
      </c>
      <c r="F80" s="2408"/>
      <c r="G80" s="2409"/>
    </row>
    <row r="81" spans="1:7">
      <c r="A81" s="2407" t="s">
        <v>108</v>
      </c>
      <c r="B81" s="2396" t="s">
        <v>2835</v>
      </c>
      <c r="C81" s="2397">
        <v>9.6000000000000002E-2</v>
      </c>
      <c r="D81" s="2408"/>
      <c r="E81" s="2397">
        <v>9.8000000000000004E-2</v>
      </c>
      <c r="F81" s="2408"/>
      <c r="G81" s="2409"/>
    </row>
    <row r="82" spans="1:7">
      <c r="A82" s="2407" t="s">
        <v>108</v>
      </c>
      <c r="B82" s="2396" t="s">
        <v>2842</v>
      </c>
      <c r="C82" s="2413"/>
      <c r="D82" s="2408"/>
      <c r="E82" s="2397">
        <v>7.6999999999999999E-2</v>
      </c>
      <c r="F82" s="2408"/>
      <c r="G82" s="2409"/>
    </row>
    <row r="83" spans="1:7">
      <c r="A83" s="2407" t="s">
        <v>108</v>
      </c>
      <c r="B83" s="2396" t="s">
        <v>2848</v>
      </c>
      <c r="C83" s="2408"/>
      <c r="D83" s="2408"/>
      <c r="E83" s="2408"/>
      <c r="F83" s="2397">
        <v>0.1</v>
      </c>
      <c r="G83" s="2414"/>
    </row>
    <row r="84" spans="1:7">
      <c r="A84" s="2407" t="s">
        <v>108</v>
      </c>
      <c r="B84" s="2396" t="s">
        <v>2855</v>
      </c>
      <c r="C84" s="2408"/>
      <c r="D84" s="2408"/>
      <c r="E84" s="2408"/>
      <c r="F84" s="2397">
        <v>0.1</v>
      </c>
      <c r="G84" s="2414"/>
    </row>
    <row r="85" spans="1:7">
      <c r="A85" s="2407" t="s">
        <v>108</v>
      </c>
      <c r="B85" s="2396" t="s">
        <v>2862</v>
      </c>
      <c r="C85" s="2408"/>
      <c r="D85" s="2408"/>
      <c r="E85" s="2408"/>
      <c r="F85" s="2397">
        <v>0.1</v>
      </c>
      <c r="G85" s="2414"/>
    </row>
    <row r="86" spans="1:7" ht="15" thickBot="1">
      <c r="A86" s="2410" t="s">
        <v>108</v>
      </c>
      <c r="B86" s="2400" t="s">
        <v>2867</v>
      </c>
      <c r="C86" s="2401">
        <v>9.8000000000000004E-2</v>
      </c>
      <c r="D86" s="2401">
        <v>9.8000000000000004E-2</v>
      </c>
      <c r="E86" s="2401">
        <v>9.6000000000000002E-2</v>
      </c>
      <c r="F86" s="2411"/>
      <c r="G86" s="2403">
        <v>0.1</v>
      </c>
    </row>
    <row r="87" spans="1:7">
      <c r="A87" s="2406" t="s">
        <v>301</v>
      </c>
      <c r="B87" s="2392" t="s">
        <v>2743</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2836</v>
      </c>
      <c r="C113" s="2397">
        <v>0.1</v>
      </c>
      <c r="D113" s="2397">
        <v>0.1</v>
      </c>
      <c r="E113" s="2408"/>
      <c r="F113" s="2408"/>
      <c r="G113" s="2398">
        <v>0.1</v>
      </c>
    </row>
    <row r="114" spans="1:7">
      <c r="A114" s="2407" t="s">
        <v>301</v>
      </c>
      <c r="B114" s="2396" t="s">
        <v>2843</v>
      </c>
      <c r="C114" s="2397">
        <v>9.7000000000000003E-2</v>
      </c>
      <c r="D114" s="2397">
        <v>9.7000000000000003E-2</v>
      </c>
      <c r="E114" s="2408"/>
      <c r="F114" s="2408"/>
      <c r="G114" s="2398">
        <v>9.9000000000000005E-2</v>
      </c>
    </row>
    <row r="115" spans="1:7">
      <c r="A115" s="2407" t="s">
        <v>301</v>
      </c>
      <c r="B115" s="2396" t="s">
        <v>2849</v>
      </c>
      <c r="C115" s="2397">
        <v>0.1</v>
      </c>
      <c r="D115" s="2397">
        <v>0.1</v>
      </c>
      <c r="E115" s="2408"/>
      <c r="F115" s="2408"/>
      <c r="G115" s="2398">
        <v>0.1</v>
      </c>
    </row>
    <row r="116" spans="1:7">
      <c r="A116" s="2407" t="s">
        <v>301</v>
      </c>
      <c r="B116" s="2396" t="s">
        <v>2856</v>
      </c>
      <c r="C116" s="2397">
        <v>0.1</v>
      </c>
      <c r="D116" s="2397">
        <v>0.1</v>
      </c>
      <c r="E116" s="2408"/>
      <c r="F116" s="2408"/>
      <c r="G116" s="2398">
        <v>0.1</v>
      </c>
    </row>
    <row r="117" spans="1:7">
      <c r="A117" s="2407" t="s">
        <v>301</v>
      </c>
      <c r="B117" s="2396" t="s">
        <v>2863</v>
      </c>
      <c r="C117" s="2397">
        <v>9.7000000000000003E-2</v>
      </c>
      <c r="D117" s="2397">
        <v>9.7000000000000003E-2</v>
      </c>
      <c r="E117" s="2408"/>
      <c r="F117" s="2408"/>
      <c r="G117" s="2398">
        <v>9.7000000000000003E-2</v>
      </c>
    </row>
    <row r="118" spans="1:7">
      <c r="A118" s="2407" t="s">
        <v>301</v>
      </c>
      <c r="B118" s="2396" t="s">
        <v>2868</v>
      </c>
      <c r="C118" s="2397">
        <v>0.1</v>
      </c>
      <c r="D118" s="2397">
        <v>0.1</v>
      </c>
      <c r="E118" s="2408"/>
      <c r="F118" s="2408"/>
      <c r="G118" s="2398">
        <v>0.1</v>
      </c>
    </row>
    <row r="119" spans="1:7">
      <c r="A119" s="2407" t="s">
        <v>301</v>
      </c>
      <c r="B119" s="2396" t="s">
        <v>2872</v>
      </c>
      <c r="C119" s="2397">
        <v>5.0999999999999997E-2</v>
      </c>
      <c r="D119" s="2397">
        <v>5.1999999999999998E-2</v>
      </c>
      <c r="E119" s="2408"/>
      <c r="F119" s="2413"/>
      <c r="G119" s="2398">
        <v>0.06</v>
      </c>
    </row>
    <row r="120" spans="1:7">
      <c r="A120" s="2407" t="s">
        <v>301</v>
      </c>
      <c r="B120" s="2396" t="s">
        <v>2876</v>
      </c>
      <c r="C120" s="2408"/>
      <c r="D120" s="2408"/>
      <c r="E120" s="2408"/>
      <c r="F120" s="2397">
        <v>0.1</v>
      </c>
      <c r="G120" s="2414"/>
    </row>
    <row r="121" spans="1:7">
      <c r="A121" s="2407" t="s">
        <v>301</v>
      </c>
      <c r="B121" s="2396" t="s">
        <v>2881</v>
      </c>
      <c r="C121" s="2408"/>
      <c r="D121" s="2408"/>
      <c r="E121" s="2408"/>
      <c r="F121" s="2397">
        <v>0.1</v>
      </c>
      <c r="G121" s="2414"/>
    </row>
    <row r="122" spans="1:7">
      <c r="A122" s="2407" t="s">
        <v>301</v>
      </c>
      <c r="B122" s="2396" t="s">
        <v>2886</v>
      </c>
      <c r="C122" s="2397">
        <v>0.1</v>
      </c>
      <c r="D122" s="2397">
        <v>0.1</v>
      </c>
      <c r="E122" s="2397">
        <v>9.8000000000000004E-2</v>
      </c>
      <c r="F122" s="2397">
        <v>0.1</v>
      </c>
      <c r="G122" s="2398">
        <v>0.1</v>
      </c>
    </row>
    <row r="123" spans="1:7">
      <c r="A123" s="2407" t="s">
        <v>301</v>
      </c>
      <c r="B123" s="2396" t="s">
        <v>2891</v>
      </c>
      <c r="C123" s="2397">
        <v>0.1</v>
      </c>
      <c r="D123" s="2397">
        <v>0.1</v>
      </c>
      <c r="E123" s="2397">
        <v>9.8000000000000004E-2</v>
      </c>
      <c r="F123" s="2397">
        <v>0.1</v>
      </c>
      <c r="G123" s="2398">
        <v>0.1</v>
      </c>
    </row>
    <row r="124" spans="1:7">
      <c r="A124" s="2407" t="s">
        <v>301</v>
      </c>
      <c r="B124" s="2396" t="s">
        <v>2896</v>
      </c>
      <c r="C124" s="2397">
        <v>0.1</v>
      </c>
      <c r="D124" s="2397">
        <v>0.1</v>
      </c>
      <c r="E124" s="2397">
        <v>9.8000000000000004E-2</v>
      </c>
      <c r="F124" s="2413"/>
      <c r="G124" s="2398">
        <v>0.1</v>
      </c>
    </row>
    <row r="125" spans="1:7">
      <c r="A125" s="2407" t="s">
        <v>301</v>
      </c>
      <c r="B125" s="2396" t="s">
        <v>2901</v>
      </c>
      <c r="C125" s="2397">
        <v>9.8000000000000004E-2</v>
      </c>
      <c r="D125" s="2397">
        <v>9.8000000000000004E-2</v>
      </c>
      <c r="E125" s="2397">
        <v>9.6000000000000002E-2</v>
      </c>
      <c r="F125" s="2413"/>
      <c r="G125" s="2398">
        <v>0.1</v>
      </c>
    </row>
    <row r="126" spans="1:7" ht="15" thickBot="1">
      <c r="A126" s="2410" t="s">
        <v>301</v>
      </c>
      <c r="B126" s="2400" t="s">
        <v>3067</v>
      </c>
      <c r="C126" s="2401">
        <v>0.1</v>
      </c>
      <c r="D126" s="2401">
        <v>0.1</v>
      </c>
      <c r="E126" s="2401">
        <v>9.8000000000000004E-2</v>
      </c>
      <c r="F126" s="2401">
        <v>0.1</v>
      </c>
      <c r="G126" s="2403">
        <v>0.1</v>
      </c>
    </row>
    <row r="127" spans="1:7">
      <c r="A127" s="2406" t="s">
        <v>27</v>
      </c>
      <c r="B127" s="2392" t="s">
        <v>2744</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2814</v>
      </c>
      <c r="C148" s="2397">
        <v>0.13</v>
      </c>
      <c r="D148" s="2397">
        <v>0.13</v>
      </c>
      <c r="E148" s="2397">
        <v>0.13</v>
      </c>
      <c r="F148" s="2408"/>
      <c r="G148" s="2398">
        <v>0.13</v>
      </c>
    </row>
    <row r="149" spans="1:7">
      <c r="A149" s="2407" t="s">
        <v>27</v>
      </c>
      <c r="B149" s="2396" t="s">
        <v>2818</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2837</v>
      </c>
      <c r="C153" s="2397">
        <v>0.13</v>
      </c>
      <c r="D153" s="2397">
        <v>0.13</v>
      </c>
      <c r="E153" s="2397">
        <v>0.13</v>
      </c>
      <c r="F153" s="2397">
        <v>0.13</v>
      </c>
      <c r="G153" s="2398">
        <v>0.13</v>
      </c>
    </row>
    <row r="154" spans="1:7">
      <c r="A154" s="2407" t="s">
        <v>27</v>
      </c>
      <c r="B154" s="2396" t="s">
        <v>2844</v>
      </c>
      <c r="C154" s="2397">
        <v>0.121</v>
      </c>
      <c r="D154" s="2397">
        <v>0.121</v>
      </c>
      <c r="E154" s="2397">
        <v>0.105</v>
      </c>
      <c r="F154" s="2397">
        <v>0.121</v>
      </c>
      <c r="G154" s="2398">
        <v>0.123</v>
      </c>
    </row>
    <row r="155" spans="1:7">
      <c r="A155" s="2407" t="s">
        <v>27</v>
      </c>
      <c r="B155" s="2396" t="s">
        <v>2850</v>
      </c>
      <c r="C155" s="2397">
        <v>0.1</v>
      </c>
      <c r="D155" s="2397">
        <v>0.1</v>
      </c>
      <c r="E155" s="2397">
        <v>0.1</v>
      </c>
      <c r="F155" s="2397">
        <v>0.1</v>
      </c>
      <c r="G155" s="2398">
        <v>0.1</v>
      </c>
    </row>
    <row r="156" spans="1:7">
      <c r="A156" s="2407" t="s">
        <v>27</v>
      </c>
      <c r="B156" s="2396" t="s">
        <v>2857</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2877</v>
      </c>
      <c r="C160" s="2397">
        <v>0.13</v>
      </c>
      <c r="D160" s="2397">
        <v>0.13</v>
      </c>
      <c r="E160" s="2397">
        <v>0.124</v>
      </c>
      <c r="F160" s="2397">
        <v>0.126</v>
      </c>
      <c r="G160" s="2398">
        <v>0.13</v>
      </c>
    </row>
    <row r="161" spans="1:7">
      <c r="A161" s="2407" t="s">
        <v>27</v>
      </c>
      <c r="B161" s="2396" t="s">
        <v>2882</v>
      </c>
      <c r="C161" s="2397">
        <v>0.13</v>
      </c>
      <c r="D161" s="2397">
        <v>0.13</v>
      </c>
      <c r="E161" s="2397">
        <v>0.124</v>
      </c>
      <c r="F161" s="2397">
        <v>0.127</v>
      </c>
      <c r="G161" s="2398">
        <v>0.13</v>
      </c>
    </row>
    <row r="162" spans="1:7">
      <c r="A162" s="2407" t="s">
        <v>27</v>
      </c>
      <c r="B162" s="2396" t="s">
        <v>2887</v>
      </c>
      <c r="C162" s="2397">
        <v>0.1</v>
      </c>
      <c r="D162" s="2397">
        <v>0.1</v>
      </c>
      <c r="E162" s="2397">
        <v>0.1</v>
      </c>
      <c r="F162" s="2397">
        <v>0.121</v>
      </c>
      <c r="G162" s="2398">
        <v>0.105</v>
      </c>
    </row>
    <row r="163" spans="1:7">
      <c r="A163" s="2407" t="s">
        <v>27</v>
      </c>
      <c r="B163" s="2396" t="s">
        <v>2892</v>
      </c>
      <c r="C163" s="2397">
        <v>0.1</v>
      </c>
      <c r="D163" s="2397">
        <v>0.1</v>
      </c>
      <c r="E163" s="2397">
        <v>0.1</v>
      </c>
      <c r="F163" s="2397">
        <v>0.1</v>
      </c>
      <c r="G163" s="2398">
        <v>0.1</v>
      </c>
    </row>
    <row r="164" spans="1:7">
      <c r="A164" s="2407" t="s">
        <v>27</v>
      </c>
      <c r="B164" s="2396" t="s">
        <v>2897</v>
      </c>
      <c r="C164" s="2413"/>
      <c r="D164" s="2413"/>
      <c r="E164" s="2413"/>
      <c r="F164" s="2397">
        <v>0.1</v>
      </c>
      <c r="G164" s="2409"/>
    </row>
    <row r="165" spans="1:7">
      <c r="A165" s="2407" t="s">
        <v>27</v>
      </c>
      <c r="B165" s="2396" t="s">
        <v>3068</v>
      </c>
      <c r="C165" s="2397">
        <v>0.126</v>
      </c>
      <c r="D165" s="2397">
        <v>0.126</v>
      </c>
      <c r="E165" s="2397">
        <v>0.11899999999999999</v>
      </c>
      <c r="F165" s="2397">
        <v>0.13</v>
      </c>
      <c r="G165" s="2398">
        <v>0.128</v>
      </c>
    </row>
    <row r="166" spans="1:7">
      <c r="A166" s="2407" t="s">
        <v>27</v>
      </c>
      <c r="B166" s="2396" t="s">
        <v>2907</v>
      </c>
      <c r="C166" s="2397">
        <v>0.129</v>
      </c>
      <c r="D166" s="2397">
        <v>0.129</v>
      </c>
      <c r="E166" s="2397">
        <v>0.123</v>
      </c>
      <c r="F166" s="2397">
        <v>0.128</v>
      </c>
      <c r="G166" s="2398">
        <v>0.13</v>
      </c>
    </row>
    <row r="167" spans="1:7">
      <c r="A167" s="2407" t="s">
        <v>27</v>
      </c>
      <c r="B167" s="2396" t="s">
        <v>2911</v>
      </c>
      <c r="C167" s="2397">
        <v>0.125</v>
      </c>
      <c r="D167" s="2397">
        <v>0.125</v>
      </c>
      <c r="E167" s="2397">
        <v>0.11700000000000001</v>
      </c>
      <c r="F167" s="2397">
        <v>0.13</v>
      </c>
      <c r="G167" s="2398">
        <v>0.126</v>
      </c>
    </row>
    <row r="168" spans="1:7">
      <c r="A168" s="2407" t="s">
        <v>27</v>
      </c>
      <c r="B168" s="2396" t="s">
        <v>2916</v>
      </c>
      <c r="C168" s="2397">
        <v>0.128</v>
      </c>
      <c r="D168" s="2397">
        <v>0.128</v>
      </c>
      <c r="E168" s="2397">
        <v>0.123</v>
      </c>
      <c r="F168" s="2408"/>
      <c r="G168" s="2398">
        <v>0.13</v>
      </c>
    </row>
    <row r="169" spans="1:7">
      <c r="A169" s="2407" t="s">
        <v>27</v>
      </c>
      <c r="B169" s="2396" t="s">
        <v>3069</v>
      </c>
      <c r="C169" s="2413"/>
      <c r="D169" s="2413"/>
      <c r="E169" s="2413"/>
      <c r="F169" s="2397">
        <v>0.05</v>
      </c>
      <c r="G169" s="2409"/>
    </row>
    <row r="170" spans="1:7">
      <c r="A170" s="2407" t="s">
        <v>27</v>
      </c>
      <c r="B170" s="2396" t="s">
        <v>3070</v>
      </c>
      <c r="C170" s="2413"/>
      <c r="D170" s="2413"/>
      <c r="E170" s="2413"/>
      <c r="F170" s="2397">
        <v>0.05</v>
      </c>
      <c r="G170" s="2409"/>
    </row>
    <row r="171" spans="1:7">
      <c r="A171" s="2407" t="s">
        <v>27</v>
      </c>
      <c r="B171" s="2396" t="s">
        <v>3071</v>
      </c>
      <c r="C171" s="2413"/>
      <c r="D171" s="2413"/>
      <c r="E171" s="2413"/>
      <c r="F171" s="2397">
        <v>0.05</v>
      </c>
      <c r="G171" s="2414"/>
    </row>
    <row r="172" spans="1:7">
      <c r="A172" s="2407" t="s">
        <v>27</v>
      </c>
      <c r="B172" s="2396" t="s">
        <v>3072</v>
      </c>
      <c r="C172" s="2413"/>
      <c r="D172" s="2413"/>
      <c r="E172" s="2413"/>
      <c r="F172" s="2397">
        <v>0.05</v>
      </c>
      <c r="G172" s="2414"/>
    </row>
    <row r="173" spans="1:7">
      <c r="A173" s="2407" t="s">
        <v>27</v>
      </c>
      <c r="B173" s="2396" t="s">
        <v>3073</v>
      </c>
      <c r="C173" s="2413"/>
      <c r="D173" s="2413"/>
      <c r="E173" s="2413"/>
      <c r="F173" s="2397">
        <v>0.05</v>
      </c>
      <c r="G173" s="2409"/>
    </row>
    <row r="174" spans="1:7">
      <c r="A174" s="2407" t="s">
        <v>27</v>
      </c>
      <c r="B174" s="2396" t="s">
        <v>3074</v>
      </c>
      <c r="C174" s="2413"/>
      <c r="D174" s="2413"/>
      <c r="E174" s="2413"/>
      <c r="F174" s="2397">
        <v>0.05</v>
      </c>
      <c r="G174" s="2409"/>
    </row>
    <row r="175" spans="1:7">
      <c r="A175" s="2407" t="s">
        <v>27</v>
      </c>
      <c r="B175" s="2396" t="s">
        <v>3075</v>
      </c>
      <c r="C175" s="2413"/>
      <c r="D175" s="2413"/>
      <c r="E175" s="2413"/>
      <c r="F175" s="2397">
        <v>0.05</v>
      </c>
      <c r="G175" s="2409"/>
    </row>
    <row r="176" spans="1:7">
      <c r="A176" s="2407" t="s">
        <v>27</v>
      </c>
      <c r="B176" s="2396" t="s">
        <v>3076</v>
      </c>
      <c r="C176" s="2413"/>
      <c r="D176" s="2413"/>
      <c r="E176" s="2413"/>
      <c r="F176" s="2397">
        <v>0.05</v>
      </c>
      <c r="G176" s="2409"/>
    </row>
    <row r="177" spans="1:7">
      <c r="A177" s="2407" t="s">
        <v>27</v>
      </c>
      <c r="B177" s="2396" t="s">
        <v>3077</v>
      </c>
      <c r="C177" s="2408"/>
      <c r="D177" s="2408"/>
      <c r="E177" s="2408"/>
      <c r="F177" s="2397">
        <v>0.05</v>
      </c>
      <c r="G177" s="2414"/>
    </row>
    <row r="178" spans="1:7">
      <c r="A178" s="2407" t="s">
        <v>27</v>
      </c>
      <c r="B178" s="2396" t="s">
        <v>3078</v>
      </c>
      <c r="C178" s="2408"/>
      <c r="D178" s="2408"/>
      <c r="E178" s="2408"/>
      <c r="F178" s="2397">
        <v>0.05</v>
      </c>
      <c r="G178" s="2414"/>
    </row>
    <row r="179" spans="1:7">
      <c r="A179" s="2407" t="s">
        <v>27</v>
      </c>
      <c r="B179" s="2396" t="s">
        <v>3079</v>
      </c>
      <c r="C179" s="2408"/>
      <c r="D179" s="2408"/>
      <c r="E179" s="2408"/>
      <c r="F179" s="2397">
        <v>0.05</v>
      </c>
      <c r="G179" s="2414"/>
    </row>
    <row r="180" spans="1:7">
      <c r="A180" s="2407" t="s">
        <v>27</v>
      </c>
      <c r="B180" s="2396" t="s">
        <v>3080</v>
      </c>
      <c r="C180" s="2408"/>
      <c r="D180" s="2408"/>
      <c r="E180" s="2408"/>
      <c r="F180" s="2397">
        <v>0.05</v>
      </c>
      <c r="G180" s="2414"/>
    </row>
    <row r="181" spans="1:7">
      <c r="A181" s="2407" t="s">
        <v>27</v>
      </c>
      <c r="B181" s="2396" t="s">
        <v>3081</v>
      </c>
      <c r="C181" s="2408"/>
      <c r="D181" s="2408"/>
      <c r="E181" s="2408"/>
      <c r="F181" s="2397">
        <v>0.05</v>
      </c>
      <c r="G181" s="2414"/>
    </row>
    <row r="182" spans="1:7">
      <c r="A182" s="2407" t="s">
        <v>27</v>
      </c>
      <c r="B182" s="2396" t="s">
        <v>3082</v>
      </c>
      <c r="C182" s="2408"/>
      <c r="D182" s="2408"/>
      <c r="E182" s="2408"/>
      <c r="F182" s="2397">
        <v>0.05</v>
      </c>
      <c r="G182" s="2414"/>
    </row>
    <row r="183" spans="1:7">
      <c r="A183" s="2407" t="s">
        <v>27</v>
      </c>
      <c r="B183" s="2396" t="s">
        <v>3083</v>
      </c>
      <c r="C183" s="2408"/>
      <c r="D183" s="2408"/>
      <c r="E183" s="2408"/>
      <c r="F183" s="2397">
        <v>0.05</v>
      </c>
      <c r="G183" s="2414"/>
    </row>
    <row r="184" spans="1:7">
      <c r="A184" s="2407" t="s">
        <v>27</v>
      </c>
      <c r="B184" s="2396" t="s">
        <v>3084</v>
      </c>
      <c r="C184" s="2408"/>
      <c r="D184" s="2408"/>
      <c r="E184" s="2408"/>
      <c r="F184" s="2397">
        <v>0.05</v>
      </c>
      <c r="G184" s="2414"/>
    </row>
    <row r="185" spans="1:7">
      <c r="A185" s="2407" t="s">
        <v>27</v>
      </c>
      <c r="B185" s="2396" t="s">
        <v>3085</v>
      </c>
      <c r="C185" s="2408"/>
      <c r="D185" s="2408"/>
      <c r="E185" s="2408"/>
      <c r="F185" s="2397">
        <v>0.05</v>
      </c>
      <c r="G185" s="2414"/>
    </row>
    <row r="186" spans="1:7">
      <c r="A186" s="2407" t="s">
        <v>27</v>
      </c>
      <c r="B186" s="2396" t="s">
        <v>3086</v>
      </c>
      <c r="C186" s="2408"/>
      <c r="D186" s="2408"/>
      <c r="E186" s="2408"/>
      <c r="F186" s="2397">
        <v>0.05</v>
      </c>
      <c r="G186" s="2414"/>
    </row>
    <row r="187" spans="1:7">
      <c r="A187" s="2407" t="s">
        <v>27</v>
      </c>
      <c r="B187" s="2396" t="s">
        <v>3087</v>
      </c>
      <c r="C187" s="2408"/>
      <c r="D187" s="2408"/>
      <c r="E187" s="2408"/>
      <c r="F187" s="2397">
        <v>0.05</v>
      </c>
      <c r="G187" s="2414"/>
    </row>
    <row r="188" spans="1:7">
      <c r="A188" s="2407" t="s">
        <v>27</v>
      </c>
      <c r="B188" s="2396" t="s">
        <v>3088</v>
      </c>
      <c r="C188" s="2408"/>
      <c r="D188" s="2408"/>
      <c r="E188" s="2408"/>
      <c r="F188" s="2397">
        <v>0.05</v>
      </c>
      <c r="G188" s="2414"/>
    </row>
    <row r="189" spans="1:7" ht="15" thickBot="1">
      <c r="A189" s="2410" t="s">
        <v>27</v>
      </c>
      <c r="B189" s="2400" t="s">
        <v>3089</v>
      </c>
      <c r="C189" s="2402"/>
      <c r="D189" s="2402"/>
      <c r="E189" s="2402"/>
      <c r="F189" s="2401">
        <v>0.05</v>
      </c>
      <c r="G189" s="2415"/>
    </row>
    <row r="190" spans="1:7">
      <c r="A190" s="2406" t="s">
        <v>302</v>
      </c>
      <c r="B190" s="2392" t="s">
        <v>2745</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2781</v>
      </c>
      <c r="C199" s="2397">
        <v>0.13</v>
      </c>
      <c r="D199" s="2397">
        <v>0.13</v>
      </c>
      <c r="E199" s="2397">
        <v>0.13</v>
      </c>
      <c r="F199" s="2397">
        <v>0.13</v>
      </c>
      <c r="G199" s="2398">
        <v>0.13</v>
      </c>
    </row>
    <row r="200" spans="1:7">
      <c r="A200" s="2407" t="s">
        <v>302</v>
      </c>
      <c r="B200" s="2396" t="s">
        <v>2784</v>
      </c>
      <c r="C200" s="2413"/>
      <c r="D200" s="2413"/>
      <c r="E200" s="2413"/>
      <c r="F200" s="2397">
        <v>0.13</v>
      </c>
      <c r="G200" s="2409"/>
    </row>
    <row r="201" spans="1:7">
      <c r="A201" s="2407" t="s">
        <v>302</v>
      </c>
      <c r="B201" s="2396" t="s">
        <v>2789</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2792</v>
      </c>
      <c r="C203" s="2397">
        <v>0.129</v>
      </c>
      <c r="D203" s="2397">
        <v>0.129</v>
      </c>
      <c r="E203" s="2397">
        <v>0.13</v>
      </c>
      <c r="F203" s="2397">
        <v>0.13</v>
      </c>
      <c r="G203" s="2398">
        <v>0.13</v>
      </c>
    </row>
    <row r="204" spans="1:7">
      <c r="A204" s="2407" t="s">
        <v>302</v>
      </c>
      <c r="B204" s="2396" t="s">
        <v>2795</v>
      </c>
      <c r="C204" s="2397">
        <v>0.129</v>
      </c>
      <c r="D204" s="2397">
        <v>0.129</v>
      </c>
      <c r="E204" s="2397">
        <v>0.123</v>
      </c>
      <c r="F204" s="2397">
        <v>0.13</v>
      </c>
      <c r="G204" s="2398">
        <v>0.13</v>
      </c>
    </row>
    <row r="205" spans="1:7">
      <c r="A205" s="2407" t="s">
        <v>302</v>
      </c>
      <c r="B205" s="2396" t="s">
        <v>2797</v>
      </c>
      <c r="C205" s="2397">
        <v>0.13</v>
      </c>
      <c r="D205" s="2397">
        <v>0.13</v>
      </c>
      <c r="E205" s="2397">
        <v>0.13</v>
      </c>
      <c r="F205" s="2397">
        <v>0.13</v>
      </c>
      <c r="G205" s="2398">
        <v>0.13</v>
      </c>
    </row>
    <row r="206" spans="1:7">
      <c r="A206" s="2407" t="s">
        <v>302</v>
      </c>
      <c r="B206" s="2396" t="s">
        <v>2800</v>
      </c>
      <c r="C206" s="2397">
        <v>0.13</v>
      </c>
      <c r="D206" s="2397">
        <v>0.13</v>
      </c>
      <c r="E206" s="2397">
        <v>0.13</v>
      </c>
      <c r="F206" s="2397">
        <v>0.128</v>
      </c>
      <c r="G206" s="2398">
        <v>0.13</v>
      </c>
    </row>
    <row r="207" spans="1:7">
      <c r="A207" s="2407" t="s">
        <v>302</v>
      </c>
      <c r="B207" s="2396" t="s">
        <v>2802</v>
      </c>
      <c r="C207" s="2397">
        <v>0.13</v>
      </c>
      <c r="D207" s="2397">
        <v>0.13</v>
      </c>
      <c r="E207" s="2397">
        <v>0.13</v>
      </c>
      <c r="F207" s="2397">
        <v>0.13</v>
      </c>
      <c r="G207" s="2398">
        <v>0.13</v>
      </c>
    </row>
    <row r="208" spans="1:7">
      <c r="A208" s="2407" t="s">
        <v>302</v>
      </c>
      <c r="B208" s="2396" t="s">
        <v>2805</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2812</v>
      </c>
      <c r="C210" s="2397">
        <v>0.121</v>
      </c>
      <c r="D210" s="2397">
        <v>0.121</v>
      </c>
      <c r="E210" s="2397">
        <v>0.125</v>
      </c>
      <c r="F210" s="2397">
        <v>0.13</v>
      </c>
      <c r="G210" s="2398">
        <v>0.123</v>
      </c>
    </row>
    <row r="211" spans="1:7">
      <c r="A211" s="2407" t="s">
        <v>302</v>
      </c>
      <c r="B211" s="2396" t="s">
        <v>2815</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2827</v>
      </c>
      <c r="C214" s="2397">
        <v>0.128</v>
      </c>
      <c r="D214" s="2397">
        <v>0.128</v>
      </c>
      <c r="E214" s="2397">
        <v>0.13</v>
      </c>
      <c r="F214" s="2397">
        <v>0.13</v>
      </c>
      <c r="G214" s="2398">
        <v>0.13</v>
      </c>
    </row>
    <row r="215" spans="1:7">
      <c r="A215" s="2407" t="s">
        <v>302</v>
      </c>
      <c r="B215" s="2396" t="s">
        <v>2831</v>
      </c>
      <c r="C215" s="2397">
        <v>0.13</v>
      </c>
      <c r="D215" s="2397">
        <v>0.13</v>
      </c>
      <c r="E215" s="2397">
        <v>0.13</v>
      </c>
      <c r="F215" s="2397">
        <v>0.129</v>
      </c>
      <c r="G215" s="2398">
        <v>0.13</v>
      </c>
    </row>
    <row r="216" spans="1:7">
      <c r="A216" s="2407" t="s">
        <v>302</v>
      </c>
      <c r="B216" s="2396" t="s">
        <v>2838</v>
      </c>
      <c r="C216" s="2397">
        <v>0.13</v>
      </c>
      <c r="D216" s="2397">
        <v>0.13</v>
      </c>
      <c r="E216" s="2397">
        <v>0.13</v>
      </c>
      <c r="F216" s="2397">
        <v>0.13</v>
      </c>
      <c r="G216" s="2398">
        <v>0.13</v>
      </c>
    </row>
    <row r="217" spans="1:7">
      <c r="A217" s="2407" t="s">
        <v>302</v>
      </c>
      <c r="B217" s="2396" t="s">
        <v>2845</v>
      </c>
      <c r="C217" s="2397">
        <v>0.129</v>
      </c>
      <c r="D217" s="2397">
        <v>0.129</v>
      </c>
      <c r="E217" s="2397">
        <v>0.13</v>
      </c>
      <c r="F217" s="2397">
        <v>0.13</v>
      </c>
      <c r="G217" s="2398">
        <v>0.13</v>
      </c>
    </row>
    <row r="218" spans="1:7">
      <c r="A218" s="2407" t="s">
        <v>302</v>
      </c>
      <c r="B218" s="2396" t="s">
        <v>2851</v>
      </c>
      <c r="C218" s="2408"/>
      <c r="D218" s="2408"/>
      <c r="E218" s="2408"/>
      <c r="F218" s="2397">
        <v>0.05</v>
      </c>
      <c r="G218" s="2414"/>
    </row>
    <row r="219" spans="1:7">
      <c r="A219" s="2407" t="s">
        <v>302</v>
      </c>
      <c r="B219" s="2396" t="s">
        <v>2858</v>
      </c>
      <c r="C219" s="2408"/>
      <c r="D219" s="2408"/>
      <c r="E219" s="2408"/>
      <c r="F219" s="2397">
        <v>0.05</v>
      </c>
      <c r="G219" s="2414"/>
    </row>
    <row r="220" spans="1:7">
      <c r="A220" s="2407" t="s">
        <v>302</v>
      </c>
      <c r="B220" s="2396" t="s">
        <v>2864</v>
      </c>
      <c r="C220" s="2408"/>
      <c r="D220" s="2408"/>
      <c r="E220" s="2408"/>
      <c r="F220" s="2397">
        <v>0.05</v>
      </c>
      <c r="G220" s="2414"/>
    </row>
    <row r="221" spans="1:7">
      <c r="A221" s="2407" t="s">
        <v>302</v>
      </c>
      <c r="B221" s="2396" t="s">
        <v>2869</v>
      </c>
      <c r="C221" s="2408"/>
      <c r="D221" s="2408"/>
      <c r="E221" s="2408"/>
      <c r="F221" s="2397">
        <v>0.05</v>
      </c>
      <c r="G221" s="2414"/>
    </row>
    <row r="222" spans="1:7">
      <c r="A222" s="2407" t="s">
        <v>302</v>
      </c>
      <c r="B222" s="2396" t="s">
        <v>2873</v>
      </c>
      <c r="C222" s="2408"/>
      <c r="D222" s="2408"/>
      <c r="E222" s="2408"/>
      <c r="F222" s="2397">
        <v>0.05</v>
      </c>
      <c r="G222" s="2414"/>
    </row>
    <row r="223" spans="1:7">
      <c r="A223" s="2407" t="s">
        <v>302</v>
      </c>
      <c r="B223" s="2396" t="s">
        <v>2878</v>
      </c>
      <c r="C223" s="2408"/>
      <c r="D223" s="2408"/>
      <c r="E223" s="2408"/>
      <c r="F223" s="2397">
        <v>0.05</v>
      </c>
      <c r="G223" s="2414"/>
    </row>
    <row r="224" spans="1:7">
      <c r="A224" s="2407" t="s">
        <v>302</v>
      </c>
      <c r="B224" s="2396" t="s">
        <v>2883</v>
      </c>
      <c r="C224" s="2408"/>
      <c r="D224" s="2408"/>
      <c r="E224" s="2408"/>
      <c r="F224" s="2397">
        <v>0.05</v>
      </c>
      <c r="G224" s="2414"/>
    </row>
    <row r="225" spans="1:7">
      <c r="A225" s="2407" t="s">
        <v>302</v>
      </c>
      <c r="B225" s="2396" t="s">
        <v>2888</v>
      </c>
      <c r="C225" s="2408"/>
      <c r="D225" s="2408"/>
      <c r="E225" s="2408"/>
      <c r="F225" s="2397">
        <v>0.05</v>
      </c>
      <c r="G225" s="2414"/>
    </row>
    <row r="226" spans="1:7">
      <c r="A226" s="2407" t="s">
        <v>302</v>
      </c>
      <c r="B226" s="2396" t="s">
        <v>3090</v>
      </c>
      <c r="C226" s="2408"/>
      <c r="D226" s="2408"/>
      <c r="E226" s="2408"/>
      <c r="F226" s="2397">
        <v>0.05</v>
      </c>
      <c r="G226" s="2414"/>
    </row>
    <row r="227" spans="1:7">
      <c r="A227" s="2407" t="s">
        <v>302</v>
      </c>
      <c r="B227" s="2396" t="s">
        <v>3091</v>
      </c>
      <c r="C227" s="2408"/>
      <c r="D227" s="2408"/>
      <c r="E227" s="2408"/>
      <c r="F227" s="2397">
        <v>0.05</v>
      </c>
      <c r="G227" s="2414"/>
    </row>
    <row r="228" spans="1:7">
      <c r="A228" s="2407" t="s">
        <v>302</v>
      </c>
      <c r="B228" s="2396" t="s">
        <v>3092</v>
      </c>
      <c r="C228" s="2408"/>
      <c r="D228" s="2408"/>
      <c r="E228" s="2408"/>
      <c r="F228" s="2397">
        <v>0.05</v>
      </c>
      <c r="G228" s="2414"/>
    </row>
    <row r="229" spans="1:7">
      <c r="A229" s="2407" t="s">
        <v>302</v>
      </c>
      <c r="B229" s="2396" t="s">
        <v>3093</v>
      </c>
      <c r="C229" s="2408"/>
      <c r="D229" s="2408"/>
      <c r="E229" s="2408"/>
      <c r="F229" s="2397">
        <v>0.05</v>
      </c>
      <c r="G229" s="2414"/>
    </row>
    <row r="230" spans="1:7">
      <c r="A230" s="2407" t="s">
        <v>302</v>
      </c>
      <c r="B230" s="2396" t="s">
        <v>3094</v>
      </c>
      <c r="C230" s="2408"/>
      <c r="D230" s="2408"/>
      <c r="E230" s="2408"/>
      <c r="F230" s="2397">
        <v>0.05</v>
      </c>
      <c r="G230" s="2414"/>
    </row>
    <row r="231" spans="1:7">
      <c r="A231" s="2407" t="s">
        <v>302</v>
      </c>
      <c r="B231" s="2396" t="s">
        <v>3095</v>
      </c>
      <c r="C231" s="2408"/>
      <c r="D231" s="2408"/>
      <c r="E231" s="2408"/>
      <c r="F231" s="2397">
        <v>0.05</v>
      </c>
      <c r="G231" s="2414"/>
    </row>
    <row r="232" spans="1:7">
      <c r="A232" s="2407" t="s">
        <v>302</v>
      </c>
      <c r="B232" s="2396" t="s">
        <v>3096</v>
      </c>
      <c r="C232" s="2408"/>
      <c r="D232" s="2408"/>
      <c r="E232" s="2408"/>
      <c r="F232" s="2397">
        <v>0.05</v>
      </c>
      <c r="G232" s="2414"/>
    </row>
    <row r="233" spans="1:7" ht="15" thickBot="1">
      <c r="A233" s="2410" t="s">
        <v>302</v>
      </c>
      <c r="B233" s="2400" t="s">
        <v>3097</v>
      </c>
      <c r="C233" s="2402"/>
      <c r="D233" s="2402"/>
      <c r="E233" s="2402"/>
      <c r="F233" s="2401">
        <v>0.05</v>
      </c>
      <c r="G233" s="2415"/>
    </row>
    <row r="234" spans="1:7">
      <c r="A234" s="2406" t="s">
        <v>303</v>
      </c>
      <c r="B234" s="2392" t="s">
        <v>2746</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2766</v>
      </c>
      <c r="C238" s="2397">
        <v>0.14899999999999999</v>
      </c>
      <c r="D238" s="2397">
        <v>0.14899999999999999</v>
      </c>
      <c r="E238" s="2397">
        <v>0.15</v>
      </c>
      <c r="F238" s="2397">
        <v>0.15</v>
      </c>
      <c r="G238" s="2398">
        <v>0.15</v>
      </c>
    </row>
    <row r="239" spans="1:7">
      <c r="A239" s="2407" t="s">
        <v>303</v>
      </c>
      <c r="B239" s="2396" t="s">
        <v>2770</v>
      </c>
      <c r="C239" s="2397">
        <v>0.15</v>
      </c>
      <c r="D239" s="2397">
        <v>0.15</v>
      </c>
      <c r="E239" s="2397">
        <v>0.15</v>
      </c>
      <c r="F239" s="2397">
        <v>0.15</v>
      </c>
      <c r="G239" s="2398">
        <v>0.15</v>
      </c>
    </row>
    <row r="240" spans="1:7">
      <c r="A240" s="2407" t="s">
        <v>303</v>
      </c>
      <c r="B240" s="2396" t="s">
        <v>2775</v>
      </c>
      <c r="C240" s="2397">
        <v>0.15</v>
      </c>
      <c r="D240" s="2397">
        <v>0.15</v>
      </c>
      <c r="E240" s="2397">
        <v>0.15</v>
      </c>
      <c r="F240" s="2397">
        <v>0.15</v>
      </c>
      <c r="G240" s="2398">
        <v>0.15</v>
      </c>
    </row>
    <row r="241" spans="1:7">
      <c r="A241" s="2407" t="s">
        <v>303</v>
      </c>
      <c r="B241" s="2396" t="s">
        <v>2779</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2785</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2793</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2798</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2806</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2819</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2828</v>
      </c>
      <c r="C258" s="2397">
        <v>0.14299999999999999</v>
      </c>
      <c r="D258" s="2397">
        <v>0.14299999999999999</v>
      </c>
      <c r="E258" s="2397">
        <v>0.15</v>
      </c>
      <c r="F258" s="2397">
        <v>0.14799999999999999</v>
      </c>
      <c r="G258" s="2398">
        <v>0.14599999999999999</v>
      </c>
    </row>
    <row r="259" spans="1:7">
      <c r="A259" s="2407" t="s">
        <v>303</v>
      </c>
      <c r="B259" s="2396" t="s">
        <v>2832</v>
      </c>
      <c r="C259" s="2397">
        <v>0.14399999999999999</v>
      </c>
      <c r="D259" s="2397">
        <v>0.14399999999999999</v>
      </c>
      <c r="E259" s="2397">
        <v>0.14899999999999999</v>
      </c>
      <c r="F259" s="2397">
        <v>0.14699999999999999</v>
      </c>
      <c r="G259" s="2398">
        <v>0.14599999999999999</v>
      </c>
    </row>
    <row r="260" spans="1:7">
      <c r="A260" s="2407" t="s">
        <v>303</v>
      </c>
      <c r="B260" s="2396" t="s">
        <v>2839</v>
      </c>
      <c r="C260" s="2397">
        <v>0.109</v>
      </c>
      <c r="D260" s="2397">
        <v>0.111</v>
      </c>
      <c r="E260" s="2397">
        <v>0.13100000000000001</v>
      </c>
      <c r="F260" s="2397">
        <v>0.126</v>
      </c>
      <c r="G260" s="2398">
        <v>0.11899999999999999</v>
      </c>
    </row>
    <row r="261" spans="1:7">
      <c r="A261" s="2407" t="s">
        <v>303</v>
      </c>
      <c r="B261" s="2396" t="s">
        <v>2846</v>
      </c>
      <c r="C261" s="2397">
        <v>0.1</v>
      </c>
      <c r="D261" s="2397">
        <v>0.1</v>
      </c>
      <c r="E261" s="2397">
        <v>0.11799999999999999</v>
      </c>
      <c r="F261" s="2397">
        <v>0.108</v>
      </c>
      <c r="G261" s="2398">
        <v>0.107</v>
      </c>
    </row>
    <row r="262" spans="1:7">
      <c r="A262" s="2407" t="s">
        <v>303</v>
      </c>
      <c r="B262" s="2396" t="s">
        <v>2852</v>
      </c>
      <c r="C262" s="2397">
        <v>0.1</v>
      </c>
      <c r="D262" s="2397">
        <v>0.1</v>
      </c>
      <c r="E262" s="2397">
        <v>0.1</v>
      </c>
      <c r="F262" s="2397">
        <v>0.14099999999999999</v>
      </c>
      <c r="G262" s="2398">
        <v>0.1</v>
      </c>
    </row>
    <row r="263" spans="1:7">
      <c r="A263" s="2407" t="s">
        <v>303</v>
      </c>
      <c r="B263" s="2396" t="s">
        <v>2859</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2870</v>
      </c>
      <c r="C265" s="2408"/>
      <c r="D265" s="2408"/>
      <c r="E265" s="2408"/>
      <c r="F265" s="2397">
        <v>0.05</v>
      </c>
      <c r="G265" s="2414"/>
    </row>
    <row r="266" spans="1:7">
      <c r="A266" s="2407" t="s">
        <v>303</v>
      </c>
      <c r="B266" s="2396" t="s">
        <v>2874</v>
      </c>
      <c r="C266" s="2408"/>
      <c r="D266" s="2408"/>
      <c r="E266" s="2408"/>
      <c r="F266" s="2397">
        <v>0.05</v>
      </c>
      <c r="G266" s="2414"/>
    </row>
    <row r="267" spans="1:7">
      <c r="A267" s="2407" t="s">
        <v>303</v>
      </c>
      <c r="B267" s="2396" t="s">
        <v>2879</v>
      </c>
      <c r="C267" s="2408"/>
      <c r="D267" s="2408"/>
      <c r="E267" s="2408"/>
      <c r="F267" s="2397">
        <v>0.05</v>
      </c>
      <c r="G267" s="2414"/>
    </row>
    <row r="268" spans="1:7">
      <c r="A268" s="2407" t="s">
        <v>303</v>
      </c>
      <c r="B268" s="2396" t="s">
        <v>2884</v>
      </c>
      <c r="C268" s="2408"/>
      <c r="D268" s="2408"/>
      <c r="E268" s="2408"/>
      <c r="F268" s="2397">
        <v>0.05</v>
      </c>
      <c r="G268" s="2414"/>
    </row>
    <row r="269" spans="1:7">
      <c r="A269" s="2407" t="s">
        <v>303</v>
      </c>
      <c r="B269" s="2396" t="s">
        <v>2889</v>
      </c>
      <c r="C269" s="2408"/>
      <c r="D269" s="2408"/>
      <c r="E269" s="2408"/>
      <c r="F269" s="2397">
        <v>0.05</v>
      </c>
      <c r="G269" s="2414"/>
    </row>
    <row r="270" spans="1:7">
      <c r="A270" s="2407" t="s">
        <v>303</v>
      </c>
      <c r="B270" s="2396" t="s">
        <v>2894</v>
      </c>
      <c r="C270" s="2408"/>
      <c r="D270" s="2408"/>
      <c r="E270" s="2408"/>
      <c r="F270" s="2397">
        <v>0.05</v>
      </c>
      <c r="G270" s="2414"/>
    </row>
    <row r="271" spans="1:7">
      <c r="A271" s="2407" t="s">
        <v>303</v>
      </c>
      <c r="B271" s="2396" t="s">
        <v>3098</v>
      </c>
      <c r="C271" s="2408"/>
      <c r="D271" s="2408"/>
      <c r="E271" s="2408"/>
      <c r="F271" s="2397">
        <v>0.05</v>
      </c>
      <c r="G271" s="2414"/>
    </row>
    <row r="272" spans="1:7">
      <c r="A272" s="2407" t="s">
        <v>303</v>
      </c>
      <c r="B272" s="2396" t="s">
        <v>3099</v>
      </c>
      <c r="C272" s="2408"/>
      <c r="D272" s="2408"/>
      <c r="E272" s="2408"/>
      <c r="F272" s="2397">
        <v>0.05</v>
      </c>
      <c r="G272" s="2414"/>
    </row>
    <row r="273" spans="1:7">
      <c r="A273" s="2407" t="s">
        <v>303</v>
      </c>
      <c r="B273" s="2396" t="s">
        <v>3100</v>
      </c>
      <c r="C273" s="2408"/>
      <c r="D273" s="2408"/>
      <c r="E273" s="2408"/>
      <c r="F273" s="2397">
        <v>0.05</v>
      </c>
      <c r="G273" s="2414"/>
    </row>
    <row r="274" spans="1:7">
      <c r="A274" s="2407" t="s">
        <v>303</v>
      </c>
      <c r="B274" s="2396" t="s">
        <v>3101</v>
      </c>
      <c r="C274" s="2408"/>
      <c r="D274" s="2408"/>
      <c r="E274" s="2408"/>
      <c r="F274" s="2397">
        <v>0.05</v>
      </c>
      <c r="G274" s="2414"/>
    </row>
    <row r="275" spans="1:7">
      <c r="A275" s="2407" t="s">
        <v>303</v>
      </c>
      <c r="B275" s="2396" t="s">
        <v>3102</v>
      </c>
      <c r="C275" s="2408"/>
      <c r="D275" s="2408"/>
      <c r="E275" s="2408"/>
      <c r="F275" s="2397">
        <v>0.05</v>
      </c>
      <c r="G275" s="2414"/>
    </row>
    <row r="276" spans="1:7" ht="15" thickBot="1">
      <c r="A276" s="2410" t="s">
        <v>303</v>
      </c>
      <c r="B276" s="2400" t="s">
        <v>3103</v>
      </c>
      <c r="C276" s="2402"/>
      <c r="D276" s="2402"/>
      <c r="E276" s="2402"/>
      <c r="F276" s="2401">
        <v>0.05</v>
      </c>
      <c r="G276" s="2415"/>
    </row>
    <row r="277" spans="1:7">
      <c r="A277" s="2406" t="s">
        <v>304</v>
      </c>
      <c r="B277" s="2392" t="s">
        <v>2747</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2759</v>
      </c>
      <c r="C279" s="2397">
        <v>0.15</v>
      </c>
      <c r="D279" s="2397">
        <v>0.15</v>
      </c>
      <c r="E279" s="2397">
        <v>0.15</v>
      </c>
      <c r="F279" s="2397">
        <v>0.15</v>
      </c>
      <c r="G279" s="2398">
        <v>0.15</v>
      </c>
    </row>
    <row r="280" spans="1:7">
      <c r="A280" s="2407" t="s">
        <v>304</v>
      </c>
      <c r="B280" s="2396" t="s">
        <v>2763</v>
      </c>
      <c r="C280" s="2397">
        <v>0.15</v>
      </c>
      <c r="D280" s="2397">
        <v>0.15</v>
      </c>
      <c r="E280" s="2397">
        <v>0.15</v>
      </c>
      <c r="F280" s="2397">
        <v>0.15</v>
      </c>
      <c r="G280" s="2398">
        <v>0.15</v>
      </c>
    </row>
    <row r="281" spans="1:7">
      <c r="A281" s="2407" t="s">
        <v>304</v>
      </c>
      <c r="B281" s="2396" t="s">
        <v>2767</v>
      </c>
      <c r="C281" s="2397">
        <v>0.15</v>
      </c>
      <c r="D281" s="2397">
        <v>0.15</v>
      </c>
      <c r="E281" s="2397">
        <v>0.15</v>
      </c>
      <c r="F281" s="2397">
        <v>0.15</v>
      </c>
      <c r="G281" s="2398">
        <v>0.15</v>
      </c>
    </row>
    <row r="282" spans="1:7">
      <c r="A282" s="2407" t="s">
        <v>304</v>
      </c>
      <c r="B282" s="2396" t="s">
        <v>2771</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2786</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2791</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2801</v>
      </c>
      <c r="C293" s="2397">
        <v>0.15</v>
      </c>
      <c r="D293" s="2397">
        <v>0.15</v>
      </c>
      <c r="E293" s="2397">
        <v>0.15</v>
      </c>
      <c r="F293" s="2397">
        <v>0.14499999999999999</v>
      </c>
      <c r="G293" s="2398">
        <v>0.15</v>
      </c>
    </row>
    <row r="294" spans="1:7">
      <c r="A294" s="2407" t="s">
        <v>304</v>
      </c>
      <c r="B294" s="2396" t="s">
        <v>2803</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2820</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2833</v>
      </c>
      <c r="C302" s="2397">
        <v>0.15</v>
      </c>
      <c r="D302" s="2397">
        <v>0.15</v>
      </c>
      <c r="E302" s="2397">
        <v>0.15</v>
      </c>
      <c r="F302" s="2397">
        <v>0.14699999999999999</v>
      </c>
      <c r="G302" s="2398">
        <v>0.15</v>
      </c>
    </row>
    <row r="303" spans="1:7">
      <c r="A303" s="2407" t="s">
        <v>304</v>
      </c>
      <c r="B303" s="2396" t="s">
        <v>2840</v>
      </c>
      <c r="C303" s="2397">
        <v>0.15</v>
      </c>
      <c r="D303" s="2397">
        <v>0.15</v>
      </c>
      <c r="E303" s="2397">
        <v>0.15</v>
      </c>
      <c r="F303" s="2397">
        <v>0.14199999999999999</v>
      </c>
      <c r="G303" s="2398">
        <v>0.15</v>
      </c>
    </row>
    <row r="304" spans="1:7">
      <c r="A304" s="2407" t="s">
        <v>304</v>
      </c>
      <c r="B304" s="2396" t="s">
        <v>2847</v>
      </c>
      <c r="C304" s="2397">
        <v>0.15</v>
      </c>
      <c r="D304" s="2397">
        <v>0.15</v>
      </c>
      <c r="E304" s="2397">
        <v>0.15</v>
      </c>
      <c r="F304" s="2397">
        <v>0.14499999999999999</v>
      </c>
      <c r="G304" s="2398">
        <v>0.15</v>
      </c>
    </row>
    <row r="305" spans="1:7">
      <c r="A305" s="2407" t="s">
        <v>304</v>
      </c>
      <c r="B305" s="2396" t="s">
        <v>2853</v>
      </c>
      <c r="C305" s="2397">
        <v>0.15</v>
      </c>
      <c r="D305" s="2397">
        <v>0.15</v>
      </c>
      <c r="E305" s="2397">
        <v>0.15</v>
      </c>
      <c r="F305" s="2397">
        <v>0.111</v>
      </c>
      <c r="G305" s="2398">
        <v>0.15</v>
      </c>
    </row>
    <row r="306" spans="1:7">
      <c r="A306" s="2407" t="s">
        <v>304</v>
      </c>
      <c r="B306" s="2396" t="s">
        <v>2860</v>
      </c>
      <c r="C306" s="2397">
        <v>0.15</v>
      </c>
      <c r="D306" s="2397">
        <v>0.15</v>
      </c>
      <c r="E306" s="2397">
        <v>0.15</v>
      </c>
      <c r="F306" s="2397">
        <v>0.126</v>
      </c>
      <c r="G306" s="2398">
        <v>0.15</v>
      </c>
    </row>
    <row r="307" spans="1:7">
      <c r="A307" s="2407" t="s">
        <v>304</v>
      </c>
      <c r="B307" s="2396" t="s">
        <v>2865</v>
      </c>
      <c r="C307" s="2397">
        <v>0.15</v>
      </c>
      <c r="D307" s="2397">
        <v>0.15</v>
      </c>
      <c r="E307" s="2397">
        <v>0.15</v>
      </c>
      <c r="F307" s="2397">
        <v>0.12</v>
      </c>
      <c r="G307" s="2398">
        <v>0.15</v>
      </c>
    </row>
    <row r="308" spans="1:7">
      <c r="A308" s="2407" t="s">
        <v>304</v>
      </c>
      <c r="B308" s="2396" t="s">
        <v>2871</v>
      </c>
      <c r="C308" s="2397">
        <v>0.15</v>
      </c>
      <c r="D308" s="2397">
        <v>0.15</v>
      </c>
      <c r="E308" s="2397">
        <v>0.15</v>
      </c>
      <c r="F308" s="2397">
        <v>0.13</v>
      </c>
      <c r="G308" s="2398">
        <v>0.15</v>
      </c>
    </row>
    <row r="309" spans="1:7">
      <c r="A309" s="2407" t="s">
        <v>304</v>
      </c>
      <c r="B309" s="2396" t="s">
        <v>2875</v>
      </c>
      <c r="C309" s="2397">
        <v>0.15</v>
      </c>
      <c r="D309" s="2397">
        <v>0.15</v>
      </c>
      <c r="E309" s="2397">
        <v>0.15</v>
      </c>
      <c r="F309" s="2397">
        <v>0.14099999999999999</v>
      </c>
      <c r="G309" s="2398">
        <v>0.15</v>
      </c>
    </row>
    <row r="310" spans="1:7">
      <c r="A310" s="2407" t="s">
        <v>304</v>
      </c>
      <c r="B310" s="2396" t="s">
        <v>2880</v>
      </c>
      <c r="C310" s="2397">
        <v>0.15</v>
      </c>
      <c r="D310" s="2397">
        <v>0.15</v>
      </c>
      <c r="E310" s="2397">
        <v>0.15</v>
      </c>
      <c r="F310" s="2397">
        <v>0.15</v>
      </c>
      <c r="G310" s="2398">
        <v>0.15</v>
      </c>
    </row>
    <row r="311" spans="1:7">
      <c r="A311" s="2407" t="s">
        <v>304</v>
      </c>
      <c r="B311" s="2396" t="s">
        <v>2885</v>
      </c>
      <c r="C311" s="2397">
        <v>0.13200000000000001</v>
      </c>
      <c r="D311" s="2397">
        <v>0.13300000000000001</v>
      </c>
      <c r="E311" s="2397">
        <v>0.14499999999999999</v>
      </c>
      <c r="F311" s="2397">
        <v>0.14199999999999999</v>
      </c>
      <c r="G311" s="2398">
        <v>0.14000000000000001</v>
      </c>
    </row>
    <row r="312" spans="1:7">
      <c r="A312" s="2407" t="s">
        <v>304</v>
      </c>
      <c r="B312" s="2396" t="s">
        <v>2890</v>
      </c>
      <c r="C312" s="2397">
        <v>0.13800000000000001</v>
      </c>
      <c r="D312" s="2397">
        <v>0.14000000000000001</v>
      </c>
      <c r="E312" s="2397">
        <v>0.14599999999999999</v>
      </c>
      <c r="F312" s="2397">
        <v>0.14899999999999999</v>
      </c>
      <c r="G312" s="2398">
        <v>0.14199999999999999</v>
      </c>
    </row>
    <row r="313" spans="1:7">
      <c r="A313" s="2407" t="s">
        <v>304</v>
      </c>
      <c r="B313" s="2396" t="s">
        <v>2895</v>
      </c>
      <c r="C313" s="2397">
        <v>0.125</v>
      </c>
      <c r="D313" s="2397">
        <v>0.127</v>
      </c>
      <c r="E313" s="2397">
        <v>0.14399999999999999</v>
      </c>
      <c r="F313" s="2397">
        <v>0.115</v>
      </c>
      <c r="G313" s="2398">
        <v>0.13600000000000001</v>
      </c>
    </row>
    <row r="314" spans="1:7">
      <c r="A314" s="2407" t="s">
        <v>304</v>
      </c>
      <c r="B314" s="2396" t="s">
        <v>3104</v>
      </c>
      <c r="C314" s="2413"/>
      <c r="D314" s="2413"/>
      <c r="E314" s="2413"/>
      <c r="F314" s="2397">
        <v>0.05</v>
      </c>
      <c r="G314" s="2414"/>
    </row>
    <row r="315" spans="1:7">
      <c r="A315" s="2407" t="s">
        <v>304</v>
      </c>
      <c r="B315" s="2396" t="s">
        <v>3105</v>
      </c>
      <c r="C315" s="2413"/>
      <c r="D315" s="2413"/>
      <c r="E315" s="2413"/>
      <c r="F315" s="2397">
        <v>0.05</v>
      </c>
      <c r="G315" s="2414"/>
    </row>
    <row r="316" spans="1:7">
      <c r="A316" s="2407" t="s">
        <v>304</v>
      </c>
      <c r="B316" s="2396" t="s">
        <v>3106</v>
      </c>
      <c r="C316" s="2408"/>
      <c r="D316" s="2408"/>
      <c r="E316" s="2408"/>
      <c r="F316" s="2397">
        <v>0.05</v>
      </c>
      <c r="G316" s="2414"/>
    </row>
    <row r="317" spans="1:7">
      <c r="A317" s="2407" t="s">
        <v>304</v>
      </c>
      <c r="B317" s="2396" t="s">
        <v>3107</v>
      </c>
      <c r="C317" s="2408"/>
      <c r="D317" s="2408"/>
      <c r="E317" s="2408"/>
      <c r="F317" s="2397">
        <v>0.05</v>
      </c>
      <c r="G317" s="2414"/>
    </row>
    <row r="318" spans="1:7">
      <c r="A318" s="2407" t="s">
        <v>304</v>
      </c>
      <c r="B318" s="2396" t="s">
        <v>3108</v>
      </c>
      <c r="C318" s="2408"/>
      <c r="D318" s="2408"/>
      <c r="E318" s="2408"/>
      <c r="F318" s="2397">
        <v>0.05</v>
      </c>
      <c r="G318" s="2414"/>
    </row>
    <row r="319" spans="1:7">
      <c r="A319" s="2407" t="s">
        <v>304</v>
      </c>
      <c r="B319" s="2396" t="s">
        <v>3109</v>
      </c>
      <c r="C319" s="2408"/>
      <c r="D319" s="2408"/>
      <c r="E319" s="2408"/>
      <c r="F319" s="2397">
        <v>0.05</v>
      </c>
      <c r="G319" s="2414"/>
    </row>
    <row r="320" spans="1:7">
      <c r="A320" s="2407" t="s">
        <v>304</v>
      </c>
      <c r="B320" s="2396" t="s">
        <v>3110</v>
      </c>
      <c r="C320" s="2408"/>
      <c r="D320" s="2408"/>
      <c r="E320" s="2408"/>
      <c r="F320" s="2397">
        <v>0.05</v>
      </c>
      <c r="G320" s="2414"/>
    </row>
    <row r="321" spans="1:7">
      <c r="A321" s="2407" t="s">
        <v>304</v>
      </c>
      <c r="B321" s="2396" t="s">
        <v>3111</v>
      </c>
      <c r="C321" s="2408"/>
      <c r="D321" s="2408"/>
      <c r="E321" s="2408"/>
      <c r="F321" s="2397">
        <v>0.05</v>
      </c>
      <c r="G321" s="2414"/>
    </row>
    <row r="322" spans="1:7">
      <c r="A322" s="2407" t="s">
        <v>304</v>
      </c>
      <c r="B322" s="2396" t="s">
        <v>3112</v>
      </c>
      <c r="C322" s="2408"/>
      <c r="D322" s="2408"/>
      <c r="E322" s="2408"/>
      <c r="F322" s="2397">
        <v>0.05</v>
      </c>
      <c r="G322" s="2414"/>
    </row>
    <row r="323" spans="1:7">
      <c r="A323" s="2407" t="s">
        <v>304</v>
      </c>
      <c r="B323" s="2396" t="s">
        <v>3113</v>
      </c>
      <c r="C323" s="2408"/>
      <c r="D323" s="2408"/>
      <c r="E323" s="2408"/>
      <c r="F323" s="2397">
        <v>0.05</v>
      </c>
      <c r="G323" s="2414"/>
    </row>
    <row r="324" spans="1:7">
      <c r="A324" s="2407" t="s">
        <v>304</v>
      </c>
      <c r="B324" s="2396" t="s">
        <v>3114</v>
      </c>
      <c r="C324" s="2408"/>
      <c r="D324" s="2408"/>
      <c r="E324" s="2408"/>
      <c r="F324" s="2397">
        <v>0.05</v>
      </c>
      <c r="G324" s="2414"/>
    </row>
    <row r="325" spans="1:7">
      <c r="A325" s="2407" t="s">
        <v>304</v>
      </c>
      <c r="B325" s="2396" t="s">
        <v>3115</v>
      </c>
      <c r="C325" s="2408"/>
      <c r="D325" s="2408"/>
      <c r="E325" s="2408"/>
      <c r="F325" s="2397">
        <v>0.05</v>
      </c>
      <c r="G325" s="2414"/>
    </row>
    <row r="326" spans="1:7" ht="15" thickBot="1">
      <c r="A326" s="2410" t="s">
        <v>304</v>
      </c>
      <c r="B326" s="2400" t="s">
        <v>3116</v>
      </c>
      <c r="C326" s="2402"/>
      <c r="D326" s="2402"/>
      <c r="E326" s="2402"/>
      <c r="F326" s="2401">
        <v>0.05</v>
      </c>
      <c r="G326" s="2415"/>
    </row>
    <row r="327" spans="1:7">
      <c r="A327" s="2406" t="s">
        <v>305</v>
      </c>
      <c r="B327" s="2392" t="s">
        <v>2748</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2760</v>
      </c>
      <c r="C329" s="2397">
        <v>0.15</v>
      </c>
      <c r="D329" s="2397">
        <v>0.15</v>
      </c>
      <c r="E329" s="2397">
        <v>0.15</v>
      </c>
      <c r="F329" s="2397">
        <v>0.15</v>
      </c>
      <c r="G329" s="2398">
        <v>0.15</v>
      </c>
    </row>
    <row r="330" spans="1:7">
      <c r="A330" s="2407" t="s">
        <v>305</v>
      </c>
      <c r="B330" s="2396" t="s">
        <v>2764</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2772</v>
      </c>
      <c r="C332" s="2397">
        <v>0.15</v>
      </c>
      <c r="D332" s="2397">
        <v>0.15</v>
      </c>
      <c r="E332" s="2397">
        <v>0.15</v>
      </c>
      <c r="F332" s="2397">
        <v>0.15</v>
      </c>
      <c r="G332" s="2398">
        <v>0.15</v>
      </c>
    </row>
    <row r="333" spans="1:7">
      <c r="A333" s="2407" t="s">
        <v>305</v>
      </c>
      <c r="B333" s="2396" t="s">
        <v>2776</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2782</v>
      </c>
      <c r="C336" s="2397">
        <v>0.15</v>
      </c>
      <c r="D336" s="2397">
        <v>0.15</v>
      </c>
      <c r="E336" s="2397">
        <v>0.15</v>
      </c>
      <c r="F336" s="2397">
        <v>0.14199999999999999</v>
      </c>
      <c r="G336" s="2398">
        <v>0.15</v>
      </c>
    </row>
    <row r="337" spans="1:7">
      <c r="A337" s="2407" t="s">
        <v>305</v>
      </c>
      <c r="B337" s="2396" t="s">
        <v>2787</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2794</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2799</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2807</v>
      </c>
      <c r="C345" s="2397">
        <v>0.15</v>
      </c>
      <c r="D345" s="2397">
        <v>0.15</v>
      </c>
      <c r="E345" s="2397">
        <v>0.15</v>
      </c>
      <c r="F345" s="2397">
        <v>0.13800000000000001</v>
      </c>
      <c r="G345" s="2398">
        <v>0.15</v>
      </c>
    </row>
    <row r="346" spans="1:7">
      <c r="A346" s="2407" t="s">
        <v>305</v>
      </c>
      <c r="B346" s="2396" t="s">
        <v>2809</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2816</v>
      </c>
      <c r="C348" s="2397">
        <v>0.15</v>
      </c>
      <c r="D348" s="2397">
        <v>0.15</v>
      </c>
      <c r="E348" s="2397">
        <v>0.15</v>
      </c>
      <c r="F348" s="2397">
        <v>0.14399999999999999</v>
      </c>
      <c r="G348" s="2398">
        <v>0.15</v>
      </c>
    </row>
    <row r="349" spans="1:7">
      <c r="A349" s="2407" t="s">
        <v>305</v>
      </c>
      <c r="B349" s="2396" t="s">
        <v>2821</v>
      </c>
      <c r="C349" s="2397">
        <v>0.15</v>
      </c>
      <c r="D349" s="2397">
        <v>0.15</v>
      </c>
      <c r="E349" s="2397">
        <v>0.15</v>
      </c>
      <c r="F349" s="2397">
        <v>0.15</v>
      </c>
      <c r="G349" s="2398">
        <v>0.15</v>
      </c>
    </row>
    <row r="350" spans="1:7">
      <c r="A350" s="2407" t="s">
        <v>305</v>
      </c>
      <c r="B350" s="2396" t="s">
        <v>2824</v>
      </c>
      <c r="C350" s="2397">
        <v>0.15</v>
      </c>
      <c r="D350" s="2397">
        <v>0.15</v>
      </c>
      <c r="E350" s="2397">
        <v>0.15</v>
      </c>
      <c r="F350" s="2397">
        <v>0.14699999999999999</v>
      </c>
      <c r="G350" s="2398">
        <v>0.15</v>
      </c>
    </row>
    <row r="351" spans="1:7">
      <c r="A351" s="2407" t="s">
        <v>305</v>
      </c>
      <c r="B351" s="2396" t="s">
        <v>2829</v>
      </c>
      <c r="C351" s="2397">
        <v>0.15</v>
      </c>
      <c r="D351" s="2397">
        <v>0.15</v>
      </c>
      <c r="E351" s="2397">
        <v>0.15</v>
      </c>
      <c r="F351" s="2397">
        <v>0.13</v>
      </c>
      <c r="G351" s="2398">
        <v>0.15</v>
      </c>
    </row>
    <row r="352" spans="1:7">
      <c r="A352" s="2407" t="s">
        <v>305</v>
      </c>
      <c r="B352" s="2396" t="s">
        <v>2834</v>
      </c>
      <c r="C352" s="2397">
        <v>0.15</v>
      </c>
      <c r="D352" s="2397">
        <v>0.15</v>
      </c>
      <c r="E352" s="2397">
        <v>0.15</v>
      </c>
      <c r="F352" s="2397">
        <v>0.14599999999999999</v>
      </c>
      <c r="G352" s="2398">
        <v>0.15</v>
      </c>
    </row>
    <row r="353" spans="1:7">
      <c r="A353" s="2407" t="s">
        <v>305</v>
      </c>
      <c r="B353" s="2396" t="s">
        <v>2841</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2854</v>
      </c>
      <c r="C355" s="2397">
        <v>0.15</v>
      </c>
      <c r="D355" s="2397">
        <v>0.15</v>
      </c>
      <c r="E355" s="2397">
        <v>0.15</v>
      </c>
      <c r="F355" s="2397">
        <v>0.15</v>
      </c>
      <c r="G355" s="2398">
        <v>0.15</v>
      </c>
    </row>
    <row r="356" spans="1:7">
      <c r="A356" s="2407" t="s">
        <v>305</v>
      </c>
      <c r="B356" s="2396" t="s">
        <v>2861</v>
      </c>
      <c r="C356" s="2397">
        <v>0.15</v>
      </c>
      <c r="D356" s="2397">
        <v>0.15</v>
      </c>
      <c r="E356" s="2397">
        <v>0.15</v>
      </c>
      <c r="F356" s="2397">
        <v>0.15</v>
      </c>
      <c r="G356" s="2398">
        <v>0.15</v>
      </c>
    </row>
    <row r="357" spans="1:7" ht="15" thickBot="1">
      <c r="A357" s="2410" t="s">
        <v>305</v>
      </c>
      <c r="B357" s="2400" t="s">
        <v>2866</v>
      </c>
      <c r="C357" s="2401">
        <v>0.126</v>
      </c>
      <c r="D357" s="2401">
        <v>0.127</v>
      </c>
      <c r="E357" s="2401">
        <v>0.14299999999999999</v>
      </c>
      <c r="F357" s="2401">
        <v>0.125</v>
      </c>
      <c r="G357" s="2403">
        <v>0.129</v>
      </c>
    </row>
    <row r="358" spans="1:7">
      <c r="A358" s="2406" t="s">
        <v>2735</v>
      </c>
      <c r="B358" s="2392" t="s">
        <v>2749</v>
      </c>
      <c r="C358" s="2393">
        <v>0.15</v>
      </c>
      <c r="D358" s="2393">
        <v>0.15</v>
      </c>
      <c r="E358" s="2393">
        <v>0.15</v>
      </c>
      <c r="F358" s="2393">
        <v>0.15</v>
      </c>
      <c r="G358" s="2394">
        <v>0.15</v>
      </c>
    </row>
    <row r="359" spans="1:7">
      <c r="A359" s="2407" t="s">
        <v>2735</v>
      </c>
      <c r="B359" s="2396" t="s">
        <v>2755</v>
      </c>
      <c r="C359" s="2397">
        <v>0.1</v>
      </c>
      <c r="D359" s="2397">
        <v>0.1</v>
      </c>
      <c r="E359" s="2397">
        <v>0.1</v>
      </c>
      <c r="F359" s="2397">
        <v>0.1</v>
      </c>
      <c r="G359" s="2398">
        <v>0.1</v>
      </c>
    </row>
    <row r="360" spans="1:7">
      <c r="A360" s="2407" t="s">
        <v>2735</v>
      </c>
      <c r="B360" s="2396" t="s">
        <v>2761</v>
      </c>
      <c r="C360" s="2397">
        <v>0.15</v>
      </c>
      <c r="D360" s="2397">
        <v>0.15</v>
      </c>
      <c r="E360" s="2397">
        <v>0.15</v>
      </c>
      <c r="F360" s="2397">
        <v>0.14899999999999999</v>
      </c>
      <c r="G360" s="2398">
        <v>0.15</v>
      </c>
    </row>
    <row r="361" spans="1:7">
      <c r="A361" s="2407" t="s">
        <v>2735</v>
      </c>
      <c r="B361" s="2396" t="s">
        <v>151</v>
      </c>
      <c r="C361" s="2397">
        <v>0.15</v>
      </c>
      <c r="D361" s="2397">
        <v>0.15</v>
      </c>
      <c r="E361" s="2397">
        <v>0.15</v>
      </c>
      <c r="F361" s="2397">
        <v>0.115</v>
      </c>
      <c r="G361" s="2398">
        <v>0.15</v>
      </c>
    </row>
    <row r="362" spans="1:7">
      <c r="A362" s="2407" t="s">
        <v>2735</v>
      </c>
      <c r="B362" s="2396" t="s">
        <v>2768</v>
      </c>
      <c r="C362" s="2397">
        <v>0.15</v>
      </c>
      <c r="D362" s="2397">
        <v>0.15</v>
      </c>
      <c r="E362" s="2397">
        <v>0.15</v>
      </c>
      <c r="F362" s="2397">
        <v>0.106</v>
      </c>
      <c r="G362" s="2398">
        <v>0.15</v>
      </c>
    </row>
    <row r="363" spans="1:7">
      <c r="A363" s="2407" t="s">
        <v>2735</v>
      </c>
      <c r="B363" s="2396" t="s">
        <v>2773</v>
      </c>
      <c r="C363" s="2397">
        <v>0.15</v>
      </c>
      <c r="D363" s="2397">
        <v>0.15</v>
      </c>
      <c r="E363" s="2397">
        <v>0.15</v>
      </c>
      <c r="F363" s="2397">
        <v>0.14699999999999999</v>
      </c>
      <c r="G363" s="2398">
        <v>0.15</v>
      </c>
    </row>
    <row r="364" spans="1:7">
      <c r="A364" s="2407" t="s">
        <v>2735</v>
      </c>
      <c r="B364" s="2396" t="s">
        <v>2777</v>
      </c>
      <c r="C364" s="2397">
        <v>0.15</v>
      </c>
      <c r="D364" s="2397">
        <v>0.15</v>
      </c>
      <c r="E364" s="2397">
        <v>0.15</v>
      </c>
      <c r="F364" s="2397">
        <v>0.14799999999999999</v>
      </c>
      <c r="G364" s="2398">
        <v>0.15</v>
      </c>
    </row>
    <row r="365" spans="1:7">
      <c r="A365" s="2407" t="s">
        <v>2735</v>
      </c>
      <c r="B365" s="2396" t="s">
        <v>198</v>
      </c>
      <c r="C365" s="2397">
        <v>0.15</v>
      </c>
      <c r="D365" s="2397">
        <v>0.15</v>
      </c>
      <c r="E365" s="2397">
        <v>0.15</v>
      </c>
      <c r="F365" s="2397">
        <v>0.15</v>
      </c>
      <c r="G365" s="2398">
        <v>0.15</v>
      </c>
    </row>
    <row r="366" spans="1:7">
      <c r="A366" s="2407" t="s">
        <v>2735</v>
      </c>
      <c r="B366" s="2396" t="s">
        <v>2780</v>
      </c>
      <c r="C366" s="2397">
        <v>0.15</v>
      </c>
      <c r="D366" s="2397">
        <v>0.15</v>
      </c>
      <c r="E366" s="2397">
        <v>0.15</v>
      </c>
      <c r="F366" s="2397">
        <v>0.15</v>
      </c>
      <c r="G366" s="2398">
        <v>0.15</v>
      </c>
    </row>
    <row r="367" spans="1:7">
      <c r="A367" s="2407" t="s">
        <v>2735</v>
      </c>
      <c r="B367" s="2396" t="s">
        <v>2783</v>
      </c>
      <c r="C367" s="2397">
        <v>0.15</v>
      </c>
      <c r="D367" s="2397">
        <v>0.15</v>
      </c>
      <c r="E367" s="2397">
        <v>0.15</v>
      </c>
      <c r="F367" s="2397">
        <v>0.14699999999999999</v>
      </c>
      <c r="G367" s="2398">
        <v>0.15</v>
      </c>
    </row>
    <row r="368" spans="1:7">
      <c r="A368" s="2407" t="s">
        <v>2735</v>
      </c>
      <c r="B368" s="2396" t="s">
        <v>2788</v>
      </c>
      <c r="C368" s="2397">
        <v>0.15</v>
      </c>
      <c r="D368" s="2397">
        <v>0.15</v>
      </c>
      <c r="E368" s="2397">
        <v>0.15</v>
      </c>
      <c r="F368" s="2397">
        <v>0.13600000000000001</v>
      </c>
      <c r="G368" s="2398">
        <v>0.15</v>
      </c>
    </row>
    <row r="369" spans="1:7">
      <c r="A369" s="2407" t="s">
        <v>2735</v>
      </c>
      <c r="B369" s="2396" t="s">
        <v>212</v>
      </c>
      <c r="C369" s="2397">
        <v>0.15</v>
      </c>
      <c r="D369" s="2397">
        <v>0.15</v>
      </c>
      <c r="E369" s="2397">
        <v>0.15</v>
      </c>
      <c r="F369" s="2397">
        <v>0.14399999999999999</v>
      </c>
      <c r="G369" s="2398">
        <v>0.15</v>
      </c>
    </row>
    <row r="370" spans="1:7">
      <c r="A370" s="2407" t="s">
        <v>2735</v>
      </c>
      <c r="B370" s="2396" t="s">
        <v>219</v>
      </c>
      <c r="C370" s="2397">
        <v>0.15</v>
      </c>
      <c r="D370" s="2397">
        <v>0.15</v>
      </c>
      <c r="E370" s="2397">
        <v>0.15</v>
      </c>
      <c r="F370" s="2397">
        <v>0.14599999999999999</v>
      </c>
      <c r="G370" s="2398">
        <v>0.15</v>
      </c>
    </row>
    <row r="371" spans="1:7">
      <c r="A371" s="2407" t="s">
        <v>2735</v>
      </c>
      <c r="B371" s="2396" t="s">
        <v>227</v>
      </c>
      <c r="C371" s="2397">
        <v>0.15</v>
      </c>
      <c r="D371" s="2397">
        <v>0.15</v>
      </c>
      <c r="E371" s="2397">
        <v>0.15</v>
      </c>
      <c r="F371" s="2397">
        <v>0.12</v>
      </c>
      <c r="G371" s="2398">
        <v>0.15</v>
      </c>
    </row>
    <row r="372" spans="1:7">
      <c r="A372" s="2407" t="s">
        <v>2735</v>
      </c>
      <c r="B372" s="2396" t="s">
        <v>2796</v>
      </c>
      <c r="C372" s="2397">
        <v>0.15</v>
      </c>
      <c r="D372" s="2397">
        <v>0.15</v>
      </c>
      <c r="E372" s="2397">
        <v>0.15</v>
      </c>
      <c r="F372" s="2397">
        <v>0.14299999999999999</v>
      </c>
      <c r="G372" s="2398">
        <v>0.15</v>
      </c>
    </row>
    <row r="373" spans="1:7">
      <c r="A373" s="2407" t="s">
        <v>2735</v>
      </c>
      <c r="B373" s="2396" t="s">
        <v>256</v>
      </c>
      <c r="C373" s="2397">
        <v>0.15</v>
      </c>
      <c r="D373" s="2397">
        <v>0.15</v>
      </c>
      <c r="E373" s="2397">
        <v>0.15</v>
      </c>
      <c r="F373" s="2397">
        <v>0.14599999999999999</v>
      </c>
      <c r="G373" s="2398">
        <v>0.15</v>
      </c>
    </row>
    <row r="374" spans="1:7">
      <c r="A374" s="2407" t="s">
        <v>2735</v>
      </c>
      <c r="B374" s="2396" t="s">
        <v>264</v>
      </c>
      <c r="C374" s="2397">
        <v>0.15</v>
      </c>
      <c r="D374" s="2397">
        <v>0.15</v>
      </c>
      <c r="E374" s="2397">
        <v>0.15</v>
      </c>
      <c r="F374" s="2397">
        <v>0.14399999999999999</v>
      </c>
      <c r="G374" s="2398">
        <v>0.15</v>
      </c>
    </row>
    <row r="375" spans="1:7">
      <c r="A375" s="2407" t="s">
        <v>2735</v>
      </c>
      <c r="B375" s="2396" t="s">
        <v>2804</v>
      </c>
      <c r="C375" s="2397">
        <v>0.15</v>
      </c>
      <c r="D375" s="2397">
        <v>0.15</v>
      </c>
      <c r="E375" s="2397">
        <v>0.15</v>
      </c>
      <c r="F375" s="2397">
        <v>0.13</v>
      </c>
      <c r="G375" s="2398">
        <v>0.15</v>
      </c>
    </row>
    <row r="376" spans="1:7">
      <c r="A376" s="2407" t="s">
        <v>2735</v>
      </c>
      <c r="B376" s="2396" t="s">
        <v>275</v>
      </c>
      <c r="C376" s="2397">
        <v>0.15</v>
      </c>
      <c r="D376" s="2397">
        <v>0.15</v>
      </c>
      <c r="E376" s="2397">
        <v>0.15</v>
      </c>
      <c r="F376" s="2397">
        <v>0.14199999999999999</v>
      </c>
      <c r="G376" s="2398">
        <v>0.15</v>
      </c>
    </row>
    <row r="377" spans="1:7" ht="15" thickBot="1">
      <c r="A377" s="2410" t="s">
        <v>2735</v>
      </c>
      <c r="B377" s="2400" t="s">
        <v>2810</v>
      </c>
      <c r="C377" s="2401">
        <v>0.15</v>
      </c>
      <c r="D377" s="2401">
        <v>0.15</v>
      </c>
      <c r="E377" s="2401">
        <v>0.15</v>
      </c>
      <c r="F377" s="2401">
        <v>0.14000000000000001</v>
      </c>
      <c r="G377" s="2403">
        <v>0.15</v>
      </c>
    </row>
    <row r="378" spans="1:7">
      <c r="A378" s="2406" t="s">
        <v>2736</v>
      </c>
      <c r="B378" s="2392" t="s">
        <v>2750</v>
      </c>
      <c r="C378" s="2393">
        <v>0.15</v>
      </c>
      <c r="D378" s="2393">
        <v>0.15</v>
      </c>
      <c r="E378" s="2393">
        <v>0.15</v>
      </c>
      <c r="F378" s="2393">
        <v>0.107</v>
      </c>
      <c r="G378" s="2394">
        <v>0.15</v>
      </c>
    </row>
    <row r="379" spans="1:7">
      <c r="A379" s="2407" t="s">
        <v>2736</v>
      </c>
      <c r="B379" s="2396" t="s">
        <v>2756</v>
      </c>
      <c r="C379" s="2397">
        <v>0.15</v>
      </c>
      <c r="D379" s="2397">
        <v>0.15</v>
      </c>
      <c r="E379" s="2397">
        <v>0.15</v>
      </c>
      <c r="F379" s="2397">
        <v>0.115</v>
      </c>
      <c r="G379" s="2398">
        <v>0.14899999999999999</v>
      </c>
    </row>
    <row r="380" spans="1:7">
      <c r="A380" s="2407" t="s">
        <v>2736</v>
      </c>
      <c r="B380" s="2396" t="s">
        <v>2762</v>
      </c>
      <c r="C380" s="2397">
        <v>0.15</v>
      </c>
      <c r="D380" s="2397">
        <v>0.15</v>
      </c>
      <c r="E380" s="2397">
        <v>0.15</v>
      </c>
      <c r="F380" s="2397">
        <v>0.1</v>
      </c>
      <c r="G380" s="2398">
        <v>0.14799999999999999</v>
      </c>
    </row>
    <row r="381" spans="1:7">
      <c r="A381" s="2407" t="s">
        <v>2736</v>
      </c>
      <c r="B381" s="2396" t="s">
        <v>2765</v>
      </c>
      <c r="C381" s="2397">
        <v>0.15</v>
      </c>
      <c r="D381" s="2397">
        <v>0.15</v>
      </c>
      <c r="E381" s="2397">
        <v>0.15</v>
      </c>
      <c r="F381" s="2397">
        <v>0.126</v>
      </c>
      <c r="G381" s="2398">
        <v>0.15</v>
      </c>
    </row>
    <row r="382" spans="1:7">
      <c r="A382" s="2407" t="s">
        <v>2736</v>
      </c>
      <c r="B382" s="2396" t="s">
        <v>2769</v>
      </c>
      <c r="C382" s="2397">
        <v>0.15</v>
      </c>
      <c r="D382" s="2397">
        <v>0.15</v>
      </c>
      <c r="E382" s="2397">
        <v>0.15</v>
      </c>
      <c r="F382" s="2397">
        <v>0.15</v>
      </c>
      <c r="G382" s="2398">
        <v>0.15</v>
      </c>
    </row>
    <row r="383" spans="1:7">
      <c r="A383" s="2407" t="s">
        <v>2736</v>
      </c>
      <c r="B383" s="2396" t="s">
        <v>2774</v>
      </c>
      <c r="C383" s="2397">
        <v>0.15</v>
      </c>
      <c r="D383" s="2397">
        <v>0.15</v>
      </c>
      <c r="E383" s="2397">
        <v>0.15</v>
      </c>
      <c r="F383" s="2397">
        <v>0.14699999999999999</v>
      </c>
      <c r="G383" s="2398">
        <v>0.15</v>
      </c>
    </row>
    <row r="384" spans="1:7" ht="15" thickBot="1">
      <c r="A384" s="2417" t="s">
        <v>2736</v>
      </c>
      <c r="B384" s="2418" t="s">
        <v>2778</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2"/>
  </cols>
  <sheetData>
    <row r="1" spans="1:6">
      <c r="A1" s="4757" t="s">
        <v>3117</v>
      </c>
      <c r="B1" s="4757"/>
      <c r="C1" s="4757"/>
      <c r="D1" s="4757"/>
      <c r="E1" s="4757"/>
      <c r="F1" s="4758"/>
    </row>
    <row r="2" spans="1:6">
      <c r="A2" s="2421" t="s">
        <v>3118</v>
      </c>
    </row>
    <row r="3" spans="1:6">
      <c r="A3" s="2421" t="s">
        <v>3119</v>
      </c>
      <c r="F3" s="2422" t="s">
        <v>3120</v>
      </c>
    </row>
    <row r="4" spans="1:6">
      <c r="A4" s="2423" t="s">
        <v>659</v>
      </c>
      <c r="B4" s="2423" t="s">
        <v>660</v>
      </c>
      <c r="C4" s="2423" t="s">
        <v>19</v>
      </c>
      <c r="D4" s="2423" t="s">
        <v>661</v>
      </c>
      <c r="E4" s="2423" t="s">
        <v>3</v>
      </c>
      <c r="F4" s="2423" t="s">
        <v>3121</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I8" sqref="H7:I8"/>
    </sheetView>
  </sheetViews>
  <sheetFormatPr defaultRowHeight="14.4"/>
  <cols>
    <col min="1" max="1" width="13.88671875" customWidth="1"/>
    <col min="11" max="17" width="0" hidden="1" customWidth="1"/>
    <col min="25" max="30" width="0" hidden="1" customWidth="1"/>
  </cols>
  <sheetData>
    <row r="1" spans="1:44">
      <c r="A1" s="2360">
        <f>基准地价修正!G23</f>
        <v>46049</v>
      </c>
      <c r="B1" s="2352" t="s">
        <v>3260</v>
      </c>
      <c r="C1" s="2353"/>
      <c r="D1" s="2353"/>
      <c r="E1" s="2353"/>
      <c r="F1" s="2353"/>
      <c r="G1" s="2353"/>
      <c r="H1" s="2353"/>
      <c r="I1" s="2353"/>
      <c r="J1" s="2327"/>
      <c r="K1" s="2353" t="s">
        <v>448</v>
      </c>
      <c r="L1" s="2353"/>
      <c r="M1" s="2353"/>
      <c r="N1" s="2353"/>
      <c r="O1" s="2353"/>
      <c r="P1" s="2353"/>
      <c r="Q1" s="2327"/>
      <c r="R1" s="4759" t="s">
        <v>450</v>
      </c>
      <c r="S1" s="4760"/>
      <c r="T1" s="4760"/>
      <c r="U1" s="4760"/>
      <c r="V1" s="4760"/>
      <c r="W1" s="4760"/>
      <c r="X1" s="2327"/>
      <c r="Y1" s="4759" t="s">
        <v>451</v>
      </c>
      <c r="Z1" s="4760"/>
      <c r="AA1" s="4760"/>
      <c r="AB1" s="4760"/>
      <c r="AC1" s="4760"/>
      <c r="AD1" s="4760"/>
    </row>
    <row r="2" spans="1:44" s="1625" customFormat="1" ht="15" thickBot="1">
      <c r="B2" s="2313"/>
      <c r="C2" s="2314"/>
      <c r="D2" s="1626" t="s">
        <v>2695</v>
      </c>
      <c r="E2" s="1627" t="s">
        <v>2696</v>
      </c>
      <c r="F2" s="1627" t="s">
        <v>2697</v>
      </c>
      <c r="G2" s="1627" t="s">
        <v>2698</v>
      </c>
      <c r="H2" s="1627" t="s">
        <v>2699</v>
      </c>
      <c r="I2" s="1627" t="s">
        <v>2516</v>
      </c>
      <c r="J2" s="2315"/>
      <c r="K2" s="1626" t="s">
        <v>2695</v>
      </c>
      <c r="L2" s="1627" t="s">
        <v>2696</v>
      </c>
      <c r="M2" s="1627" t="s">
        <v>2697</v>
      </c>
      <c r="N2" s="1627" t="s">
        <v>2698</v>
      </c>
      <c r="O2" s="1627" t="s">
        <v>2700</v>
      </c>
      <c r="P2" s="1627" t="s">
        <v>2516</v>
      </c>
      <c r="Q2" s="2315"/>
      <c r="R2" s="1626" t="s">
        <v>2695</v>
      </c>
      <c r="S2" s="1627" t="s">
        <v>2696</v>
      </c>
      <c r="T2" s="1627" t="s">
        <v>2697</v>
      </c>
      <c r="U2" s="1627" t="s">
        <v>2701</v>
      </c>
      <c r="V2" s="1627" t="s">
        <v>2702</v>
      </c>
      <c r="W2" s="1627" t="s">
        <v>2516</v>
      </c>
      <c r="X2" s="2315"/>
      <c r="Y2" s="1626" t="s">
        <v>2695</v>
      </c>
      <c r="Z2" s="1627" t="s">
        <v>2696</v>
      </c>
      <c r="AA2" s="1627" t="s">
        <v>2697</v>
      </c>
      <c r="AB2" s="1627" t="s">
        <v>2703</v>
      </c>
      <c r="AC2" s="1627" t="s">
        <v>2702</v>
      </c>
      <c r="AD2" s="1627" t="s">
        <v>2516</v>
      </c>
      <c r="AF2" t="s">
        <v>3267</v>
      </c>
      <c r="AG2" t="s">
        <v>660</v>
      </c>
      <c r="AH2" t="s">
        <v>19</v>
      </c>
      <c r="AI2" t="s">
        <v>3268</v>
      </c>
      <c r="AJ2" t="s">
        <v>3</v>
      </c>
      <c r="AK2" t="s">
        <v>3269</v>
      </c>
      <c r="AM2" t="s">
        <v>3267</v>
      </c>
      <c r="AN2" t="s">
        <v>660</v>
      </c>
      <c r="AO2" t="s">
        <v>19</v>
      </c>
      <c r="AP2" t="s">
        <v>3268</v>
      </c>
      <c r="AQ2" t="s">
        <v>3</v>
      </c>
      <c r="AR2" t="s">
        <v>3269</v>
      </c>
    </row>
    <row r="3" spans="1:44" s="2318" customFormat="1" ht="13.2">
      <c r="A3" s="2316" t="s">
        <v>2704</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3.2">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3643</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3.2">
      <c r="A6" s="1649" t="s">
        <v>3642</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3.2">
      <c r="A7" s="1649" t="s">
        <v>3641</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3.2">
      <c r="A8" s="2339" t="s">
        <v>3644</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3.2">
      <c r="A9" s="1649" t="s">
        <v>3640</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3.2">
      <c r="A10" s="1649" t="s">
        <v>3645</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3.2">
      <c r="A11" s="1649" t="s">
        <v>3281</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3.2">
      <c r="A12" s="1649" t="s">
        <v>3272</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3.2">
      <c r="A13" s="1649" t="s">
        <v>3271</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3.2">
      <c r="A14" s="1649" t="s">
        <v>3264</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3.2">
      <c r="A15" s="2336" t="s">
        <v>3258</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3.2">
      <c r="A16" s="2336" t="s">
        <v>3257</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3.2">
      <c r="A17" s="2336" t="s">
        <v>3253</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3.2">
      <c r="A18" s="2336" t="s">
        <v>3252</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3.2">
      <c r="A19" s="2336" t="s">
        <v>3250</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3.2">
      <c r="A20" s="2336" t="s">
        <v>3249</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3.2">
      <c r="A21" s="2336" t="s">
        <v>3248</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3.2">
      <c r="A22" s="2336" t="s">
        <v>3246</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3.2">
      <c r="A23" s="2336" t="s">
        <v>3237</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3.2">
      <c r="A24" s="2336" t="s">
        <v>2705</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3.2">
      <c r="A25" s="2336" t="s">
        <v>2706</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3.2">
      <c r="A26" s="2336" t="s">
        <v>2707</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3.2">
      <c r="A27" s="2336" t="s">
        <v>2708</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5" thickBot="1">
      <c r="A28" s="2345" t="s">
        <v>2709</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5" thickTop="1"/>
    <row r="30" spans="1:44">
      <c r="A30" s="2550" t="s">
        <v>3263</v>
      </c>
    </row>
    <row r="31" spans="1:44">
      <c r="I31" s="1075" t="s">
        <v>2710</v>
      </c>
    </row>
    <row r="33" spans="1:44" s="1624" customFormat="1" ht="13.2">
      <c r="B33" s="2352" t="s">
        <v>3261</v>
      </c>
      <c r="C33" s="2353"/>
      <c r="D33" s="2353"/>
      <c r="E33" s="2353"/>
      <c r="F33" s="2353"/>
      <c r="G33" s="2353"/>
      <c r="H33" s="2353"/>
      <c r="I33" s="2353"/>
      <c r="J33" s="2327"/>
      <c r="K33" s="2353" t="s">
        <v>2711</v>
      </c>
      <c r="L33" s="2353"/>
      <c r="M33" s="2353"/>
      <c r="N33" s="2353"/>
      <c r="O33" s="2353"/>
      <c r="P33" s="2353"/>
      <c r="Q33" s="2327"/>
      <c r="R33" s="4759" t="s">
        <v>2712</v>
      </c>
      <c r="S33" s="4760"/>
      <c r="T33" s="4760"/>
      <c r="U33" s="4760"/>
      <c r="V33" s="4760"/>
      <c r="W33" s="4760"/>
      <c r="X33" s="2327"/>
      <c r="Y33" s="4759" t="s">
        <v>2713</v>
      </c>
      <c r="Z33" s="4760"/>
      <c r="AA33" s="4760"/>
      <c r="AB33" s="4760"/>
      <c r="AC33" s="4760"/>
      <c r="AD33" s="4760"/>
    </row>
    <row r="34" spans="1:44" s="1625" customFormat="1" ht="15" thickBot="1">
      <c r="B34" s="2313"/>
      <c r="C34" s="2314"/>
      <c r="D34" s="1626" t="s">
        <v>2714</v>
      </c>
      <c r="E34" s="1627" t="s">
        <v>2715</v>
      </c>
      <c r="F34" s="1627" t="s">
        <v>2716</v>
      </c>
      <c r="G34" s="1627" t="s">
        <v>2717</v>
      </c>
      <c r="H34" s="1627"/>
      <c r="I34" s="1627" t="s">
        <v>2718</v>
      </c>
      <c r="J34" s="2315"/>
      <c r="K34" s="1626" t="s">
        <v>2714</v>
      </c>
      <c r="L34" s="1627" t="s">
        <v>2715</v>
      </c>
      <c r="M34" s="1627" t="s">
        <v>2716</v>
      </c>
      <c r="N34" s="1627" t="s">
        <v>2717</v>
      </c>
      <c r="O34" s="1627"/>
      <c r="P34" s="1627" t="s">
        <v>2718</v>
      </c>
      <c r="Q34" s="2315"/>
      <c r="R34" s="1626" t="s">
        <v>2714</v>
      </c>
      <c r="S34" s="1627" t="s">
        <v>2715</v>
      </c>
      <c r="T34" s="1627" t="s">
        <v>2716</v>
      </c>
      <c r="U34" s="1627" t="s">
        <v>2717</v>
      </c>
      <c r="V34" s="1627"/>
      <c r="W34" s="1627" t="s">
        <v>2718</v>
      </c>
      <c r="X34" s="2315"/>
      <c r="Y34" s="1626" t="s">
        <v>2714</v>
      </c>
      <c r="Z34" s="1627" t="s">
        <v>2715</v>
      </c>
      <c r="AA34" s="1627" t="s">
        <v>2716</v>
      </c>
      <c r="AB34" s="1627" t="s">
        <v>2717</v>
      </c>
      <c r="AC34" s="1627"/>
      <c r="AD34" s="1627" t="s">
        <v>2718</v>
      </c>
      <c r="AG34" t="s">
        <v>660</v>
      </c>
      <c r="AH34" t="s">
        <v>19</v>
      </c>
      <c r="AI34" t="s">
        <v>3268</v>
      </c>
      <c r="AJ34"/>
      <c r="AK34" t="s">
        <v>3269</v>
      </c>
      <c r="AN34" t="s">
        <v>660</v>
      </c>
      <c r="AO34" t="s">
        <v>19</v>
      </c>
      <c r="AP34" t="s">
        <v>3268</v>
      </c>
      <c r="AQ34"/>
      <c r="AR34" t="s">
        <v>3269</v>
      </c>
    </row>
    <row r="35" spans="1:44" s="2318" customFormat="1" ht="13.2">
      <c r="A35" s="2316" t="s">
        <v>2719</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3.2">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3643</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3.2">
      <c r="A38" s="1649" t="s">
        <v>3642</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3.2">
      <c r="A39" s="1649" t="s">
        <v>3641</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3.2">
      <c r="A40" s="2339" t="s">
        <v>3646</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3.2">
      <c r="A41" s="1649" t="s">
        <v>3640</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3.2">
      <c r="A42" s="1649" t="s">
        <v>3280</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3.2">
      <c r="A43" s="1649" t="s">
        <v>3281</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3.2">
      <c r="A44" s="1649" t="s">
        <v>3270</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3.2">
      <c r="A45" s="1649" t="s">
        <v>3271</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3.2">
      <c r="A46" s="1649" t="s">
        <v>3255</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3.2">
      <c r="A47" s="2336" t="s">
        <v>3259</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3.2">
      <c r="A48" s="2336" t="s">
        <v>3256</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3.2">
      <c r="A49" s="2336" t="s">
        <v>3254</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3.2">
      <c r="A50" s="2336" t="s">
        <v>3252</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3.2">
      <c r="A51" s="2336" t="s">
        <v>3251</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3.2">
      <c r="A52" s="2336" t="s">
        <v>3249</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3.2">
      <c r="A53" s="2336" t="s">
        <v>3248</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3.2">
      <c r="A54" s="2336" t="s">
        <v>3247</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3.2">
      <c r="A55" s="2336" t="s">
        <v>3237</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3.2">
      <c r="A56" s="2336" t="s">
        <v>2720</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3.2">
      <c r="A57" s="2336" t="s">
        <v>2721</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3.2">
      <c r="A58" s="2336" t="s">
        <v>2722</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3.2">
      <c r="A59" s="2336" t="s">
        <v>2723</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5" thickBot="1">
      <c r="A60" s="2345" t="s">
        <v>2709</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5" thickTop="1"/>
    <row r="62" spans="1:44">
      <c r="A62" s="2550"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40"/>
    <col min="2" max="6" width="9" style="1640" customWidth="1"/>
    <col min="7" max="7" width="9" style="1662"/>
    <col min="8" max="8" width="9" style="1640"/>
    <col min="9" max="12" width="9" style="1640" customWidth="1"/>
    <col min="13" max="13" width="2.21875" style="1640" customWidth="1"/>
    <col min="14" max="14" width="9" style="1662" customWidth="1"/>
    <col min="15" max="17" width="9" style="1640" customWidth="1"/>
    <col min="18" max="18" width="2.33203125" style="1640" customWidth="1"/>
    <col min="19" max="19" width="7.109375" style="1662" customWidth="1"/>
    <col min="20" max="22" width="7.109375" style="1640" customWidth="1"/>
    <col min="23" max="23" width="24.21875" style="1640" customWidth="1"/>
    <col min="24" max="25" width="9" style="1640"/>
    <col min="26" max="27" width="11.6640625" style="1640" customWidth="1"/>
    <col min="28" max="28" width="9" style="1640"/>
    <col min="29" max="29" width="2" style="1640" customWidth="1"/>
    <col min="30" max="16384" width="9" style="1640"/>
  </cols>
  <sheetData>
    <row r="1" spans="1:34" s="1624" customFormat="1">
      <c r="B1" s="4764" t="s">
        <v>446</v>
      </c>
      <c r="C1" s="4764"/>
      <c r="D1" s="4764"/>
      <c r="E1" s="4764"/>
      <c r="F1" s="4764"/>
      <c r="G1" s="4760" t="s">
        <v>447</v>
      </c>
      <c r="H1" s="4760"/>
      <c r="I1" s="4760"/>
      <c r="J1" s="4760"/>
      <c r="K1" s="4760"/>
      <c r="L1" s="4760"/>
      <c r="N1" s="4760" t="s">
        <v>448</v>
      </c>
      <c r="O1" s="4760"/>
      <c r="P1" s="4760"/>
      <c r="Q1" s="4760"/>
      <c r="S1" s="4760" t="s">
        <v>449</v>
      </c>
      <c r="T1" s="4760"/>
      <c r="U1" s="4760"/>
      <c r="V1" s="4760"/>
      <c r="X1" s="4759" t="s">
        <v>450</v>
      </c>
      <c r="Y1" s="4760"/>
      <c r="Z1" s="4760"/>
      <c r="AA1" s="4760"/>
      <c r="AB1" s="4760"/>
      <c r="AD1" s="4759" t="s">
        <v>451</v>
      </c>
      <c r="AE1" s="4760"/>
      <c r="AF1" s="4760"/>
      <c r="AG1" s="4760"/>
      <c r="AH1" s="4760"/>
    </row>
    <row r="2" spans="1:34" s="1625" customFormat="1" ht="1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4">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4">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3245</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3242</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3243</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3244</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2321</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2204</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2203</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2202</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2199</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2198</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8"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8"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762">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762"/>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762"/>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769"/>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765">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762"/>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762"/>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769"/>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765">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762"/>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762"/>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8"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763"/>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8" thickBot="1">
      <c r="A33" s="1649" t="s">
        <v>122</v>
      </c>
      <c r="B33" s="1654">
        <v>333</v>
      </c>
      <c r="C33" s="1654">
        <v>277</v>
      </c>
      <c r="D33" s="1654">
        <f t="shared" si="246"/>
        <v>277</v>
      </c>
      <c r="E33" s="1654">
        <v>459</v>
      </c>
      <c r="F33" s="1655">
        <v>249</v>
      </c>
      <c r="G33" s="4761">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762"/>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762"/>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763"/>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8" thickBot="1">
      <c r="A37" s="1649" t="s">
        <v>118</v>
      </c>
      <c r="B37" s="1663">
        <v>318</v>
      </c>
      <c r="C37" s="1663">
        <v>268</v>
      </c>
      <c r="D37" s="1663">
        <f t="shared" si="246"/>
        <v>268</v>
      </c>
      <c r="E37" s="1663">
        <v>437</v>
      </c>
      <c r="F37" s="1664">
        <v>237</v>
      </c>
      <c r="G37" s="4761">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762"/>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8"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762"/>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8"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763"/>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8" thickBot="1">
      <c r="A41" s="1649" t="s">
        <v>459</v>
      </c>
      <c r="B41" s="1654">
        <v>299</v>
      </c>
      <c r="C41" s="1654">
        <v>252</v>
      </c>
      <c r="D41" s="1654">
        <f t="shared" si="246"/>
        <v>252</v>
      </c>
      <c r="E41" s="1654">
        <v>409</v>
      </c>
      <c r="F41" s="1655">
        <v>227</v>
      </c>
      <c r="G41" s="4766">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767"/>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767"/>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768"/>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8" thickBot="1">
      <c r="A45" s="1649" t="s">
        <v>463</v>
      </c>
      <c r="B45" s="1676">
        <v>278</v>
      </c>
      <c r="C45" s="1676">
        <v>234</v>
      </c>
      <c r="D45" s="1676">
        <f t="shared" si="246"/>
        <v>234</v>
      </c>
      <c r="E45" s="1676">
        <v>379</v>
      </c>
      <c r="F45" s="1677">
        <v>220</v>
      </c>
      <c r="G45" s="4761">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762"/>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762"/>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8" thickBot="1">
      <c r="A48" s="1649" t="s">
        <v>466</v>
      </c>
      <c r="B48" s="1650">
        <f>B47/(1+N47)</f>
        <v>275.19025476197027</v>
      </c>
      <c r="C48" s="1678">
        <v>232</v>
      </c>
      <c r="D48" s="1678">
        <f t="shared" si="246"/>
        <v>232</v>
      </c>
      <c r="E48" s="1650">
        <f t="shared" si="257"/>
        <v>375.65990977608692</v>
      </c>
      <c r="F48" s="1650">
        <f t="shared" si="257"/>
        <v>214.12518283971252</v>
      </c>
      <c r="G48" s="4763"/>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8" thickBot="1">
      <c r="A49" s="1649" t="s">
        <v>467</v>
      </c>
      <c r="B49" s="1654">
        <v>275</v>
      </c>
      <c r="C49" s="1654">
        <v>232</v>
      </c>
      <c r="D49" s="1654">
        <f t="shared" si="246"/>
        <v>232</v>
      </c>
      <c r="E49" s="1654">
        <v>376</v>
      </c>
      <c r="F49" s="1655">
        <v>213</v>
      </c>
      <c r="G49" s="4761">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762">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762">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8"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763">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8" thickBot="1">
      <c r="A53" s="1649" t="s">
        <v>471</v>
      </c>
      <c r="B53" s="1654">
        <v>269</v>
      </c>
      <c r="C53" s="1654">
        <v>221</v>
      </c>
      <c r="D53" s="1654">
        <f t="shared" si="246"/>
        <v>221</v>
      </c>
      <c r="E53" s="1654">
        <v>373</v>
      </c>
      <c r="F53" s="1655">
        <v>196</v>
      </c>
      <c r="G53" s="4761">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762">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762">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8"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763">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8" thickBot="1">
      <c r="A57" s="1649" t="s">
        <v>475</v>
      </c>
      <c r="B57" s="1654">
        <v>220</v>
      </c>
      <c r="C57" s="1654">
        <v>187</v>
      </c>
      <c r="D57" s="1654">
        <f t="shared" si="246"/>
        <v>187</v>
      </c>
      <c r="E57" s="1654">
        <v>301</v>
      </c>
      <c r="F57" s="1655">
        <v>168</v>
      </c>
      <c r="G57" s="4761">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762">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762">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763">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8" thickBot="1">
      <c r="A61" s="1649" t="s">
        <v>479</v>
      </c>
      <c r="B61" s="1676">
        <v>214</v>
      </c>
      <c r="C61" s="1676">
        <v>188</v>
      </c>
      <c r="D61" s="1676">
        <f t="shared" si="246"/>
        <v>188</v>
      </c>
      <c r="E61" s="1676">
        <v>289</v>
      </c>
      <c r="F61" s="1677">
        <v>166</v>
      </c>
      <c r="G61" s="4761">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762">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762">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8"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763">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8" thickBot="1">
      <c r="A65" s="1649" t="s">
        <v>483</v>
      </c>
      <c r="B65" s="1654">
        <v>188</v>
      </c>
      <c r="C65" s="1654">
        <v>165</v>
      </c>
      <c r="D65" s="1654">
        <f t="shared" si="246"/>
        <v>165</v>
      </c>
      <c r="E65" s="1654">
        <v>254</v>
      </c>
      <c r="F65" s="1655">
        <v>148</v>
      </c>
      <c r="G65" s="4761">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762">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762">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763">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8" thickBot="1">
      <c r="A69" s="1649" t="s">
        <v>487</v>
      </c>
      <c r="B69" s="1663">
        <v>159</v>
      </c>
      <c r="C69" s="1663">
        <v>141</v>
      </c>
      <c r="D69" s="1663">
        <f t="shared" si="246"/>
        <v>141</v>
      </c>
      <c r="E69" s="1663">
        <v>195</v>
      </c>
      <c r="F69" s="1664">
        <v>122</v>
      </c>
      <c r="G69" s="4761">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762">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762">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763">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8" thickBot="1">
      <c r="A73" s="1649" t="s">
        <v>491</v>
      </c>
      <c r="B73" s="1663">
        <v>138</v>
      </c>
      <c r="C73" s="1663">
        <v>131</v>
      </c>
      <c r="D73" s="1663">
        <f t="shared" si="246"/>
        <v>131</v>
      </c>
      <c r="E73" s="1663">
        <v>155</v>
      </c>
      <c r="F73" s="1664">
        <v>114</v>
      </c>
      <c r="G73" s="4761">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762">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762">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763">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8" thickBot="1">
      <c r="A77" s="1649" t="s">
        <v>495</v>
      </c>
      <c r="B77" s="1676">
        <v>121</v>
      </c>
      <c r="C77" s="1676">
        <v>122</v>
      </c>
      <c r="D77" s="1676">
        <f t="shared" si="246"/>
        <v>122</v>
      </c>
      <c r="E77" s="1676">
        <v>124</v>
      </c>
      <c r="F77" s="1677">
        <v>107</v>
      </c>
      <c r="G77" s="4761">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762">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762">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8"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763">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8" thickBot="1">
      <c r="A81" s="1649" t="s">
        <v>499</v>
      </c>
      <c r="B81" s="1692">
        <v>111</v>
      </c>
      <c r="C81" s="1692">
        <v>114</v>
      </c>
      <c r="D81" s="1692">
        <f t="shared" si="246"/>
        <v>114</v>
      </c>
      <c r="E81" s="1692">
        <v>108</v>
      </c>
      <c r="F81" s="1693">
        <v>104</v>
      </c>
      <c r="G81" s="4761">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762">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762">
        <v>2003</v>
      </c>
      <c r="H83" s="3073">
        <v>2</v>
      </c>
      <c r="I83" s="1694"/>
      <c r="J83" s="1694"/>
      <c r="K83" s="1694"/>
      <c r="L83" s="1694"/>
      <c r="X83" s="1686"/>
      <c r="Y83" s="1686"/>
      <c r="Z83" s="1686"/>
    </row>
    <row r="84" spans="1:26" ht="13.8" thickBot="1">
      <c r="A84" s="1649" t="s">
        <v>502</v>
      </c>
      <c r="B84" s="1696">
        <f t="shared" si="282"/>
        <v>107.25</v>
      </c>
      <c r="C84" s="1696">
        <f t="shared" si="282"/>
        <v>108.75</v>
      </c>
      <c r="D84" s="1696">
        <f t="shared" si="246"/>
        <v>108.75</v>
      </c>
      <c r="E84" s="1696">
        <f t="shared" si="283"/>
        <v>105.75</v>
      </c>
      <c r="F84" s="1696">
        <f t="shared" si="283"/>
        <v>102.5</v>
      </c>
      <c r="G84" s="4763">
        <v>2003</v>
      </c>
      <c r="H84" s="3081">
        <v>1</v>
      </c>
      <c r="I84" s="1694"/>
      <c r="J84" s="1694"/>
      <c r="K84" s="1694"/>
      <c r="L84" s="1694"/>
      <c r="S84" s="1651"/>
      <c r="T84" s="1641"/>
      <c r="U84" s="1641"/>
      <c r="X84" s="1686"/>
      <c r="Y84" s="1686"/>
      <c r="Z84" s="1686"/>
    </row>
    <row r="85" spans="1:26" ht="13.8" thickBot="1">
      <c r="A85" s="1649" t="s">
        <v>503</v>
      </c>
      <c r="B85" s="1697">
        <v>106</v>
      </c>
      <c r="C85" s="1697">
        <v>107</v>
      </c>
      <c r="D85" s="1697">
        <f t="shared" si="246"/>
        <v>107</v>
      </c>
      <c r="E85" s="1697">
        <v>105</v>
      </c>
      <c r="F85" s="1698">
        <v>102</v>
      </c>
      <c r="G85" s="4761">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762">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762">
        <v>2002</v>
      </c>
      <c r="H87" s="3073">
        <v>2</v>
      </c>
      <c r="I87" s="1694"/>
      <c r="J87" s="1694"/>
      <c r="K87" s="1694"/>
      <c r="L87" s="1694"/>
      <c r="X87" s="1686"/>
      <c r="Y87" s="1686"/>
      <c r="Z87" s="1686"/>
    </row>
    <row r="88" spans="1:26" s="1667" customFormat="1" ht="13.8" thickBot="1">
      <c r="A88" s="1665" t="s">
        <v>506</v>
      </c>
      <c r="B88" s="1670">
        <f t="shared" si="284"/>
        <v>103</v>
      </c>
      <c r="C88" s="1670">
        <f t="shared" si="284"/>
        <v>104</v>
      </c>
      <c r="D88" s="1670">
        <f t="shared" si="246"/>
        <v>104</v>
      </c>
      <c r="E88" s="1670">
        <f t="shared" si="285"/>
        <v>103.5</v>
      </c>
      <c r="F88" s="1670">
        <f t="shared" si="285"/>
        <v>100.5</v>
      </c>
      <c r="G88" s="4763">
        <v>2002</v>
      </c>
      <c r="H88" s="3082">
        <v>1</v>
      </c>
      <c r="I88" s="1699"/>
      <c r="J88" s="1699"/>
      <c r="K88" s="1699"/>
      <c r="L88" s="1699"/>
      <c r="N88" s="1700"/>
      <c r="S88" s="1700"/>
      <c r="X88" s="1701"/>
      <c r="Y88" s="1701"/>
      <c r="Z88" s="1701"/>
    </row>
    <row r="89" spans="1:26" ht="13.8"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8"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8"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36" customWidth="1"/>
    <col min="2" max="2" width="18.6640625" style="2236" customWidth="1"/>
    <col min="3" max="6" width="10.21875" style="2236" customWidth="1"/>
    <col min="7" max="7" width="10.44140625" style="2236" bestFit="1" customWidth="1"/>
    <col min="8" max="8" width="8.88671875" style="2235"/>
    <col min="9" max="9" width="13.33203125" style="2235" customWidth="1"/>
    <col min="10" max="13" width="13.33203125" style="2236" customWidth="1"/>
    <col min="14" max="14" width="18.21875" style="2236" customWidth="1"/>
    <col min="15" max="17" width="15.109375" style="2236" customWidth="1"/>
    <col min="18" max="20" width="11.44140625" style="2236" customWidth="1"/>
    <col min="21" max="16384" width="8.88671875" style="2236"/>
  </cols>
  <sheetData>
    <row r="1" spans="1:20" ht="11.4" thickBot="1">
      <c r="A1" s="4772" t="s">
        <v>2724</v>
      </c>
      <c r="B1" s="4772"/>
      <c r="C1" s="4772"/>
      <c r="D1" s="4772"/>
      <c r="E1" s="4772"/>
      <c r="F1" s="4772"/>
      <c r="G1" s="4773"/>
      <c r="I1" s="2361" t="s">
        <v>2725</v>
      </c>
      <c r="J1" s="2362" t="s">
        <v>2726</v>
      </c>
      <c r="K1" s="2362" t="s">
        <v>2727</v>
      </c>
      <c r="L1" s="2362" t="s">
        <v>2728</v>
      </c>
      <c r="M1" s="2362" t="s">
        <v>2729</v>
      </c>
      <c r="N1" s="2362" t="s">
        <v>2730</v>
      </c>
      <c r="O1" s="2362" t="s">
        <v>2731</v>
      </c>
      <c r="P1" s="2362" t="s">
        <v>2732</v>
      </c>
      <c r="Q1" s="2362" t="s">
        <v>2733</v>
      </c>
      <c r="R1" s="2362" t="s">
        <v>2734</v>
      </c>
      <c r="S1" s="2362" t="s">
        <v>2735</v>
      </c>
      <c r="T1" s="2363" t="s">
        <v>2736</v>
      </c>
    </row>
    <row r="2" spans="1:20" ht="11.4" thickBot="1">
      <c r="A2" s="2364" t="s">
        <v>2737</v>
      </c>
      <c r="B2" s="2364"/>
      <c r="C2" s="2364"/>
      <c r="D2" s="2364"/>
      <c r="E2" s="2364"/>
      <c r="F2" s="2364"/>
      <c r="G2" s="2365" t="s">
        <v>2738</v>
      </c>
      <c r="I2" s="2366" t="s">
        <v>2739</v>
      </c>
      <c r="J2" s="2366" t="s">
        <v>2740</v>
      </c>
      <c r="K2" s="2366" t="s">
        <v>2741</v>
      </c>
      <c r="L2" s="2366" t="s">
        <v>2742</v>
      </c>
      <c r="M2" s="2366" t="s">
        <v>2743</v>
      </c>
      <c r="N2" s="2366" t="s">
        <v>2744</v>
      </c>
      <c r="O2" s="2366" t="s">
        <v>2745</v>
      </c>
      <c r="P2" s="2366" t="s">
        <v>2746</v>
      </c>
      <c r="Q2" s="2366" t="s">
        <v>2747</v>
      </c>
      <c r="R2" s="2366" t="s">
        <v>2748</v>
      </c>
      <c r="S2" s="2366" t="s">
        <v>2749</v>
      </c>
      <c r="T2" s="2366" t="s">
        <v>2750</v>
      </c>
    </row>
    <row r="3" spans="1:20" s="2372" customFormat="1">
      <c r="A3" s="4770" t="s">
        <v>2751</v>
      </c>
      <c r="B3" s="2367"/>
      <c r="C3" s="2368" t="s">
        <v>2696</v>
      </c>
      <c r="D3" s="2368" t="s">
        <v>2752</v>
      </c>
      <c r="E3" s="2368" t="s">
        <v>2698</v>
      </c>
      <c r="F3" s="2368" t="s">
        <v>2753</v>
      </c>
      <c r="G3" s="2368" t="s">
        <v>2516</v>
      </c>
      <c r="H3" s="2369"/>
      <c r="I3" s="2370" t="s">
        <v>2754</v>
      </c>
      <c r="J3" s="2371" t="s">
        <v>126</v>
      </c>
      <c r="K3" s="2371" t="s">
        <v>127</v>
      </c>
      <c r="L3" s="2370" t="s">
        <v>128</v>
      </c>
      <c r="M3" s="2370" t="s">
        <v>129</v>
      </c>
      <c r="N3" s="2370" t="s">
        <v>130</v>
      </c>
      <c r="O3" s="2370" t="s">
        <v>131</v>
      </c>
      <c r="P3" s="2370" t="s">
        <v>132</v>
      </c>
      <c r="Q3" s="2370" t="s">
        <v>133</v>
      </c>
      <c r="R3" s="2370" t="s">
        <v>134</v>
      </c>
      <c r="S3" s="2370" t="s">
        <v>2755</v>
      </c>
      <c r="T3" s="2370" t="s">
        <v>2756</v>
      </c>
    </row>
    <row r="4" spans="1:20" s="2372" customFormat="1" ht="11.4" thickBot="1">
      <c r="A4" s="4771"/>
      <c r="B4" s="2373" t="s">
        <v>2757</v>
      </c>
      <c r="C4" s="2373" t="s">
        <v>2758</v>
      </c>
      <c r="D4" s="2373" t="s">
        <v>2758</v>
      </c>
      <c r="E4" s="2373" t="s">
        <v>2758</v>
      </c>
      <c r="F4" s="2374" t="s">
        <v>2758</v>
      </c>
      <c r="G4" s="2374" t="s">
        <v>2758</v>
      </c>
      <c r="H4" s="2369"/>
      <c r="I4" s="2371" t="s">
        <v>135</v>
      </c>
      <c r="J4" s="2371" t="s">
        <v>109</v>
      </c>
      <c r="K4" s="2371" t="s">
        <v>136</v>
      </c>
      <c r="L4" s="2370" t="s">
        <v>137</v>
      </c>
      <c r="M4" s="2370" t="s">
        <v>138</v>
      </c>
      <c r="N4" s="2370" t="s">
        <v>139</v>
      </c>
      <c r="O4" s="2370" t="s">
        <v>140</v>
      </c>
      <c r="P4" s="2370" t="s">
        <v>141</v>
      </c>
      <c r="Q4" s="2370" t="s">
        <v>2759</v>
      </c>
      <c r="R4" s="2370" t="s">
        <v>2760</v>
      </c>
      <c r="S4" s="2370" t="s">
        <v>2761</v>
      </c>
      <c r="T4" s="2370" t="s">
        <v>2762</v>
      </c>
    </row>
    <row r="5" spans="1:20">
      <c r="A5" s="2375" t="s">
        <v>2725</v>
      </c>
      <c r="B5" s="2366" t="s">
        <v>2739</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2763</v>
      </c>
      <c r="R5" s="2370" t="s">
        <v>2764</v>
      </c>
      <c r="S5" s="2370" t="s">
        <v>151</v>
      </c>
      <c r="T5" s="2370" t="s">
        <v>2765</v>
      </c>
    </row>
    <row r="6" spans="1:20" ht="11.4" thickBot="1">
      <c r="A6" s="2370" t="s">
        <v>142</v>
      </c>
      <c r="B6" s="2370" t="s">
        <v>2754</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2766</v>
      </c>
      <c r="Q6" s="2370" t="s">
        <v>2767</v>
      </c>
      <c r="R6" s="2370" t="s">
        <v>159</v>
      </c>
      <c r="S6" s="2370" t="s">
        <v>2768</v>
      </c>
      <c r="T6" s="2370" t="s">
        <v>2769</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2770</v>
      </c>
      <c r="Q7" s="2370" t="s">
        <v>2771</v>
      </c>
      <c r="R7" s="2370" t="s">
        <v>2772</v>
      </c>
      <c r="S7" s="2370" t="s">
        <v>2773</v>
      </c>
      <c r="T7" s="2370" t="s">
        <v>2774</v>
      </c>
    </row>
    <row r="8" spans="1:20" ht="11.4"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2775</v>
      </c>
      <c r="Q8" s="2370" t="s">
        <v>172</v>
      </c>
      <c r="R8" s="2370" t="s">
        <v>2776</v>
      </c>
      <c r="S8" s="2370" t="s">
        <v>2777</v>
      </c>
      <c r="T8" s="2377" t="s">
        <v>2778</v>
      </c>
    </row>
    <row r="9" spans="1:20" ht="11.4"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2779</v>
      </c>
      <c r="Q9" s="2370" t="s">
        <v>180</v>
      </c>
      <c r="R9" s="2370" t="s">
        <v>181</v>
      </c>
      <c r="S9" s="2370" t="s">
        <v>198</v>
      </c>
    </row>
    <row r="10" spans="1:20">
      <c r="A10" s="2375" t="s">
        <v>182</v>
      </c>
      <c r="B10" s="2366" t="s">
        <v>2740</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2780</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2781</v>
      </c>
      <c r="P11" s="2370" t="s">
        <v>189</v>
      </c>
      <c r="Q11" s="2370" t="s">
        <v>197</v>
      </c>
      <c r="R11" s="2370" t="s">
        <v>2782</v>
      </c>
      <c r="S11" s="2370" t="s">
        <v>2783</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2784</v>
      </c>
      <c r="P12" s="2370" t="s">
        <v>2785</v>
      </c>
      <c r="Q12" s="2370" t="s">
        <v>2786</v>
      </c>
      <c r="R12" s="2370" t="s">
        <v>2787</v>
      </c>
      <c r="S12" s="2370" t="s">
        <v>2788</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2789</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2790</v>
      </c>
      <c r="K14" s="2371" t="s">
        <v>213</v>
      </c>
      <c r="L14" s="2370" t="s">
        <v>214</v>
      </c>
      <c r="M14" s="2370" t="s">
        <v>215</v>
      </c>
      <c r="N14" s="2370" t="s">
        <v>216</v>
      </c>
      <c r="O14" s="2370" t="s">
        <v>238</v>
      </c>
      <c r="P14" s="2370" t="s">
        <v>211</v>
      </c>
      <c r="Q14" s="2370" t="s">
        <v>2791</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2792</v>
      </c>
      <c r="P15" s="2370" t="s">
        <v>2793</v>
      </c>
      <c r="Q15" s="2370" t="s">
        <v>240</v>
      </c>
      <c r="R15" s="2370" t="s">
        <v>2794</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2795</v>
      </c>
      <c r="P16" s="2370" t="s">
        <v>225</v>
      </c>
      <c r="Q16" s="2370" t="s">
        <v>248</v>
      </c>
      <c r="R16" s="2370" t="s">
        <v>205</v>
      </c>
      <c r="S16" s="2370" t="s">
        <v>2796</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2797</v>
      </c>
      <c r="P17" s="2370" t="s">
        <v>2798</v>
      </c>
      <c r="Q17" s="2370" t="s">
        <v>254</v>
      </c>
      <c r="R17" s="2370" t="s">
        <v>2799</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2800</v>
      </c>
      <c r="P18" s="2370" t="s">
        <v>239</v>
      </c>
      <c r="Q18" s="2370" t="s">
        <v>2801</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2802</v>
      </c>
      <c r="P19" s="2370" t="s">
        <v>247</v>
      </c>
      <c r="Q19" s="2370" t="s">
        <v>2803</v>
      </c>
      <c r="R19" s="2370" t="s">
        <v>263</v>
      </c>
      <c r="S19" s="2370" t="s">
        <v>2804</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2805</v>
      </c>
      <c r="P20" s="2370" t="s">
        <v>2806</v>
      </c>
      <c r="Q20" s="2370" t="s">
        <v>288</v>
      </c>
      <c r="R20" s="2370" t="s">
        <v>2807</v>
      </c>
      <c r="S20" s="2370" t="s">
        <v>275</v>
      </c>
    </row>
    <row r="21" spans="1:19" ht="14.25" customHeight="1" thickBot="1">
      <c r="A21" s="2370" t="s">
        <v>182</v>
      </c>
      <c r="B21" s="2371" t="s">
        <v>206</v>
      </c>
      <c r="C21" s="3099">
        <v>32370</v>
      </c>
      <c r="D21" s="3099">
        <v>26730</v>
      </c>
      <c r="E21" s="3099">
        <v>26640</v>
      </c>
      <c r="F21" s="3099"/>
      <c r="G21" s="3099">
        <v>19440</v>
      </c>
      <c r="J21" s="2377" t="s">
        <v>2808</v>
      </c>
      <c r="K21" s="2371" t="s">
        <v>265</v>
      </c>
      <c r="L21" s="2370" t="s">
        <v>266</v>
      </c>
      <c r="M21" s="2370" t="s">
        <v>267</v>
      </c>
      <c r="N21" s="2370" t="s">
        <v>268</v>
      </c>
      <c r="O21" s="2370" t="s">
        <v>262</v>
      </c>
      <c r="P21" s="2370" t="s">
        <v>281</v>
      </c>
      <c r="Q21" s="2370" t="s">
        <v>291</v>
      </c>
      <c r="R21" s="2370" t="s">
        <v>2809</v>
      </c>
      <c r="S21" s="2377" t="s">
        <v>2810</v>
      </c>
    </row>
    <row r="22" spans="1:19" ht="14.25" customHeight="1">
      <c r="A22" s="2370" t="s">
        <v>182</v>
      </c>
      <c r="B22" s="2371" t="s">
        <v>2790</v>
      </c>
      <c r="C22" s="3099">
        <v>29830</v>
      </c>
      <c r="D22" s="3099">
        <v>27600</v>
      </c>
      <c r="E22" s="3099">
        <v>28150</v>
      </c>
      <c r="F22" s="3099"/>
      <c r="G22" s="3099">
        <v>20080</v>
      </c>
      <c r="K22" s="2371" t="s">
        <v>2811</v>
      </c>
      <c r="L22" s="2370" t="s">
        <v>270</v>
      </c>
      <c r="M22" s="2370" t="s">
        <v>271</v>
      </c>
      <c r="N22" s="2370" t="s">
        <v>272</v>
      </c>
      <c r="O22" s="2370" t="s">
        <v>2812</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2813</v>
      </c>
      <c r="L23" s="2370" t="s">
        <v>276</v>
      </c>
      <c r="M23" s="2370" t="s">
        <v>277</v>
      </c>
      <c r="N23" s="2370" t="s">
        <v>2814</v>
      </c>
      <c r="O23" s="2370" t="s">
        <v>2815</v>
      </c>
      <c r="P23" s="2370" t="s">
        <v>287</v>
      </c>
      <c r="Q23" s="2370" t="s">
        <v>296</v>
      </c>
      <c r="R23" s="2370" t="s">
        <v>2816</v>
      </c>
    </row>
    <row r="24" spans="1:19" ht="14.25" customHeight="1">
      <c r="A24" s="2370" t="s">
        <v>182</v>
      </c>
      <c r="B24" s="2371" t="s">
        <v>228</v>
      </c>
      <c r="C24" s="3099">
        <v>27930</v>
      </c>
      <c r="D24" s="3099">
        <v>32260</v>
      </c>
      <c r="E24" s="3099">
        <v>32120</v>
      </c>
      <c r="F24" s="3099"/>
      <c r="G24" s="3099">
        <v>23470</v>
      </c>
      <c r="K24" s="2371" t="s">
        <v>2817</v>
      </c>
      <c r="L24" s="2370" t="s">
        <v>279</v>
      </c>
      <c r="M24" s="2370" t="s">
        <v>280</v>
      </c>
      <c r="N24" s="2370" t="s">
        <v>2818</v>
      </c>
      <c r="O24" s="2370" t="s">
        <v>283</v>
      </c>
      <c r="P24" s="2370" t="s">
        <v>2819</v>
      </c>
      <c r="Q24" s="2379" t="s">
        <v>2820</v>
      </c>
      <c r="R24" s="2370" t="s">
        <v>2821</v>
      </c>
    </row>
    <row r="25" spans="1:19" ht="14.25" customHeight="1">
      <c r="A25" s="2370" t="s">
        <v>182</v>
      </c>
      <c r="B25" s="2371" t="s">
        <v>233</v>
      </c>
      <c r="C25" s="3099">
        <v>32230</v>
      </c>
      <c r="D25" s="3099">
        <v>29640</v>
      </c>
      <c r="E25" s="3099">
        <v>29510</v>
      </c>
      <c r="F25" s="3099"/>
      <c r="G25" s="3099">
        <v>21560</v>
      </c>
      <c r="K25" s="2371" t="s">
        <v>2822</v>
      </c>
      <c r="L25" s="2370" t="s">
        <v>2823</v>
      </c>
      <c r="M25" s="2370" t="s">
        <v>282</v>
      </c>
      <c r="N25" s="2370" t="s">
        <v>290</v>
      </c>
      <c r="O25" s="2370" t="s">
        <v>286</v>
      </c>
      <c r="P25" s="2370" t="s">
        <v>273</v>
      </c>
      <c r="Q25" s="2379" t="s">
        <v>269</v>
      </c>
      <c r="R25" s="2370" t="s">
        <v>2824</v>
      </c>
    </row>
    <row r="26" spans="1:19" ht="14.25" customHeight="1" thickBot="1">
      <c r="A26" s="2370" t="s">
        <v>182</v>
      </c>
      <c r="B26" s="2371" t="s">
        <v>242</v>
      </c>
      <c r="C26" s="3099">
        <v>31690</v>
      </c>
      <c r="D26" s="3099">
        <v>27650</v>
      </c>
      <c r="E26" s="3099">
        <v>28200</v>
      </c>
      <c r="F26" s="3099"/>
      <c r="G26" s="3099">
        <v>20110</v>
      </c>
      <c r="K26" s="2376" t="s">
        <v>2825</v>
      </c>
      <c r="L26" s="2370" t="s">
        <v>2826</v>
      </c>
      <c r="M26" s="2370" t="s">
        <v>285</v>
      </c>
      <c r="N26" s="2370" t="s">
        <v>292</v>
      </c>
      <c r="O26" s="2370" t="s">
        <v>2827</v>
      </c>
      <c r="P26" s="2370" t="s">
        <v>2828</v>
      </c>
      <c r="Q26" s="2379" t="s">
        <v>274</v>
      </c>
      <c r="R26" s="2370" t="s">
        <v>2829</v>
      </c>
    </row>
    <row r="27" spans="1:19" ht="14.25" customHeight="1">
      <c r="A27" s="2370" t="s">
        <v>182</v>
      </c>
      <c r="B27" s="2371" t="s">
        <v>249</v>
      </c>
      <c r="C27" s="3099">
        <v>29610</v>
      </c>
      <c r="D27" s="3099">
        <v>27770</v>
      </c>
      <c r="E27" s="3099">
        <v>28300</v>
      </c>
      <c r="F27" s="3099"/>
      <c r="G27" s="3099">
        <v>20210</v>
      </c>
      <c r="L27" s="2370" t="s">
        <v>2830</v>
      </c>
      <c r="M27" s="2370" t="s">
        <v>289</v>
      </c>
      <c r="N27" s="2370" t="s">
        <v>295</v>
      </c>
      <c r="O27" s="2370" t="s">
        <v>2831</v>
      </c>
      <c r="P27" s="2370" t="s">
        <v>2832</v>
      </c>
      <c r="Q27" s="2370" t="s">
        <v>2833</v>
      </c>
      <c r="R27" s="2370" t="s">
        <v>2834</v>
      </c>
    </row>
    <row r="28" spans="1:19" ht="14.25" customHeight="1">
      <c r="A28" s="2370" t="s">
        <v>182</v>
      </c>
      <c r="B28" s="2371" t="s">
        <v>257</v>
      </c>
      <c r="C28" s="3099"/>
      <c r="D28" s="3099">
        <v>31520</v>
      </c>
      <c r="E28" s="3099">
        <v>31410</v>
      </c>
      <c r="F28" s="3099"/>
      <c r="G28" s="3099">
        <v>22940</v>
      </c>
      <c r="L28" s="2370" t="s">
        <v>2835</v>
      </c>
      <c r="M28" s="2370" t="s">
        <v>2836</v>
      </c>
      <c r="N28" s="2370" t="s">
        <v>2837</v>
      </c>
      <c r="O28" s="2370" t="s">
        <v>2838</v>
      </c>
      <c r="P28" s="2370" t="s">
        <v>2839</v>
      </c>
      <c r="Q28" s="2370" t="s">
        <v>2840</v>
      </c>
      <c r="R28" s="2370" t="s">
        <v>2841</v>
      </c>
    </row>
    <row r="29" spans="1:19" ht="14.25" customHeight="1" thickBot="1">
      <c r="A29" s="2378" t="s">
        <v>182</v>
      </c>
      <c r="B29" s="2380" t="s">
        <v>2808</v>
      </c>
      <c r="C29" s="3101"/>
      <c r="D29" s="3101">
        <v>29460</v>
      </c>
      <c r="E29" s="3101">
        <v>28640</v>
      </c>
      <c r="F29" s="3101"/>
      <c r="G29" s="3101">
        <v>21430</v>
      </c>
      <c r="L29" s="2370" t="s">
        <v>2842</v>
      </c>
      <c r="M29" s="2370" t="s">
        <v>2843</v>
      </c>
      <c r="N29" s="2370" t="s">
        <v>2844</v>
      </c>
      <c r="O29" s="2370" t="s">
        <v>2845</v>
      </c>
      <c r="P29" s="2370" t="s">
        <v>2846</v>
      </c>
      <c r="Q29" s="2370" t="s">
        <v>2847</v>
      </c>
      <c r="R29" s="2370" t="s">
        <v>278</v>
      </c>
    </row>
    <row r="30" spans="1:19" ht="14.25" customHeight="1">
      <c r="A30" s="2375" t="s">
        <v>294</v>
      </c>
      <c r="B30" s="2366" t="s">
        <v>2741</v>
      </c>
      <c r="C30" s="3098">
        <v>26890</v>
      </c>
      <c r="D30" s="3098">
        <v>26770</v>
      </c>
      <c r="E30" s="3098">
        <v>25700</v>
      </c>
      <c r="F30" s="3098">
        <v>8180</v>
      </c>
      <c r="G30" s="3102">
        <v>18740</v>
      </c>
      <c r="L30" s="2370" t="s">
        <v>2848</v>
      </c>
      <c r="M30" s="2370" t="s">
        <v>2849</v>
      </c>
      <c r="N30" s="2370" t="s">
        <v>2850</v>
      </c>
      <c r="O30" s="2370" t="s">
        <v>2851</v>
      </c>
      <c r="P30" s="2370" t="s">
        <v>2852</v>
      </c>
      <c r="Q30" s="2370" t="s">
        <v>2853</v>
      </c>
      <c r="R30" s="2370" t="s">
        <v>2854</v>
      </c>
    </row>
    <row r="31" spans="1:19" ht="14.25" customHeight="1">
      <c r="A31" s="2370" t="s">
        <v>294</v>
      </c>
      <c r="B31" s="2371" t="s">
        <v>127</v>
      </c>
      <c r="C31" s="3099">
        <v>24550</v>
      </c>
      <c r="D31" s="3099">
        <v>23990</v>
      </c>
      <c r="E31" s="3099">
        <v>22930</v>
      </c>
      <c r="F31" s="3099">
        <v>7470</v>
      </c>
      <c r="G31" s="3103">
        <v>16790</v>
      </c>
      <c r="L31" s="2370" t="s">
        <v>2855</v>
      </c>
      <c r="M31" s="2370" t="s">
        <v>2856</v>
      </c>
      <c r="N31" s="2370" t="s">
        <v>2857</v>
      </c>
      <c r="O31" s="2370" t="s">
        <v>2858</v>
      </c>
      <c r="P31" s="2370" t="s">
        <v>2859</v>
      </c>
      <c r="Q31" s="2370" t="s">
        <v>2860</v>
      </c>
      <c r="R31" s="2370" t="s">
        <v>2861</v>
      </c>
    </row>
    <row r="32" spans="1:19" ht="14.25" customHeight="1" thickBot="1">
      <c r="A32" s="2370" t="s">
        <v>294</v>
      </c>
      <c r="B32" s="2371" t="s">
        <v>136</v>
      </c>
      <c r="C32" s="3099">
        <v>27210</v>
      </c>
      <c r="D32" s="3099">
        <v>23240</v>
      </c>
      <c r="E32" s="3099">
        <v>23260</v>
      </c>
      <c r="F32" s="3099">
        <v>7130</v>
      </c>
      <c r="G32" s="3103">
        <v>16270</v>
      </c>
      <c r="L32" s="2370" t="s">
        <v>2862</v>
      </c>
      <c r="M32" s="2370" t="s">
        <v>2863</v>
      </c>
      <c r="N32" s="2370" t="s">
        <v>298</v>
      </c>
      <c r="O32" s="2370" t="s">
        <v>2864</v>
      </c>
      <c r="P32" s="2370" t="s">
        <v>297</v>
      </c>
      <c r="Q32" s="2370" t="s">
        <v>2865</v>
      </c>
      <c r="R32" s="2377" t="s">
        <v>2866</v>
      </c>
    </row>
    <row r="33" spans="1:17" ht="14.25" customHeight="1" thickBot="1">
      <c r="A33" s="2370" t="s">
        <v>294</v>
      </c>
      <c r="B33" s="2371" t="s">
        <v>145</v>
      </c>
      <c r="C33" s="3099">
        <v>27300</v>
      </c>
      <c r="D33" s="3099">
        <v>22980</v>
      </c>
      <c r="E33" s="3099">
        <v>24260</v>
      </c>
      <c r="F33" s="3099">
        <v>5860</v>
      </c>
      <c r="G33" s="3103">
        <v>16090</v>
      </c>
      <c r="L33" s="2377" t="s">
        <v>2867</v>
      </c>
      <c r="M33" s="2370" t="s">
        <v>2868</v>
      </c>
      <c r="N33" s="2370" t="s">
        <v>299</v>
      </c>
      <c r="O33" s="2370" t="s">
        <v>2869</v>
      </c>
      <c r="P33" s="2370" t="s">
        <v>2870</v>
      </c>
      <c r="Q33" s="2370" t="s">
        <v>2871</v>
      </c>
    </row>
    <row r="34" spans="1:17" ht="14.25" customHeight="1">
      <c r="A34" s="2370" t="s">
        <v>294</v>
      </c>
      <c r="B34" s="2371" t="s">
        <v>154</v>
      </c>
      <c r="C34" s="3099">
        <v>23090</v>
      </c>
      <c r="D34" s="3099">
        <v>23390</v>
      </c>
      <c r="E34" s="3099">
        <v>23510</v>
      </c>
      <c r="F34" s="3099">
        <v>6700</v>
      </c>
      <c r="G34" s="3103">
        <v>16370</v>
      </c>
      <c r="M34" s="2370" t="s">
        <v>2872</v>
      </c>
      <c r="N34" s="2370" t="s">
        <v>300</v>
      </c>
      <c r="O34" s="2370" t="s">
        <v>2873</v>
      </c>
      <c r="P34" s="2370" t="s">
        <v>2874</v>
      </c>
      <c r="Q34" s="2370" t="s">
        <v>2875</v>
      </c>
    </row>
    <row r="35" spans="1:17" ht="14.25" customHeight="1">
      <c r="A35" s="2370" t="s">
        <v>294</v>
      </c>
      <c r="B35" s="2371" t="s">
        <v>161</v>
      </c>
      <c r="C35" s="3099">
        <v>27270</v>
      </c>
      <c r="D35" s="3099">
        <v>24270</v>
      </c>
      <c r="E35" s="3099">
        <v>24950</v>
      </c>
      <c r="F35" s="3099">
        <v>6600</v>
      </c>
      <c r="G35" s="3103">
        <v>16990</v>
      </c>
      <c r="M35" s="2370" t="s">
        <v>2876</v>
      </c>
      <c r="N35" s="2370" t="s">
        <v>2877</v>
      </c>
      <c r="O35" s="2370" t="s">
        <v>2878</v>
      </c>
      <c r="P35" s="2370" t="s">
        <v>2879</v>
      </c>
      <c r="Q35" s="2370" t="s">
        <v>2880</v>
      </c>
    </row>
    <row r="36" spans="1:17" ht="14.25" customHeight="1">
      <c r="A36" s="2370" t="s">
        <v>294</v>
      </c>
      <c r="B36" s="2371" t="s">
        <v>167</v>
      </c>
      <c r="C36" s="3099">
        <v>23490</v>
      </c>
      <c r="D36" s="3099">
        <v>23020</v>
      </c>
      <c r="E36" s="3099">
        <v>25230</v>
      </c>
      <c r="F36" s="3099">
        <v>6780</v>
      </c>
      <c r="G36" s="3103">
        <v>16120</v>
      </c>
      <c r="M36" s="2370" t="s">
        <v>2881</v>
      </c>
      <c r="N36" s="2370" t="s">
        <v>2882</v>
      </c>
      <c r="O36" s="2370" t="s">
        <v>2883</v>
      </c>
      <c r="P36" s="2370" t="s">
        <v>2884</v>
      </c>
      <c r="Q36" s="2370" t="s">
        <v>2885</v>
      </c>
    </row>
    <row r="37" spans="1:17" ht="14.25" customHeight="1">
      <c r="A37" s="2370" t="s">
        <v>294</v>
      </c>
      <c r="B37" s="2371" t="s">
        <v>174</v>
      </c>
      <c r="C37" s="3099">
        <v>24380</v>
      </c>
      <c r="D37" s="3099">
        <v>22240</v>
      </c>
      <c r="E37" s="3099">
        <v>25980</v>
      </c>
      <c r="F37" s="3099">
        <v>8160</v>
      </c>
      <c r="G37" s="3103">
        <v>15570</v>
      </c>
      <c r="M37" s="2370" t="s">
        <v>2886</v>
      </c>
      <c r="N37" s="2370" t="s">
        <v>2887</v>
      </c>
      <c r="O37" s="2370" t="s">
        <v>2888</v>
      </c>
      <c r="P37" s="2370" t="s">
        <v>2889</v>
      </c>
      <c r="Q37" s="2370" t="s">
        <v>2890</v>
      </c>
    </row>
    <row r="38" spans="1:17" ht="14.25" customHeight="1">
      <c r="A38" s="2370" t="s">
        <v>294</v>
      </c>
      <c r="B38" s="2371" t="s">
        <v>184</v>
      </c>
      <c r="C38" s="3099">
        <v>23120</v>
      </c>
      <c r="D38" s="3099">
        <v>24630</v>
      </c>
      <c r="E38" s="3099">
        <v>25030</v>
      </c>
      <c r="F38" s="3099">
        <v>7710</v>
      </c>
      <c r="G38" s="3103">
        <v>17240</v>
      </c>
      <c r="M38" s="2370" t="s">
        <v>2891</v>
      </c>
      <c r="N38" s="2370" t="s">
        <v>2892</v>
      </c>
      <c r="O38" s="2370" t="s">
        <v>2893</v>
      </c>
      <c r="P38" s="2370" t="s">
        <v>2894</v>
      </c>
      <c r="Q38" s="2370" t="s">
        <v>2895</v>
      </c>
    </row>
    <row r="39" spans="1:17" ht="14.25" customHeight="1">
      <c r="A39" s="2370" t="s">
        <v>294</v>
      </c>
      <c r="B39" s="2371" t="s">
        <v>193</v>
      </c>
      <c r="C39" s="3099">
        <v>22330</v>
      </c>
      <c r="D39" s="3099">
        <v>21140</v>
      </c>
      <c r="E39" s="3099">
        <v>23970</v>
      </c>
      <c r="F39" s="3099">
        <v>7940</v>
      </c>
      <c r="G39" s="3103">
        <v>14790</v>
      </c>
      <c r="M39" s="2370" t="s">
        <v>2896</v>
      </c>
      <c r="N39" s="2370" t="s">
        <v>2897</v>
      </c>
      <c r="O39" s="2370" t="s">
        <v>2898</v>
      </c>
      <c r="P39" s="2370" t="s">
        <v>2899</v>
      </c>
      <c r="Q39" s="2370" t="s">
        <v>2900</v>
      </c>
    </row>
    <row r="40" spans="1:17" ht="14.25" customHeight="1">
      <c r="A40" s="2370" t="s">
        <v>294</v>
      </c>
      <c r="B40" s="2371" t="s">
        <v>200</v>
      </c>
      <c r="C40" s="3099">
        <v>24740</v>
      </c>
      <c r="D40" s="3099">
        <v>24690</v>
      </c>
      <c r="E40" s="3099">
        <v>22610</v>
      </c>
      <c r="F40" s="3099"/>
      <c r="G40" s="3103">
        <v>17280</v>
      </c>
      <c r="M40" s="2370" t="s">
        <v>2901</v>
      </c>
      <c r="N40" s="2370" t="s">
        <v>2902</v>
      </c>
      <c r="O40" s="2370" t="s">
        <v>2903</v>
      </c>
      <c r="P40" s="2370" t="s">
        <v>2904</v>
      </c>
      <c r="Q40" s="2370" t="s">
        <v>2905</v>
      </c>
    </row>
    <row r="41" spans="1:17" ht="14.25" customHeight="1" thickBot="1">
      <c r="A41" s="2370" t="s">
        <v>294</v>
      </c>
      <c r="B41" s="2371" t="s">
        <v>207</v>
      </c>
      <c r="C41" s="3099">
        <v>21220</v>
      </c>
      <c r="D41" s="3099">
        <v>21120</v>
      </c>
      <c r="E41" s="3099">
        <v>22590</v>
      </c>
      <c r="F41" s="3099"/>
      <c r="G41" s="3103">
        <v>14780</v>
      </c>
      <c r="M41" s="2377" t="s">
        <v>2906</v>
      </c>
      <c r="N41" s="2370" t="s">
        <v>2907</v>
      </c>
      <c r="O41" s="2370" t="s">
        <v>2908</v>
      </c>
      <c r="P41" s="2370" t="s">
        <v>2909</v>
      </c>
      <c r="Q41" s="2370" t="s">
        <v>2910</v>
      </c>
    </row>
    <row r="42" spans="1:17" ht="14.25" customHeight="1">
      <c r="A42" s="2370" t="s">
        <v>294</v>
      </c>
      <c r="B42" s="2371" t="s">
        <v>213</v>
      </c>
      <c r="C42" s="3099">
        <v>24800</v>
      </c>
      <c r="D42" s="3099">
        <v>22280</v>
      </c>
      <c r="E42" s="3099">
        <v>24350</v>
      </c>
      <c r="F42" s="3099"/>
      <c r="G42" s="3103">
        <v>15590</v>
      </c>
      <c r="N42" s="2370" t="s">
        <v>2911</v>
      </c>
      <c r="O42" s="2370" t="s">
        <v>2912</v>
      </c>
      <c r="P42" s="2370" t="s">
        <v>2913</v>
      </c>
      <c r="Q42" s="2370" t="s">
        <v>2914</v>
      </c>
    </row>
    <row r="43" spans="1:17" ht="14.25" customHeight="1">
      <c r="A43" s="2370" t="s">
        <v>2915</v>
      </c>
      <c r="B43" s="2371" t="s">
        <v>221</v>
      </c>
      <c r="C43" s="3099">
        <v>21210</v>
      </c>
      <c r="D43" s="3099">
        <v>21160</v>
      </c>
      <c r="E43" s="3099">
        <v>22650</v>
      </c>
      <c r="F43" s="3099"/>
      <c r="G43" s="3103">
        <v>14800</v>
      </c>
      <c r="N43" s="2370" t="s">
        <v>2916</v>
      </c>
      <c r="O43" s="2370" t="s">
        <v>2917</v>
      </c>
      <c r="P43" s="2370" t="s">
        <v>2918</v>
      </c>
      <c r="Q43" s="2370" t="s">
        <v>2919</v>
      </c>
    </row>
    <row r="44" spans="1:17" ht="14.25" customHeight="1" thickBot="1">
      <c r="A44" s="2370" t="s">
        <v>294</v>
      </c>
      <c r="B44" s="2371" t="s">
        <v>229</v>
      </c>
      <c r="C44" s="3099">
        <v>22370</v>
      </c>
      <c r="D44" s="3099">
        <v>23140</v>
      </c>
      <c r="E44" s="3099">
        <v>25090</v>
      </c>
      <c r="F44" s="3099"/>
      <c r="G44" s="3103">
        <v>16190</v>
      </c>
      <c r="N44" s="2370" t="s">
        <v>2920</v>
      </c>
      <c r="O44" s="2370" t="s">
        <v>2921</v>
      </c>
      <c r="P44" s="2377" t="s">
        <v>2922</v>
      </c>
      <c r="Q44" s="2370" t="s">
        <v>2923</v>
      </c>
    </row>
    <row r="45" spans="1:17" ht="14.25" customHeight="1" thickBot="1">
      <c r="A45" s="2370" t="s">
        <v>294</v>
      </c>
      <c r="B45" s="2371" t="s">
        <v>234</v>
      </c>
      <c r="C45" s="3099">
        <v>21240</v>
      </c>
      <c r="D45" s="3099">
        <v>27050</v>
      </c>
      <c r="E45" s="3099">
        <v>28000</v>
      </c>
      <c r="F45" s="3099"/>
      <c r="G45" s="3103">
        <v>18940</v>
      </c>
      <c r="N45" s="2370" t="s">
        <v>2924</v>
      </c>
      <c r="O45" s="2377" t="s">
        <v>2925</v>
      </c>
      <c r="Q45" s="2370" t="s">
        <v>2926</v>
      </c>
    </row>
    <row r="46" spans="1:17" ht="14.25" customHeight="1">
      <c r="A46" s="2370" t="s">
        <v>294</v>
      </c>
      <c r="B46" s="2371" t="s">
        <v>243</v>
      </c>
      <c r="C46" s="3099">
        <v>23240</v>
      </c>
      <c r="D46" s="3099">
        <v>23000</v>
      </c>
      <c r="E46" s="3099">
        <v>24980</v>
      </c>
      <c r="F46" s="3099"/>
      <c r="G46" s="3103">
        <v>16100</v>
      </c>
      <c r="N46" s="2370" t="s">
        <v>2927</v>
      </c>
      <c r="Q46" s="2370" t="s">
        <v>2928</v>
      </c>
    </row>
    <row r="47" spans="1:17" ht="14.25" customHeight="1">
      <c r="A47" s="2370" t="s">
        <v>294</v>
      </c>
      <c r="B47" s="2371" t="s">
        <v>250</v>
      </c>
      <c r="C47" s="3099">
        <v>27150</v>
      </c>
      <c r="D47" s="3099">
        <v>23310</v>
      </c>
      <c r="E47" s="3099">
        <v>25150</v>
      </c>
      <c r="F47" s="3099"/>
      <c r="G47" s="3103">
        <v>16310</v>
      </c>
      <c r="N47" s="2370" t="s">
        <v>2929</v>
      </c>
      <c r="Q47" s="2370" t="s">
        <v>2930</v>
      </c>
    </row>
    <row r="48" spans="1:17" ht="14.25" customHeight="1">
      <c r="A48" s="2370" t="s">
        <v>294</v>
      </c>
      <c r="B48" s="2371" t="s">
        <v>258</v>
      </c>
      <c r="C48" s="3099">
        <v>23100</v>
      </c>
      <c r="D48" s="3099">
        <v>21110</v>
      </c>
      <c r="E48" s="3099">
        <v>23080</v>
      </c>
      <c r="F48" s="3099"/>
      <c r="G48" s="3103">
        <v>14780</v>
      </c>
      <c r="N48" s="2370" t="s">
        <v>2931</v>
      </c>
      <c r="Q48" s="2370" t="s">
        <v>2932</v>
      </c>
    </row>
    <row r="49" spans="1:17" ht="14.25" customHeight="1">
      <c r="A49" s="2370" t="s">
        <v>294</v>
      </c>
      <c r="B49" s="2371" t="s">
        <v>265</v>
      </c>
      <c r="C49" s="3099">
        <v>23400</v>
      </c>
      <c r="D49" s="3099">
        <v>22920</v>
      </c>
      <c r="E49" s="3099">
        <v>24900</v>
      </c>
      <c r="F49" s="3099"/>
      <c r="G49" s="3103">
        <v>16040</v>
      </c>
      <c r="N49" s="2370" t="s">
        <v>2933</v>
      </c>
      <c r="Q49" s="2370" t="s">
        <v>2934</v>
      </c>
    </row>
    <row r="50" spans="1:17" ht="14.25" customHeight="1">
      <c r="A50" s="2370" t="s">
        <v>294</v>
      </c>
      <c r="B50" s="2371" t="s">
        <v>2811</v>
      </c>
      <c r="C50" s="3099">
        <v>21200</v>
      </c>
      <c r="D50" s="3099">
        <v>26540</v>
      </c>
      <c r="E50" s="3099">
        <v>23200</v>
      </c>
      <c r="F50" s="3099"/>
      <c r="G50" s="3103">
        <v>18580</v>
      </c>
      <c r="N50" s="2370" t="s">
        <v>2935</v>
      </c>
      <c r="Q50" s="2371" t="s">
        <v>2936</v>
      </c>
    </row>
    <row r="51" spans="1:17" ht="14.25" customHeight="1" thickBot="1">
      <c r="A51" s="2370" t="s">
        <v>294</v>
      </c>
      <c r="B51" s="2371" t="s">
        <v>2813</v>
      </c>
      <c r="C51" s="3099">
        <v>23000</v>
      </c>
      <c r="D51" s="3099">
        <v>23460</v>
      </c>
      <c r="E51" s="3099">
        <v>25290</v>
      </c>
      <c r="F51" s="3099"/>
      <c r="G51" s="3103">
        <v>16420</v>
      </c>
      <c r="N51" s="2370" t="s">
        <v>2937</v>
      </c>
      <c r="Q51" s="2377" t="s">
        <v>2938</v>
      </c>
    </row>
    <row r="52" spans="1:17" ht="14.25" customHeight="1">
      <c r="A52" s="2370" t="s">
        <v>294</v>
      </c>
      <c r="B52" s="2371" t="s">
        <v>2817</v>
      </c>
      <c r="C52" s="3099">
        <v>26660</v>
      </c>
      <c r="D52" s="3099">
        <v>22350</v>
      </c>
      <c r="E52" s="3099">
        <v>22920</v>
      </c>
      <c r="F52" s="3099"/>
      <c r="G52" s="3103">
        <v>15640</v>
      </c>
      <c r="N52" s="2370" t="s">
        <v>2939</v>
      </c>
    </row>
    <row r="53" spans="1:17" ht="14.25" customHeight="1">
      <c r="A53" s="2370" t="s">
        <v>294</v>
      </c>
      <c r="B53" s="2371" t="s">
        <v>2822</v>
      </c>
      <c r="C53" s="3099">
        <v>23580</v>
      </c>
      <c r="D53" s="3099"/>
      <c r="E53" s="3099">
        <v>24280</v>
      </c>
      <c r="F53" s="3099"/>
      <c r="G53" s="3103"/>
      <c r="N53" s="2370" t="s">
        <v>2940</v>
      </c>
    </row>
    <row r="54" spans="1:17" ht="14.25" customHeight="1" thickBot="1">
      <c r="A54" s="2382" t="s">
        <v>294</v>
      </c>
      <c r="B54" s="2376" t="s">
        <v>2825</v>
      </c>
      <c r="C54" s="3100">
        <v>22460</v>
      </c>
      <c r="D54" s="3100"/>
      <c r="E54" s="3100"/>
      <c r="F54" s="3100"/>
      <c r="G54" s="3104"/>
      <c r="N54" s="2370" t="s">
        <v>2941</v>
      </c>
    </row>
    <row r="55" spans="1:17" ht="14.25" customHeight="1">
      <c r="A55" s="2375" t="s">
        <v>108</v>
      </c>
      <c r="B55" s="2366" t="s">
        <v>2942</v>
      </c>
      <c r="C55" s="3099">
        <v>21970</v>
      </c>
      <c r="D55" s="3099">
        <v>20370</v>
      </c>
      <c r="E55" s="3099">
        <v>20180</v>
      </c>
      <c r="F55" s="3099">
        <v>5730</v>
      </c>
      <c r="G55" s="3099">
        <v>13820</v>
      </c>
      <c r="N55" s="2370" t="s">
        <v>2943</v>
      </c>
    </row>
    <row r="56" spans="1:17" ht="14.25" customHeight="1">
      <c r="A56" s="2370" t="s">
        <v>108</v>
      </c>
      <c r="B56" s="2370" t="s">
        <v>128</v>
      </c>
      <c r="C56" s="3099">
        <v>20470</v>
      </c>
      <c r="D56" s="3099">
        <v>20700</v>
      </c>
      <c r="E56" s="3099">
        <v>20380</v>
      </c>
      <c r="F56" s="3099">
        <v>4760</v>
      </c>
      <c r="G56" s="3099">
        <v>14050</v>
      </c>
      <c r="N56" s="2370" t="s">
        <v>2944</v>
      </c>
    </row>
    <row r="57" spans="1:17" ht="14.25" customHeight="1">
      <c r="A57" s="2370" t="s">
        <v>108</v>
      </c>
      <c r="B57" s="2370" t="s">
        <v>137</v>
      </c>
      <c r="C57" s="3099">
        <v>20790</v>
      </c>
      <c r="D57" s="3099">
        <v>21370</v>
      </c>
      <c r="E57" s="3099">
        <v>20890</v>
      </c>
      <c r="F57" s="3099">
        <v>4910</v>
      </c>
      <c r="G57" s="3099">
        <v>14510</v>
      </c>
      <c r="N57" s="2370" t="s">
        <v>2945</v>
      </c>
    </row>
    <row r="58" spans="1:17" ht="14.25" customHeight="1">
      <c r="A58" s="2370" t="s">
        <v>108</v>
      </c>
      <c r="B58" s="2370" t="s">
        <v>146</v>
      </c>
      <c r="C58" s="3099">
        <v>21460</v>
      </c>
      <c r="D58" s="3099">
        <v>20920</v>
      </c>
      <c r="E58" s="3099">
        <v>23410</v>
      </c>
      <c r="F58" s="3099">
        <v>5100</v>
      </c>
      <c r="G58" s="3099">
        <v>14200</v>
      </c>
      <c r="N58" s="2370" t="s">
        <v>2946</v>
      </c>
    </row>
    <row r="59" spans="1:17" ht="14.25" customHeight="1">
      <c r="A59" s="2370" t="s">
        <v>108</v>
      </c>
      <c r="B59" s="2370" t="s">
        <v>155</v>
      </c>
      <c r="C59" s="3099">
        <v>21000</v>
      </c>
      <c r="D59" s="3099">
        <v>21550</v>
      </c>
      <c r="E59" s="3099">
        <v>21150</v>
      </c>
      <c r="F59" s="3099">
        <v>5250</v>
      </c>
      <c r="G59" s="3099">
        <v>14630</v>
      </c>
      <c r="N59" s="2370" t="s">
        <v>2947</v>
      </c>
    </row>
    <row r="60" spans="1:17" ht="14.25" customHeight="1">
      <c r="A60" s="2370" t="s">
        <v>108</v>
      </c>
      <c r="B60" s="2370" t="s">
        <v>162</v>
      </c>
      <c r="C60" s="3099">
        <v>21640</v>
      </c>
      <c r="D60" s="3099">
        <v>21260</v>
      </c>
      <c r="E60" s="3099">
        <v>24040</v>
      </c>
      <c r="F60" s="3099">
        <v>4470</v>
      </c>
      <c r="G60" s="3099">
        <v>14430</v>
      </c>
      <c r="N60" s="2370" t="s">
        <v>2948</v>
      </c>
    </row>
    <row r="61" spans="1:17" ht="14.25" customHeight="1">
      <c r="A61" s="2370" t="s">
        <v>108</v>
      </c>
      <c r="B61" s="2370" t="s">
        <v>168</v>
      </c>
      <c r="C61" s="3099">
        <v>21330</v>
      </c>
      <c r="D61" s="3099">
        <v>18640</v>
      </c>
      <c r="E61" s="3099">
        <v>21190</v>
      </c>
      <c r="F61" s="3099">
        <v>4180</v>
      </c>
      <c r="G61" s="3099">
        <v>12650</v>
      </c>
      <c r="N61" s="2370" t="s">
        <v>2949</v>
      </c>
    </row>
    <row r="62" spans="1:17" ht="14.25" customHeight="1">
      <c r="A62" s="2370" t="s">
        <v>108</v>
      </c>
      <c r="B62" s="2370" t="s">
        <v>175</v>
      </c>
      <c r="C62" s="3099">
        <v>18710</v>
      </c>
      <c r="D62" s="3099">
        <v>19400</v>
      </c>
      <c r="E62" s="3099">
        <v>23750</v>
      </c>
      <c r="F62" s="3099">
        <v>4860</v>
      </c>
      <c r="G62" s="3099">
        <v>13170</v>
      </c>
      <c r="N62" s="2370" t="s">
        <v>2950</v>
      </c>
    </row>
    <row r="63" spans="1:17" ht="14.25" customHeight="1">
      <c r="A63" s="2370" t="s">
        <v>108</v>
      </c>
      <c r="B63" s="2370" t="s">
        <v>185</v>
      </c>
      <c r="C63" s="3099">
        <v>19480</v>
      </c>
      <c r="D63" s="3099">
        <v>16830</v>
      </c>
      <c r="E63" s="3099">
        <v>21590</v>
      </c>
      <c r="F63" s="3099">
        <v>4560</v>
      </c>
      <c r="G63" s="3099">
        <v>11420</v>
      </c>
      <c r="N63" s="2370" t="s">
        <v>2951</v>
      </c>
    </row>
    <row r="64" spans="1:17" ht="14.25" customHeight="1" thickBot="1">
      <c r="A64" s="2370" t="s">
        <v>108</v>
      </c>
      <c r="B64" s="2370" t="s">
        <v>194</v>
      </c>
      <c r="C64" s="3099">
        <v>16920</v>
      </c>
      <c r="D64" s="3099">
        <v>19190</v>
      </c>
      <c r="E64" s="3099">
        <v>22200</v>
      </c>
      <c r="F64" s="3099">
        <v>4390</v>
      </c>
      <c r="G64" s="3099">
        <v>13030</v>
      </c>
      <c r="N64" s="2377" t="s">
        <v>2952</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2823</v>
      </c>
      <c r="C78" s="3099">
        <v>19820</v>
      </c>
      <c r="D78" s="3099">
        <v>19780</v>
      </c>
      <c r="E78" s="3099">
        <v>18560</v>
      </c>
      <c r="F78" s="3099"/>
      <c r="G78" s="3099">
        <v>13430</v>
      </c>
    </row>
    <row r="79" spans="1:7" s="2235" customFormat="1" ht="14.25" customHeight="1">
      <c r="A79" s="2370" t="s">
        <v>108</v>
      </c>
      <c r="B79" s="2370" t="s">
        <v>2826</v>
      </c>
      <c r="C79" s="3099">
        <v>21660</v>
      </c>
      <c r="D79" s="3099">
        <v>18000</v>
      </c>
      <c r="E79" s="3099">
        <v>22570</v>
      </c>
      <c r="F79" s="3099"/>
      <c r="G79" s="3099">
        <v>12220</v>
      </c>
    </row>
    <row r="80" spans="1:7" s="2235" customFormat="1" ht="14.25" customHeight="1">
      <c r="A80" s="2370" t="s">
        <v>108</v>
      </c>
      <c r="B80" s="2370" t="s">
        <v>2830</v>
      </c>
      <c r="C80" s="3099">
        <v>19850</v>
      </c>
      <c r="D80" s="3099"/>
      <c r="E80" s="3099">
        <v>21700</v>
      </c>
      <c r="F80" s="3099"/>
      <c r="G80" s="3099"/>
    </row>
    <row r="81" spans="1:7" s="2235" customFormat="1" ht="14.25" customHeight="1">
      <c r="A81" s="2370" t="s">
        <v>108</v>
      </c>
      <c r="B81" s="2370" t="s">
        <v>2835</v>
      </c>
      <c r="C81" s="3099">
        <v>18080</v>
      </c>
      <c r="D81" s="3099"/>
      <c r="E81" s="3099">
        <v>20900</v>
      </c>
      <c r="F81" s="3099"/>
      <c r="G81" s="3099"/>
    </row>
    <row r="82" spans="1:7" s="2235" customFormat="1" ht="14.25" customHeight="1">
      <c r="A82" s="2370" t="s">
        <v>108</v>
      </c>
      <c r="B82" s="2370" t="s">
        <v>2842</v>
      </c>
      <c r="C82" s="3099"/>
      <c r="D82" s="3099"/>
      <c r="E82" s="3099">
        <v>20840</v>
      </c>
      <c r="F82" s="3099"/>
      <c r="G82" s="3099"/>
    </row>
    <row r="83" spans="1:7" s="2235" customFormat="1" ht="14.25" customHeight="1">
      <c r="A83" s="2370" t="s">
        <v>108</v>
      </c>
      <c r="B83" s="2370" t="s">
        <v>2953</v>
      </c>
      <c r="C83" s="3099"/>
      <c r="D83" s="3099"/>
      <c r="E83" s="3099"/>
      <c r="F83" s="3099">
        <v>4770</v>
      </c>
      <c r="G83" s="3099"/>
    </row>
    <row r="84" spans="1:7" s="2235" customFormat="1" ht="14.25" customHeight="1">
      <c r="A84" s="2370" t="s">
        <v>108</v>
      </c>
      <c r="B84" s="2370" t="s">
        <v>2954</v>
      </c>
      <c r="C84" s="3099"/>
      <c r="D84" s="3099"/>
      <c r="E84" s="3099"/>
      <c r="F84" s="3099">
        <v>4600</v>
      </c>
      <c r="G84" s="3099"/>
    </row>
    <row r="85" spans="1:7" s="2235" customFormat="1" ht="14.25" customHeight="1">
      <c r="A85" s="2370" t="s">
        <v>108</v>
      </c>
      <c r="B85" s="2370" t="s">
        <v>2955</v>
      </c>
      <c r="C85" s="3099"/>
      <c r="D85" s="3099"/>
      <c r="E85" s="3099"/>
      <c r="F85" s="3099">
        <v>4680</v>
      </c>
      <c r="G85" s="3099"/>
    </row>
    <row r="86" spans="1:7" s="2235" customFormat="1" ht="14.25" customHeight="1" thickBot="1">
      <c r="A86" s="2378" t="s">
        <v>108</v>
      </c>
      <c r="B86" s="2380" t="s">
        <v>2956</v>
      </c>
      <c r="C86" s="3101">
        <v>16610</v>
      </c>
      <c r="D86" s="3101">
        <v>16540</v>
      </c>
      <c r="E86" s="3101">
        <v>18850</v>
      </c>
      <c r="F86" s="3101"/>
      <c r="G86" s="3101">
        <v>11220</v>
      </c>
    </row>
    <row r="87" spans="1:7" s="2235" customFormat="1" ht="14.25" customHeight="1">
      <c r="A87" s="2375" t="s">
        <v>301</v>
      </c>
      <c r="B87" s="2366" t="s">
        <v>2957</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2836</v>
      </c>
      <c r="C113" s="3099">
        <v>15520</v>
      </c>
      <c r="D113" s="3099">
        <v>15450</v>
      </c>
      <c r="E113" s="3099"/>
      <c r="F113" s="3099"/>
      <c r="G113" s="3103">
        <v>10210</v>
      </c>
    </row>
    <row r="114" spans="1:7" s="2235" customFormat="1" ht="14.25" customHeight="1">
      <c r="A114" s="2370" t="s">
        <v>301</v>
      </c>
      <c r="B114" s="2370" t="s">
        <v>2843</v>
      </c>
      <c r="C114" s="3099">
        <v>13110</v>
      </c>
      <c r="D114" s="3099">
        <v>13050</v>
      </c>
      <c r="E114" s="3099"/>
      <c r="F114" s="3099"/>
      <c r="G114" s="3103">
        <v>8620</v>
      </c>
    </row>
    <row r="115" spans="1:7" s="2235" customFormat="1" ht="14.25" customHeight="1">
      <c r="A115" s="2370" t="s">
        <v>301</v>
      </c>
      <c r="B115" s="2370" t="s">
        <v>2849</v>
      </c>
      <c r="C115" s="3099">
        <v>12460</v>
      </c>
      <c r="D115" s="3099">
        <v>12390</v>
      </c>
      <c r="E115" s="3099"/>
      <c r="F115" s="3099"/>
      <c r="G115" s="3103">
        <v>8190</v>
      </c>
    </row>
    <row r="116" spans="1:7" s="2235" customFormat="1" ht="14.25" customHeight="1">
      <c r="A116" s="2370" t="s">
        <v>301</v>
      </c>
      <c r="B116" s="2370" t="s">
        <v>2856</v>
      </c>
      <c r="C116" s="3099">
        <v>13580</v>
      </c>
      <c r="D116" s="3099">
        <v>13520</v>
      </c>
      <c r="E116" s="3099"/>
      <c r="F116" s="3099"/>
      <c r="G116" s="3103">
        <v>8930</v>
      </c>
    </row>
    <row r="117" spans="1:7" s="2235" customFormat="1" ht="14.25" customHeight="1">
      <c r="A117" s="2370" t="s">
        <v>301</v>
      </c>
      <c r="B117" s="2370" t="s">
        <v>2863</v>
      </c>
      <c r="C117" s="3099">
        <v>17120</v>
      </c>
      <c r="D117" s="3099">
        <v>17040</v>
      </c>
      <c r="E117" s="3099"/>
      <c r="F117" s="3099"/>
      <c r="G117" s="3103">
        <v>11260</v>
      </c>
    </row>
    <row r="118" spans="1:7" s="2235" customFormat="1" ht="14.25" customHeight="1">
      <c r="A118" s="2370" t="s">
        <v>301</v>
      </c>
      <c r="B118" s="2370" t="s">
        <v>2868</v>
      </c>
      <c r="C118" s="3099">
        <v>14860</v>
      </c>
      <c r="D118" s="3099">
        <v>14790</v>
      </c>
      <c r="E118" s="3099"/>
      <c r="F118" s="3099"/>
      <c r="G118" s="3103">
        <v>9780</v>
      </c>
    </row>
    <row r="119" spans="1:7" s="2235" customFormat="1" ht="14.25" customHeight="1">
      <c r="A119" s="2370" t="s">
        <v>301</v>
      </c>
      <c r="B119" s="2370" t="s">
        <v>2872</v>
      </c>
      <c r="C119" s="3099">
        <v>16470</v>
      </c>
      <c r="D119" s="3099">
        <v>16400</v>
      </c>
      <c r="E119" s="3099"/>
      <c r="F119" s="3099"/>
      <c r="G119" s="3103">
        <v>10840</v>
      </c>
    </row>
    <row r="120" spans="1:7" s="2235" customFormat="1" ht="14.25" customHeight="1">
      <c r="A120" s="2370" t="s">
        <v>301</v>
      </c>
      <c r="B120" s="2370" t="s">
        <v>2958</v>
      </c>
      <c r="C120" s="3099"/>
      <c r="D120" s="3099"/>
      <c r="E120" s="3099"/>
      <c r="F120" s="3099">
        <v>4160</v>
      </c>
      <c r="G120" s="3103"/>
    </row>
    <row r="121" spans="1:7" s="2235" customFormat="1" ht="14.25" customHeight="1">
      <c r="A121" s="2370" t="s">
        <v>301</v>
      </c>
      <c r="B121" s="2370" t="s">
        <v>2959</v>
      </c>
      <c r="C121" s="3099"/>
      <c r="D121" s="3099"/>
      <c r="E121" s="3099"/>
      <c r="F121" s="3099">
        <v>3880</v>
      </c>
      <c r="G121" s="3103"/>
    </row>
    <row r="122" spans="1:7" s="2235" customFormat="1" ht="14.25" customHeight="1">
      <c r="A122" s="2370" t="s">
        <v>301</v>
      </c>
      <c r="B122" s="2370" t="s">
        <v>2960</v>
      </c>
      <c r="C122" s="3099">
        <v>13750</v>
      </c>
      <c r="D122" s="3099">
        <v>13680</v>
      </c>
      <c r="E122" s="3099">
        <v>16460</v>
      </c>
      <c r="F122" s="3099">
        <v>2880</v>
      </c>
      <c r="G122" s="3103">
        <v>9040</v>
      </c>
    </row>
    <row r="123" spans="1:7" s="2235" customFormat="1" ht="14.25" customHeight="1">
      <c r="A123" s="2370" t="s">
        <v>301</v>
      </c>
      <c r="B123" s="2370" t="s">
        <v>2891</v>
      </c>
      <c r="C123" s="3099">
        <v>13590</v>
      </c>
      <c r="D123" s="3099">
        <v>13520</v>
      </c>
      <c r="E123" s="3099">
        <v>16290</v>
      </c>
      <c r="F123" s="3099">
        <v>2790</v>
      </c>
      <c r="G123" s="3103">
        <v>8930</v>
      </c>
    </row>
    <row r="124" spans="1:7" s="2235" customFormat="1" ht="14.25" customHeight="1">
      <c r="A124" s="2370" t="s">
        <v>301</v>
      </c>
      <c r="B124" s="2370" t="s">
        <v>2896</v>
      </c>
      <c r="C124" s="3099">
        <v>13400</v>
      </c>
      <c r="D124" s="3099">
        <v>13320</v>
      </c>
      <c r="E124" s="3099">
        <v>16100</v>
      </c>
      <c r="F124" s="3099">
        <v>2320</v>
      </c>
      <c r="G124" s="3103">
        <v>8800</v>
      </c>
    </row>
    <row r="125" spans="1:7" s="2235" customFormat="1" ht="14.25" customHeight="1">
      <c r="A125" s="2370" t="s">
        <v>301</v>
      </c>
      <c r="B125" s="2370" t="s">
        <v>2901</v>
      </c>
      <c r="C125" s="3099">
        <v>12860</v>
      </c>
      <c r="D125" s="3099">
        <v>12790</v>
      </c>
      <c r="E125" s="3099">
        <v>15370</v>
      </c>
      <c r="F125" s="3099">
        <v>2280</v>
      </c>
      <c r="G125" s="3103">
        <v>8450</v>
      </c>
    </row>
    <row r="126" spans="1:7" s="2235" customFormat="1" ht="14.25" customHeight="1" thickBot="1">
      <c r="A126" s="2382" t="s">
        <v>301</v>
      </c>
      <c r="B126" s="2377" t="s">
        <v>2906</v>
      </c>
      <c r="C126" s="3100">
        <v>12960</v>
      </c>
      <c r="D126" s="3100">
        <v>12890</v>
      </c>
      <c r="E126" s="3100">
        <v>15530</v>
      </c>
      <c r="F126" s="3100">
        <v>2910</v>
      </c>
      <c r="G126" s="3104">
        <v>8520</v>
      </c>
    </row>
    <row r="127" spans="1:7" s="2235" customFormat="1" ht="14.25" customHeight="1">
      <c r="A127" s="2375" t="s">
        <v>27</v>
      </c>
      <c r="B127" s="2366" t="s">
        <v>2961</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2962</v>
      </c>
      <c r="C148" s="3099">
        <v>10370</v>
      </c>
      <c r="D148" s="3099">
        <v>10310</v>
      </c>
      <c r="E148" s="3099">
        <v>12970</v>
      </c>
      <c r="F148" s="3099"/>
      <c r="G148" s="3099">
        <v>6630</v>
      </c>
    </row>
    <row r="149" spans="1:7" s="2235" customFormat="1" ht="14.25" customHeight="1">
      <c r="A149" s="2370" t="s">
        <v>27</v>
      </c>
      <c r="B149" s="2370" t="s">
        <v>2963</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2837</v>
      </c>
      <c r="C153" s="3099">
        <v>10880</v>
      </c>
      <c r="D153" s="3099">
        <v>10820</v>
      </c>
      <c r="E153" s="3099">
        <v>13660</v>
      </c>
      <c r="F153" s="3099">
        <v>2260</v>
      </c>
      <c r="G153" s="3099">
        <v>6970</v>
      </c>
    </row>
    <row r="154" spans="1:7" s="2235" customFormat="1" ht="14.25" customHeight="1">
      <c r="A154" s="2370" t="s">
        <v>27</v>
      </c>
      <c r="B154" s="2370" t="s">
        <v>2964</v>
      </c>
      <c r="C154" s="3099">
        <v>11220</v>
      </c>
      <c r="D154" s="3099">
        <v>11160</v>
      </c>
      <c r="E154" s="3099">
        <v>14130</v>
      </c>
      <c r="F154" s="3099">
        <v>2230</v>
      </c>
      <c r="G154" s="3099">
        <v>7180</v>
      </c>
    </row>
    <row r="155" spans="1:7" s="2235" customFormat="1" ht="14.25" customHeight="1">
      <c r="A155" s="2370" t="s">
        <v>27</v>
      </c>
      <c r="B155" s="2370" t="s">
        <v>2850</v>
      </c>
      <c r="C155" s="3099">
        <v>10430</v>
      </c>
      <c r="D155" s="3099">
        <v>10380</v>
      </c>
      <c r="E155" s="3099">
        <v>13140</v>
      </c>
      <c r="F155" s="3099">
        <v>2080</v>
      </c>
      <c r="G155" s="3099">
        <v>6650</v>
      </c>
    </row>
    <row r="156" spans="1:7" s="2235" customFormat="1" ht="14.25" customHeight="1">
      <c r="A156" s="2370" t="s">
        <v>27</v>
      </c>
      <c r="B156" s="2370" t="s">
        <v>2965</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2966</v>
      </c>
      <c r="C160" s="3099">
        <v>11180</v>
      </c>
      <c r="D160" s="3099">
        <v>11140</v>
      </c>
      <c r="E160" s="3099">
        <v>14050</v>
      </c>
      <c r="F160" s="3099">
        <v>2270</v>
      </c>
      <c r="G160" s="3099">
        <v>7170</v>
      </c>
    </row>
    <row r="161" spans="1:7" s="2235" customFormat="1" ht="14.25" customHeight="1">
      <c r="A161" s="2370" t="s">
        <v>27</v>
      </c>
      <c r="B161" s="2370" t="s">
        <v>2882</v>
      </c>
      <c r="C161" s="3099">
        <v>11160</v>
      </c>
      <c r="D161" s="3099">
        <v>11120</v>
      </c>
      <c r="E161" s="3099">
        <v>14020</v>
      </c>
      <c r="F161" s="3099">
        <v>2150</v>
      </c>
      <c r="G161" s="3099">
        <v>7160</v>
      </c>
    </row>
    <row r="162" spans="1:7" s="2235" customFormat="1" ht="14.25" customHeight="1">
      <c r="A162" s="2370" t="s">
        <v>27</v>
      </c>
      <c r="B162" s="2370" t="s">
        <v>2887</v>
      </c>
      <c r="C162" s="3099">
        <v>9620</v>
      </c>
      <c r="D162" s="3099">
        <v>9570</v>
      </c>
      <c r="E162" s="3099">
        <v>12320</v>
      </c>
      <c r="F162" s="3099">
        <v>2010</v>
      </c>
      <c r="G162" s="3099">
        <v>6160</v>
      </c>
    </row>
    <row r="163" spans="1:7" s="2235" customFormat="1" ht="14.25" customHeight="1">
      <c r="A163" s="2370" t="s">
        <v>27</v>
      </c>
      <c r="B163" s="2370" t="s">
        <v>2892</v>
      </c>
      <c r="C163" s="3099">
        <v>9320</v>
      </c>
      <c r="D163" s="3099">
        <v>9270</v>
      </c>
      <c r="E163" s="3099">
        <v>11790</v>
      </c>
      <c r="F163" s="3099">
        <v>1920</v>
      </c>
      <c r="G163" s="3099">
        <v>5960</v>
      </c>
    </row>
    <row r="164" spans="1:7" s="2235" customFormat="1" ht="14.25" customHeight="1">
      <c r="A164" s="2370" t="s">
        <v>27</v>
      </c>
      <c r="B164" s="2370" t="s">
        <v>2897</v>
      </c>
      <c r="C164" s="3099"/>
      <c r="D164" s="3099"/>
      <c r="E164" s="3099"/>
      <c r="F164" s="3099">
        <v>1980</v>
      </c>
      <c r="G164" s="3099"/>
    </row>
    <row r="165" spans="1:7" s="2235" customFormat="1" ht="14.25" customHeight="1">
      <c r="A165" s="2370" t="s">
        <v>27</v>
      </c>
      <c r="B165" s="2370" t="s">
        <v>2967</v>
      </c>
      <c r="C165" s="3099">
        <v>11060</v>
      </c>
      <c r="D165" s="3099">
        <v>11030</v>
      </c>
      <c r="E165" s="3099">
        <v>13850</v>
      </c>
      <c r="F165" s="3099">
        <v>2170</v>
      </c>
      <c r="G165" s="3099">
        <v>7090</v>
      </c>
    </row>
    <row r="166" spans="1:7" s="2235" customFormat="1" ht="14.25" customHeight="1">
      <c r="A166" s="2370" t="s">
        <v>27</v>
      </c>
      <c r="B166" s="2370" t="s">
        <v>2907</v>
      </c>
      <c r="C166" s="3099">
        <v>11050</v>
      </c>
      <c r="D166" s="3099">
        <v>11010</v>
      </c>
      <c r="E166" s="3099">
        <v>13920</v>
      </c>
      <c r="F166" s="3099">
        <v>2140</v>
      </c>
      <c r="G166" s="3099">
        <v>7080</v>
      </c>
    </row>
    <row r="167" spans="1:7" s="2235" customFormat="1" ht="14.25" customHeight="1">
      <c r="A167" s="2370" t="s">
        <v>27</v>
      </c>
      <c r="B167" s="2370" t="s">
        <v>2911</v>
      </c>
      <c r="C167" s="3099">
        <v>10930</v>
      </c>
      <c r="D167" s="3099">
        <v>10890</v>
      </c>
      <c r="E167" s="3099">
        <v>13790</v>
      </c>
      <c r="F167" s="3099">
        <v>2010</v>
      </c>
      <c r="G167" s="3099">
        <v>7000</v>
      </c>
    </row>
    <row r="168" spans="1:7" s="2235" customFormat="1" ht="14.25" customHeight="1">
      <c r="A168" s="2370" t="s">
        <v>27</v>
      </c>
      <c r="B168" s="2370" t="s">
        <v>2916</v>
      </c>
      <c r="C168" s="3099">
        <v>9420</v>
      </c>
      <c r="D168" s="3099">
        <v>9380</v>
      </c>
      <c r="E168" s="3099">
        <v>11970</v>
      </c>
      <c r="F168" s="3099"/>
      <c r="G168" s="3099">
        <v>6040</v>
      </c>
    </row>
    <row r="169" spans="1:7" s="2235" customFormat="1" ht="14.25" customHeight="1">
      <c r="A169" s="2370" t="s">
        <v>27</v>
      </c>
      <c r="B169" s="2370" t="s">
        <v>2968</v>
      </c>
      <c r="C169" s="3099"/>
      <c r="D169" s="3099"/>
      <c r="E169" s="3099"/>
      <c r="F169" s="3099">
        <v>2880</v>
      </c>
      <c r="G169" s="3099"/>
    </row>
    <row r="170" spans="1:7" s="2235" customFormat="1" ht="14.25" customHeight="1">
      <c r="A170" s="2370" t="s">
        <v>27</v>
      </c>
      <c r="B170" s="2370" t="s">
        <v>2924</v>
      </c>
      <c r="C170" s="3099"/>
      <c r="D170" s="3099"/>
      <c r="E170" s="3099"/>
      <c r="F170" s="3099">
        <v>2880</v>
      </c>
      <c r="G170" s="3099"/>
    </row>
    <row r="171" spans="1:7" s="2235" customFormat="1" ht="14.25" customHeight="1">
      <c r="A171" s="2370" t="s">
        <v>27</v>
      </c>
      <c r="B171" s="2370" t="s">
        <v>2927</v>
      </c>
      <c r="C171" s="3099"/>
      <c r="D171" s="3099"/>
      <c r="E171" s="3099"/>
      <c r="F171" s="3099">
        <v>2880</v>
      </c>
      <c r="G171" s="3099"/>
    </row>
    <row r="172" spans="1:7" s="2235" customFormat="1" ht="14.25" customHeight="1">
      <c r="A172" s="2370" t="s">
        <v>27</v>
      </c>
      <c r="B172" s="2370" t="s">
        <v>2929</v>
      </c>
      <c r="C172" s="3099"/>
      <c r="D172" s="3099"/>
      <c r="E172" s="3099"/>
      <c r="F172" s="3099">
        <v>2880</v>
      </c>
      <c r="G172" s="3099"/>
    </row>
    <row r="173" spans="1:7" s="2235" customFormat="1" ht="14.25" customHeight="1">
      <c r="A173" s="2370" t="s">
        <v>27</v>
      </c>
      <c r="B173" s="2370" t="s">
        <v>2931</v>
      </c>
      <c r="C173" s="3099"/>
      <c r="D173" s="3099"/>
      <c r="E173" s="3099"/>
      <c r="F173" s="3099">
        <v>2150</v>
      </c>
      <c r="G173" s="3099"/>
    </row>
    <row r="174" spans="1:7" s="2235" customFormat="1" ht="14.25" customHeight="1">
      <c r="A174" s="2370" t="s">
        <v>27</v>
      </c>
      <c r="B174" s="2370" t="s">
        <v>2933</v>
      </c>
      <c r="C174" s="3099"/>
      <c r="D174" s="3099"/>
      <c r="E174" s="3099"/>
      <c r="F174" s="3099">
        <v>2030</v>
      </c>
      <c r="G174" s="3099"/>
    </row>
    <row r="175" spans="1:7" s="2235" customFormat="1" ht="14.25" customHeight="1">
      <c r="A175" s="2370" t="s">
        <v>27</v>
      </c>
      <c r="B175" s="2370" t="s">
        <v>2935</v>
      </c>
      <c r="C175" s="3099"/>
      <c r="D175" s="3099"/>
      <c r="E175" s="3099"/>
      <c r="F175" s="3099">
        <v>2780</v>
      </c>
      <c r="G175" s="3099"/>
    </row>
    <row r="176" spans="1:7" s="2235" customFormat="1" ht="14.25" customHeight="1">
      <c r="A176" s="2370" t="s">
        <v>27</v>
      </c>
      <c r="B176" s="2370" t="s">
        <v>2937</v>
      </c>
      <c r="C176" s="3099"/>
      <c r="D176" s="3099"/>
      <c r="E176" s="3099"/>
      <c r="F176" s="3099">
        <v>2780</v>
      </c>
      <c r="G176" s="3099"/>
    </row>
    <row r="177" spans="1:7" s="2235" customFormat="1" ht="14.25" customHeight="1">
      <c r="A177" s="2370" t="s">
        <v>27</v>
      </c>
      <c r="B177" s="2370" t="s">
        <v>2969</v>
      </c>
      <c r="C177" s="3099"/>
      <c r="D177" s="3099"/>
      <c r="E177" s="3099"/>
      <c r="F177" s="3099">
        <v>2780</v>
      </c>
      <c r="G177" s="3099"/>
    </row>
    <row r="178" spans="1:7" s="2235" customFormat="1" ht="14.25" customHeight="1">
      <c r="A178" s="2370" t="s">
        <v>27</v>
      </c>
      <c r="B178" s="2370" t="s">
        <v>2970</v>
      </c>
      <c r="C178" s="3099"/>
      <c r="D178" s="3099"/>
      <c r="E178" s="3099"/>
      <c r="F178" s="3099">
        <v>2060</v>
      </c>
      <c r="G178" s="3099"/>
    </row>
    <row r="179" spans="1:7" s="2235" customFormat="1" ht="14.25" customHeight="1">
      <c r="A179" s="2370" t="s">
        <v>27</v>
      </c>
      <c r="B179" s="2370" t="s">
        <v>2971</v>
      </c>
      <c r="C179" s="3099"/>
      <c r="D179" s="3099"/>
      <c r="E179" s="3099"/>
      <c r="F179" s="3099">
        <v>2120</v>
      </c>
      <c r="G179" s="3099"/>
    </row>
    <row r="180" spans="1:7" s="2235" customFormat="1" ht="14.25" customHeight="1">
      <c r="A180" s="2370" t="s">
        <v>27</v>
      </c>
      <c r="B180" s="2370" t="s">
        <v>2943</v>
      </c>
      <c r="C180" s="3099"/>
      <c r="D180" s="3099"/>
      <c r="E180" s="3099"/>
      <c r="F180" s="3099">
        <v>2340</v>
      </c>
      <c r="G180" s="3099"/>
    </row>
    <row r="181" spans="1:7" s="2235" customFormat="1" ht="14.25" customHeight="1">
      <c r="A181" s="2370" t="s">
        <v>27</v>
      </c>
      <c r="B181" s="2370" t="s">
        <v>2944</v>
      </c>
      <c r="C181" s="3099"/>
      <c r="D181" s="3099"/>
      <c r="E181" s="3099"/>
      <c r="F181" s="3099">
        <v>2340</v>
      </c>
      <c r="G181" s="3099"/>
    </row>
    <row r="182" spans="1:7" s="2235" customFormat="1" ht="14.25" customHeight="1">
      <c r="A182" s="2370" t="s">
        <v>27</v>
      </c>
      <c r="B182" s="2370" t="s">
        <v>2945</v>
      </c>
      <c r="C182" s="3099"/>
      <c r="D182" s="3099"/>
      <c r="E182" s="3099"/>
      <c r="F182" s="3099">
        <v>2340</v>
      </c>
      <c r="G182" s="3099"/>
    </row>
    <row r="183" spans="1:7" s="2235" customFormat="1" ht="14.25" customHeight="1">
      <c r="A183" s="2370" t="s">
        <v>27</v>
      </c>
      <c r="B183" s="2370" t="s">
        <v>2946</v>
      </c>
      <c r="C183" s="3099"/>
      <c r="D183" s="3099"/>
      <c r="E183" s="3099"/>
      <c r="F183" s="3099">
        <v>2340</v>
      </c>
      <c r="G183" s="3099"/>
    </row>
    <row r="184" spans="1:7" s="2235" customFormat="1" ht="14.25" customHeight="1">
      <c r="A184" s="2370" t="s">
        <v>27</v>
      </c>
      <c r="B184" s="2370" t="s">
        <v>2947</v>
      </c>
      <c r="C184" s="3099"/>
      <c r="D184" s="3099"/>
      <c r="E184" s="3099"/>
      <c r="F184" s="3099">
        <v>2340</v>
      </c>
      <c r="G184" s="3099"/>
    </row>
    <row r="185" spans="1:7" s="2235" customFormat="1" ht="14.25" customHeight="1">
      <c r="A185" s="2370" t="s">
        <v>27</v>
      </c>
      <c r="B185" s="2370" t="s">
        <v>2948</v>
      </c>
      <c r="C185" s="3099"/>
      <c r="D185" s="3099"/>
      <c r="E185" s="3099"/>
      <c r="F185" s="3099">
        <v>2530</v>
      </c>
      <c r="G185" s="3099"/>
    </row>
    <row r="186" spans="1:7" s="2235" customFormat="1" ht="14.25" customHeight="1">
      <c r="A186" s="2370" t="s">
        <v>27</v>
      </c>
      <c r="B186" s="2370" t="s">
        <v>2949</v>
      </c>
      <c r="C186" s="3099"/>
      <c r="D186" s="3099"/>
      <c r="E186" s="3099"/>
      <c r="F186" s="3099">
        <v>2550</v>
      </c>
      <c r="G186" s="3099"/>
    </row>
    <row r="187" spans="1:7" s="2235" customFormat="1" ht="14.25" customHeight="1">
      <c r="A187" s="2370" t="s">
        <v>27</v>
      </c>
      <c r="B187" s="2370" t="s">
        <v>2950</v>
      </c>
      <c r="C187" s="3099"/>
      <c r="D187" s="3099"/>
      <c r="E187" s="3099"/>
      <c r="F187" s="3099">
        <v>2070</v>
      </c>
      <c r="G187" s="3099"/>
    </row>
    <row r="188" spans="1:7" s="2235" customFormat="1" ht="14.25" customHeight="1">
      <c r="A188" s="2370" t="s">
        <v>27</v>
      </c>
      <c r="B188" s="2370" t="s">
        <v>2951</v>
      </c>
      <c r="C188" s="3099"/>
      <c r="D188" s="3099"/>
      <c r="E188" s="3099"/>
      <c r="F188" s="3099">
        <v>2340</v>
      </c>
      <c r="G188" s="3099"/>
    </row>
    <row r="189" spans="1:7" s="2235" customFormat="1" ht="14.25" customHeight="1" thickBot="1">
      <c r="A189" s="2378" t="s">
        <v>27</v>
      </c>
      <c r="B189" s="2381" t="s">
        <v>2952</v>
      </c>
      <c r="C189" s="3101"/>
      <c r="D189" s="3101"/>
      <c r="E189" s="3101"/>
      <c r="F189" s="3101">
        <v>2050</v>
      </c>
      <c r="G189" s="3101"/>
    </row>
    <row r="190" spans="1:7" s="2235" customFormat="1" ht="14.25" customHeight="1">
      <c r="A190" s="2375" t="s">
        <v>302</v>
      </c>
      <c r="B190" s="2366" t="s">
        <v>2972</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2973</v>
      </c>
      <c r="C199" s="3099">
        <v>8690</v>
      </c>
      <c r="D199" s="3099">
        <v>8630</v>
      </c>
      <c r="E199" s="3099">
        <v>11350</v>
      </c>
      <c r="F199" s="3099">
        <v>1600</v>
      </c>
      <c r="G199" s="3103">
        <v>5450</v>
      </c>
    </row>
    <row r="200" spans="1:7" s="2235" customFormat="1" ht="14.25" customHeight="1">
      <c r="A200" s="2370" t="s">
        <v>302</v>
      </c>
      <c r="B200" s="2370" t="s">
        <v>2784</v>
      </c>
      <c r="C200" s="3099"/>
      <c r="D200" s="3099"/>
      <c r="E200" s="3099"/>
      <c r="F200" s="3099">
        <v>1510</v>
      </c>
      <c r="G200" s="3103"/>
    </row>
    <row r="201" spans="1:7" s="2235" customFormat="1" ht="14.25" customHeight="1">
      <c r="A201" s="2370" t="s">
        <v>302</v>
      </c>
      <c r="B201" s="2370" t="s">
        <v>2974</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2975</v>
      </c>
      <c r="C203" s="3099">
        <v>8130</v>
      </c>
      <c r="D203" s="3099">
        <v>8070</v>
      </c>
      <c r="E203" s="3099">
        <v>10820</v>
      </c>
      <c r="F203" s="3099">
        <v>1690</v>
      </c>
      <c r="G203" s="3103">
        <v>5100</v>
      </c>
    </row>
    <row r="204" spans="1:7" s="2235" customFormat="1" ht="14.25" customHeight="1">
      <c r="A204" s="2370" t="s">
        <v>302</v>
      </c>
      <c r="B204" s="2370" t="s">
        <v>2795</v>
      </c>
      <c r="C204" s="3099">
        <v>8350</v>
      </c>
      <c r="D204" s="3099">
        <v>8290</v>
      </c>
      <c r="E204" s="3099">
        <v>11080</v>
      </c>
      <c r="F204" s="3099">
        <v>1450</v>
      </c>
      <c r="G204" s="3103">
        <v>5240</v>
      </c>
    </row>
    <row r="205" spans="1:7" s="2235" customFormat="1" ht="14.25" customHeight="1">
      <c r="A205" s="2370" t="s">
        <v>302</v>
      </c>
      <c r="B205" s="2370" t="s">
        <v>2797</v>
      </c>
      <c r="C205" s="3099">
        <v>7190</v>
      </c>
      <c r="D205" s="3099">
        <v>7130</v>
      </c>
      <c r="E205" s="3099">
        <v>9490</v>
      </c>
      <c r="F205" s="3099">
        <v>1470</v>
      </c>
      <c r="G205" s="3103">
        <v>4510</v>
      </c>
    </row>
    <row r="206" spans="1:7" s="2235" customFormat="1" ht="14.25" customHeight="1">
      <c r="A206" s="2370" t="s">
        <v>302</v>
      </c>
      <c r="B206" s="2370" t="s">
        <v>2800</v>
      </c>
      <c r="C206" s="3099">
        <v>7000</v>
      </c>
      <c r="D206" s="3099">
        <v>6950</v>
      </c>
      <c r="E206" s="3099">
        <v>9170</v>
      </c>
      <c r="F206" s="3099">
        <v>1400</v>
      </c>
      <c r="G206" s="3103">
        <v>4380</v>
      </c>
    </row>
    <row r="207" spans="1:7" s="2235" customFormat="1" ht="14.25" customHeight="1">
      <c r="A207" s="2370" t="s">
        <v>302</v>
      </c>
      <c r="B207" s="2370" t="s">
        <v>2802</v>
      </c>
      <c r="C207" s="3099">
        <v>6950</v>
      </c>
      <c r="D207" s="3099">
        <v>6900</v>
      </c>
      <c r="E207" s="3099">
        <v>9110</v>
      </c>
      <c r="F207" s="3099">
        <v>1790</v>
      </c>
      <c r="G207" s="3103">
        <v>4360</v>
      </c>
    </row>
    <row r="208" spans="1:7" s="2235" customFormat="1" ht="14.25" customHeight="1">
      <c r="A208" s="2370" t="s">
        <v>302</v>
      </c>
      <c r="B208" s="2370" t="s">
        <v>2976</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2812</v>
      </c>
      <c r="C210" s="3099">
        <v>8710</v>
      </c>
      <c r="D210" s="3099">
        <v>8660</v>
      </c>
      <c r="E210" s="3099">
        <v>11440</v>
      </c>
      <c r="F210" s="3099">
        <v>1740</v>
      </c>
      <c r="G210" s="3103">
        <v>5470</v>
      </c>
    </row>
    <row r="211" spans="1:7" s="2235" customFormat="1" ht="14.25" customHeight="1">
      <c r="A211" s="2370" t="s">
        <v>302</v>
      </c>
      <c r="B211" s="2370" t="s">
        <v>2977</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2978</v>
      </c>
      <c r="C214" s="3099">
        <v>8090</v>
      </c>
      <c r="D214" s="3099">
        <v>8030</v>
      </c>
      <c r="E214" s="3099">
        <v>10780</v>
      </c>
      <c r="F214" s="3099">
        <v>1570</v>
      </c>
      <c r="G214" s="3103">
        <v>5070</v>
      </c>
    </row>
    <row r="215" spans="1:7" s="2235" customFormat="1" ht="14.25" customHeight="1">
      <c r="A215" s="2370" t="s">
        <v>302</v>
      </c>
      <c r="B215" s="2370" t="s">
        <v>2979</v>
      </c>
      <c r="C215" s="3099">
        <v>7950</v>
      </c>
      <c r="D215" s="3099">
        <v>7900</v>
      </c>
      <c r="E215" s="3099">
        <v>10560</v>
      </c>
      <c r="F215" s="3099">
        <v>1630</v>
      </c>
      <c r="G215" s="3103">
        <v>4990</v>
      </c>
    </row>
    <row r="216" spans="1:7" s="2235" customFormat="1" ht="14.25" customHeight="1">
      <c r="A216" s="2370" t="s">
        <v>302</v>
      </c>
      <c r="B216" s="2370" t="s">
        <v>2980</v>
      </c>
      <c r="C216" s="3099">
        <v>8490</v>
      </c>
      <c r="D216" s="3099">
        <v>8440</v>
      </c>
      <c r="E216" s="3099">
        <v>11260</v>
      </c>
      <c r="F216" s="3099">
        <v>1690</v>
      </c>
      <c r="G216" s="3103">
        <v>5330</v>
      </c>
    </row>
    <row r="217" spans="1:7" s="2235" customFormat="1" ht="14.25" customHeight="1">
      <c r="A217" s="2370" t="s">
        <v>302</v>
      </c>
      <c r="B217" s="2370" t="s">
        <v>2845</v>
      </c>
      <c r="C217" s="3099">
        <v>8200</v>
      </c>
      <c r="D217" s="3099">
        <v>8150</v>
      </c>
      <c r="E217" s="3099">
        <v>10910</v>
      </c>
      <c r="F217" s="3099">
        <v>1670</v>
      </c>
      <c r="G217" s="3103">
        <v>5150</v>
      </c>
    </row>
    <row r="218" spans="1:7" s="2235" customFormat="1" ht="14.25" customHeight="1">
      <c r="A218" s="2370" t="s">
        <v>302</v>
      </c>
      <c r="B218" s="2370" t="s">
        <v>2981</v>
      </c>
      <c r="C218" s="3099"/>
      <c r="D218" s="3099"/>
      <c r="E218" s="3099"/>
      <c r="F218" s="3099">
        <v>2040</v>
      </c>
      <c r="G218" s="3103"/>
    </row>
    <row r="219" spans="1:7" s="2235" customFormat="1" ht="14.25" customHeight="1">
      <c r="A219" s="2370" t="s">
        <v>302</v>
      </c>
      <c r="B219" s="2370" t="s">
        <v>2982</v>
      </c>
      <c r="C219" s="3099"/>
      <c r="D219" s="3099"/>
      <c r="E219" s="3099"/>
      <c r="F219" s="3099">
        <v>2040</v>
      </c>
      <c r="G219" s="3103"/>
    </row>
    <row r="220" spans="1:7" s="2235" customFormat="1" ht="14.25" customHeight="1">
      <c r="A220" s="2370" t="s">
        <v>302</v>
      </c>
      <c r="B220" s="2370" t="s">
        <v>2983</v>
      </c>
      <c r="C220" s="3099"/>
      <c r="D220" s="3099"/>
      <c r="E220" s="3099"/>
      <c r="F220" s="3099">
        <v>2040</v>
      </c>
      <c r="G220" s="3103"/>
    </row>
    <row r="221" spans="1:7" s="2235" customFormat="1" ht="14.25" customHeight="1">
      <c r="A221" s="2370" t="s">
        <v>302</v>
      </c>
      <c r="B221" s="2370" t="s">
        <v>2984</v>
      </c>
      <c r="C221" s="3099"/>
      <c r="D221" s="3099"/>
      <c r="E221" s="3099"/>
      <c r="F221" s="3099">
        <v>2040</v>
      </c>
      <c r="G221" s="3103"/>
    </row>
    <row r="222" spans="1:7" s="2235" customFormat="1" ht="14.25" customHeight="1">
      <c r="A222" s="2370" t="s">
        <v>302</v>
      </c>
      <c r="B222" s="2370" t="s">
        <v>2985</v>
      </c>
      <c r="C222" s="3099"/>
      <c r="D222" s="3099"/>
      <c r="E222" s="3099"/>
      <c r="F222" s="3099">
        <v>2040</v>
      </c>
      <c r="G222" s="3103"/>
    </row>
    <row r="223" spans="1:7" s="2235" customFormat="1" ht="14.25" customHeight="1">
      <c r="A223" s="2370" t="s">
        <v>302</v>
      </c>
      <c r="B223" s="2370" t="s">
        <v>2986</v>
      </c>
      <c r="C223" s="3099"/>
      <c r="D223" s="3099"/>
      <c r="E223" s="3099"/>
      <c r="F223" s="3099">
        <v>1930</v>
      </c>
      <c r="G223" s="3103"/>
    </row>
    <row r="224" spans="1:7" s="2235" customFormat="1" ht="14.25" customHeight="1">
      <c r="A224" s="2370" t="s">
        <v>302</v>
      </c>
      <c r="B224" s="2370" t="s">
        <v>2987</v>
      </c>
      <c r="C224" s="3099"/>
      <c r="D224" s="3099"/>
      <c r="E224" s="3099"/>
      <c r="F224" s="3099">
        <v>1930</v>
      </c>
      <c r="G224" s="3103"/>
    </row>
    <row r="225" spans="1:7" s="2235" customFormat="1" ht="14.25" customHeight="1">
      <c r="A225" s="2370" t="s">
        <v>302</v>
      </c>
      <c r="B225" s="2370" t="s">
        <v>2988</v>
      </c>
      <c r="C225" s="3099"/>
      <c r="D225" s="3099"/>
      <c r="E225" s="3099"/>
      <c r="F225" s="3099">
        <v>1930</v>
      </c>
      <c r="G225" s="3103"/>
    </row>
    <row r="226" spans="1:7" s="2235" customFormat="1" ht="14.25" customHeight="1">
      <c r="A226" s="2370" t="s">
        <v>302</v>
      </c>
      <c r="B226" s="2370" t="s">
        <v>2989</v>
      </c>
      <c r="C226" s="3099"/>
      <c r="D226" s="3099"/>
      <c r="E226" s="3099"/>
      <c r="F226" s="3099">
        <v>1700</v>
      </c>
      <c r="G226" s="3103"/>
    </row>
    <row r="227" spans="1:7" s="2235" customFormat="1" ht="14.25" customHeight="1">
      <c r="A227" s="2370" t="s">
        <v>302</v>
      </c>
      <c r="B227" s="2370" t="s">
        <v>2990</v>
      </c>
      <c r="C227" s="3099"/>
      <c r="D227" s="3099"/>
      <c r="E227" s="3099"/>
      <c r="F227" s="3099">
        <v>1520</v>
      </c>
      <c r="G227" s="3103"/>
    </row>
    <row r="228" spans="1:7" s="2235" customFormat="1" ht="14.25" customHeight="1">
      <c r="A228" s="2370" t="s">
        <v>302</v>
      </c>
      <c r="B228" s="2370" t="s">
        <v>2991</v>
      </c>
      <c r="C228" s="3099"/>
      <c r="D228" s="3099"/>
      <c r="E228" s="3099"/>
      <c r="F228" s="3099">
        <v>1520</v>
      </c>
      <c r="G228" s="3103"/>
    </row>
    <row r="229" spans="1:7" s="2235" customFormat="1" ht="14.25" customHeight="1">
      <c r="A229" s="2370" t="s">
        <v>302</v>
      </c>
      <c r="B229" s="2370" t="s">
        <v>2908</v>
      </c>
      <c r="C229" s="3099"/>
      <c r="D229" s="3099"/>
      <c r="E229" s="3099"/>
      <c r="F229" s="3099">
        <v>1520</v>
      </c>
      <c r="G229" s="3103"/>
    </row>
    <row r="230" spans="1:7" s="2235" customFormat="1" ht="14.25" customHeight="1">
      <c r="A230" s="2370" t="s">
        <v>302</v>
      </c>
      <c r="B230" s="2370" t="s">
        <v>2992</v>
      </c>
      <c r="C230" s="3099"/>
      <c r="D230" s="3099"/>
      <c r="E230" s="3099"/>
      <c r="F230" s="3099">
        <v>1820</v>
      </c>
      <c r="G230" s="3103"/>
    </row>
    <row r="231" spans="1:7" s="2235" customFormat="1" ht="14.25" customHeight="1">
      <c r="A231" s="2370" t="s">
        <v>302</v>
      </c>
      <c r="B231" s="2370" t="s">
        <v>2993</v>
      </c>
      <c r="C231" s="3099"/>
      <c r="D231" s="3099"/>
      <c r="E231" s="3099"/>
      <c r="F231" s="3099">
        <v>1760</v>
      </c>
      <c r="G231" s="3103"/>
    </row>
    <row r="232" spans="1:7" s="2235" customFormat="1" ht="14.25" customHeight="1">
      <c r="A232" s="2370" t="s">
        <v>302</v>
      </c>
      <c r="B232" s="2370" t="s">
        <v>2994</v>
      </c>
      <c r="C232" s="3099"/>
      <c r="D232" s="3099"/>
      <c r="E232" s="3099"/>
      <c r="F232" s="3099">
        <v>1840</v>
      </c>
      <c r="G232" s="3103"/>
    </row>
    <row r="233" spans="1:7" s="2235" customFormat="1" ht="14.25" customHeight="1" thickBot="1">
      <c r="A233" s="2382" t="s">
        <v>302</v>
      </c>
      <c r="B233" s="2377" t="s">
        <v>2925</v>
      </c>
      <c r="C233" s="3100"/>
      <c r="D233" s="3100"/>
      <c r="E233" s="3100"/>
      <c r="F233" s="3100">
        <v>1770</v>
      </c>
      <c r="G233" s="3104"/>
    </row>
    <row r="234" spans="1:7" s="2235" customFormat="1" ht="14.25" customHeight="1">
      <c r="A234" s="2375" t="s">
        <v>303</v>
      </c>
      <c r="B234" s="2366" t="s">
        <v>2995</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2766</v>
      </c>
      <c r="C238" s="3099">
        <v>6920</v>
      </c>
      <c r="D238" s="3099">
        <v>6890</v>
      </c>
      <c r="E238" s="3099">
        <v>8640</v>
      </c>
      <c r="F238" s="3099">
        <v>1310</v>
      </c>
      <c r="G238" s="3099">
        <v>4230</v>
      </c>
    </row>
    <row r="239" spans="1:7" s="2235" customFormat="1" ht="14.25" customHeight="1">
      <c r="A239" s="2370" t="s">
        <v>303</v>
      </c>
      <c r="B239" s="2370" t="s">
        <v>2996</v>
      </c>
      <c r="C239" s="3099">
        <v>6780</v>
      </c>
      <c r="D239" s="3099">
        <v>6750</v>
      </c>
      <c r="E239" s="3099">
        <v>8440</v>
      </c>
      <c r="F239" s="3099">
        <v>1160</v>
      </c>
      <c r="G239" s="3099">
        <v>4140</v>
      </c>
    </row>
    <row r="240" spans="1:7" s="2235" customFormat="1" ht="14.25" customHeight="1">
      <c r="A240" s="2370" t="s">
        <v>303</v>
      </c>
      <c r="B240" s="2370" t="s">
        <v>2997</v>
      </c>
      <c r="C240" s="3099">
        <v>5420</v>
      </c>
      <c r="D240" s="3099">
        <v>5380</v>
      </c>
      <c r="E240" s="3099">
        <v>6640</v>
      </c>
      <c r="F240" s="3099">
        <v>1020</v>
      </c>
      <c r="G240" s="3099">
        <v>3300</v>
      </c>
    </row>
    <row r="241" spans="1:7" s="2235" customFormat="1" ht="14.25" customHeight="1">
      <c r="A241" s="2370" t="s">
        <v>303</v>
      </c>
      <c r="B241" s="2370" t="s">
        <v>2998</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2999</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3000</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3001</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3002</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3003</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2828</v>
      </c>
      <c r="C258" s="3099">
        <v>6190</v>
      </c>
      <c r="D258" s="3099">
        <v>6160</v>
      </c>
      <c r="E258" s="3099">
        <v>7680</v>
      </c>
      <c r="F258" s="3099">
        <v>1170</v>
      </c>
      <c r="G258" s="3099">
        <v>3780</v>
      </c>
    </row>
    <row r="259" spans="1:7" s="2235" customFormat="1" ht="14.25" customHeight="1">
      <c r="A259" s="2370" t="s">
        <v>303</v>
      </c>
      <c r="B259" s="2370" t="s">
        <v>3004</v>
      </c>
      <c r="C259" s="3099">
        <v>7610</v>
      </c>
      <c r="D259" s="3099">
        <v>7570</v>
      </c>
      <c r="E259" s="3099">
        <v>9350</v>
      </c>
      <c r="F259" s="3099">
        <v>1350</v>
      </c>
      <c r="G259" s="3099">
        <v>4650</v>
      </c>
    </row>
    <row r="260" spans="1:7" s="2235" customFormat="1" ht="14.25" customHeight="1">
      <c r="A260" s="2370" t="s">
        <v>303</v>
      </c>
      <c r="B260" s="2370" t="s">
        <v>3005</v>
      </c>
      <c r="C260" s="3099">
        <v>6920</v>
      </c>
      <c r="D260" s="3099">
        <v>6880</v>
      </c>
      <c r="E260" s="3099">
        <v>8380</v>
      </c>
      <c r="F260" s="3099">
        <v>1160</v>
      </c>
      <c r="G260" s="3099">
        <v>4220</v>
      </c>
    </row>
    <row r="261" spans="1:7" s="2235" customFormat="1" ht="14.25" customHeight="1">
      <c r="A261" s="2370" t="s">
        <v>303</v>
      </c>
      <c r="B261" s="2370" t="s">
        <v>3006</v>
      </c>
      <c r="C261" s="3099">
        <v>6850</v>
      </c>
      <c r="D261" s="3099">
        <v>6810</v>
      </c>
      <c r="E261" s="3099">
        <v>8290</v>
      </c>
      <c r="F261" s="3099">
        <v>1130</v>
      </c>
      <c r="G261" s="3099">
        <v>4180</v>
      </c>
    </row>
    <row r="262" spans="1:7" s="2235" customFormat="1" ht="14.25" customHeight="1">
      <c r="A262" s="2370" t="s">
        <v>303</v>
      </c>
      <c r="B262" s="2370" t="s">
        <v>3007</v>
      </c>
      <c r="C262" s="3099">
        <v>5860</v>
      </c>
      <c r="D262" s="3099">
        <v>5820</v>
      </c>
      <c r="E262" s="3099">
        <v>7640</v>
      </c>
      <c r="F262" s="3099">
        <v>1070</v>
      </c>
      <c r="G262" s="3099">
        <v>3570</v>
      </c>
    </row>
    <row r="263" spans="1:7" s="2235" customFormat="1" ht="14.25" customHeight="1">
      <c r="A263" s="2370" t="s">
        <v>303</v>
      </c>
      <c r="B263" s="2370" t="s">
        <v>3008</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3009</v>
      </c>
      <c r="C265" s="3099"/>
      <c r="D265" s="3099"/>
      <c r="E265" s="3099"/>
      <c r="F265" s="3099">
        <v>1500</v>
      </c>
      <c r="G265" s="3099"/>
    </row>
    <row r="266" spans="1:7" s="2235" customFormat="1" ht="14.25" customHeight="1">
      <c r="A266" s="2370" t="s">
        <v>303</v>
      </c>
      <c r="B266" s="2370" t="s">
        <v>3010</v>
      </c>
      <c r="C266" s="3099"/>
      <c r="D266" s="3099"/>
      <c r="E266" s="3099"/>
      <c r="F266" s="3099">
        <v>1500</v>
      </c>
      <c r="G266" s="3099"/>
    </row>
    <row r="267" spans="1:7" s="2235" customFormat="1" ht="14.25" customHeight="1">
      <c r="A267" s="2370" t="s">
        <v>303</v>
      </c>
      <c r="B267" s="2370" t="s">
        <v>3011</v>
      </c>
      <c r="C267" s="3099"/>
      <c r="D267" s="3099"/>
      <c r="E267" s="3099"/>
      <c r="F267" s="3099">
        <v>1500</v>
      </c>
      <c r="G267" s="3099"/>
    </row>
    <row r="268" spans="1:7" s="2235" customFormat="1" ht="14.25" customHeight="1">
      <c r="A268" s="2370" t="s">
        <v>303</v>
      </c>
      <c r="B268" s="2370" t="s">
        <v>3012</v>
      </c>
      <c r="C268" s="3099"/>
      <c r="D268" s="3099"/>
      <c r="E268" s="3099"/>
      <c r="F268" s="3099">
        <v>1290</v>
      </c>
      <c r="G268" s="3099"/>
    </row>
    <row r="269" spans="1:7" s="2235" customFormat="1" ht="14.25" customHeight="1">
      <c r="A269" s="2370" t="s">
        <v>303</v>
      </c>
      <c r="B269" s="2370" t="s">
        <v>3013</v>
      </c>
      <c r="C269" s="3099"/>
      <c r="D269" s="3099"/>
      <c r="E269" s="3099"/>
      <c r="F269" s="3099">
        <v>1150</v>
      </c>
      <c r="G269" s="3099"/>
    </row>
    <row r="270" spans="1:7" s="2235" customFormat="1" ht="14.25" customHeight="1">
      <c r="A270" s="2370" t="s">
        <v>303</v>
      </c>
      <c r="B270" s="2370" t="s">
        <v>3014</v>
      </c>
      <c r="C270" s="3099"/>
      <c r="D270" s="3099"/>
      <c r="E270" s="3099"/>
      <c r="F270" s="3099">
        <v>1380</v>
      </c>
      <c r="G270" s="3099"/>
    </row>
    <row r="271" spans="1:7" s="2235" customFormat="1" ht="14.25" customHeight="1">
      <c r="A271" s="2370" t="s">
        <v>303</v>
      </c>
      <c r="B271" s="2370" t="s">
        <v>3015</v>
      </c>
      <c r="C271" s="3099"/>
      <c r="D271" s="3099"/>
      <c r="E271" s="3099"/>
      <c r="F271" s="3099">
        <v>1460</v>
      </c>
      <c r="G271" s="3099"/>
    </row>
    <row r="272" spans="1:7" s="2235" customFormat="1" ht="14.25" customHeight="1">
      <c r="A272" s="2370" t="s">
        <v>303</v>
      </c>
      <c r="B272" s="2370" t="s">
        <v>3016</v>
      </c>
      <c r="C272" s="3099"/>
      <c r="D272" s="3099"/>
      <c r="E272" s="3099"/>
      <c r="F272" s="3099">
        <v>1460</v>
      </c>
      <c r="G272" s="3099"/>
    </row>
    <row r="273" spans="1:7" s="2235" customFormat="1" ht="14.25" customHeight="1">
      <c r="A273" s="2370" t="s">
        <v>303</v>
      </c>
      <c r="B273" s="2370" t="s">
        <v>2909</v>
      </c>
      <c r="C273" s="3099"/>
      <c r="D273" s="3099"/>
      <c r="E273" s="3099"/>
      <c r="F273" s="3099">
        <v>1490</v>
      </c>
      <c r="G273" s="3099"/>
    </row>
    <row r="274" spans="1:7" s="2235" customFormat="1" ht="14.25" customHeight="1">
      <c r="A274" s="2370" t="s">
        <v>303</v>
      </c>
      <c r="B274" s="2370" t="s">
        <v>3017</v>
      </c>
      <c r="C274" s="3099"/>
      <c r="D274" s="3099"/>
      <c r="E274" s="3099"/>
      <c r="F274" s="3099">
        <v>1490</v>
      </c>
      <c r="G274" s="3099"/>
    </row>
    <row r="275" spans="1:7" s="2235" customFormat="1" ht="14.25" customHeight="1">
      <c r="A275" s="2370" t="s">
        <v>303</v>
      </c>
      <c r="B275" s="2370" t="s">
        <v>3018</v>
      </c>
      <c r="C275" s="3099"/>
      <c r="D275" s="3099"/>
      <c r="E275" s="3099"/>
      <c r="F275" s="3099">
        <v>1220</v>
      </c>
      <c r="G275" s="3099"/>
    </row>
    <row r="276" spans="1:7" s="2235" customFormat="1" ht="14.25" customHeight="1" thickBot="1">
      <c r="A276" s="2378" t="s">
        <v>303</v>
      </c>
      <c r="B276" s="2380" t="s">
        <v>3019</v>
      </c>
      <c r="C276" s="3101"/>
      <c r="D276" s="3101"/>
      <c r="E276" s="3101"/>
      <c r="F276" s="3101">
        <v>1380</v>
      </c>
      <c r="G276" s="3101"/>
    </row>
    <row r="277" spans="1:7" s="2235" customFormat="1" ht="14.25" customHeight="1">
      <c r="A277" s="2375" t="s">
        <v>304</v>
      </c>
      <c r="B277" s="2366" t="s">
        <v>3020</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3021</v>
      </c>
      <c r="C279" s="3099">
        <v>4760</v>
      </c>
      <c r="D279" s="3099">
        <v>4720</v>
      </c>
      <c r="E279" s="3099">
        <v>5540</v>
      </c>
      <c r="F279" s="3099">
        <v>810</v>
      </c>
      <c r="G279" s="3103">
        <v>2850</v>
      </c>
    </row>
    <row r="280" spans="1:7" s="2235" customFormat="1" ht="14.25" customHeight="1">
      <c r="A280" s="2370" t="s">
        <v>304</v>
      </c>
      <c r="B280" s="2370" t="s">
        <v>3022</v>
      </c>
      <c r="C280" s="3099">
        <v>4010</v>
      </c>
      <c r="D280" s="3099">
        <v>3950</v>
      </c>
      <c r="E280" s="3099">
        <v>4710</v>
      </c>
      <c r="F280" s="3099">
        <v>800</v>
      </c>
      <c r="G280" s="3103">
        <v>2390</v>
      </c>
    </row>
    <row r="281" spans="1:7" s="2235" customFormat="1" ht="14.25" customHeight="1">
      <c r="A281" s="2370" t="s">
        <v>304</v>
      </c>
      <c r="B281" s="2370" t="s">
        <v>3023</v>
      </c>
      <c r="C281" s="3099">
        <v>4480</v>
      </c>
      <c r="D281" s="3099">
        <v>4420</v>
      </c>
      <c r="E281" s="3099">
        <v>5230</v>
      </c>
      <c r="F281" s="3099">
        <v>870</v>
      </c>
      <c r="G281" s="3103">
        <v>2660</v>
      </c>
    </row>
    <row r="282" spans="1:7" s="2235" customFormat="1" ht="14.25" customHeight="1">
      <c r="A282" s="2370" t="s">
        <v>304</v>
      </c>
      <c r="B282" s="2370" t="s">
        <v>3024</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3025</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3026</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2801</v>
      </c>
      <c r="C293" s="3099">
        <v>5320</v>
      </c>
      <c r="D293" s="3099">
        <v>5270</v>
      </c>
      <c r="E293" s="3099">
        <v>6160</v>
      </c>
      <c r="F293" s="3099">
        <v>990</v>
      </c>
      <c r="G293" s="3103">
        <v>3170</v>
      </c>
    </row>
    <row r="294" spans="1:7" s="2235" customFormat="1" ht="14.25" customHeight="1">
      <c r="A294" s="2370" t="s">
        <v>304</v>
      </c>
      <c r="B294" s="2370" t="s">
        <v>3027</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2820</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3028</v>
      </c>
      <c r="C302" s="3099">
        <v>5520</v>
      </c>
      <c r="D302" s="3099">
        <v>5470</v>
      </c>
      <c r="E302" s="3099">
        <v>6410</v>
      </c>
      <c r="F302" s="3099">
        <v>950</v>
      </c>
      <c r="G302" s="3103">
        <v>3300</v>
      </c>
    </row>
    <row r="303" spans="1:7" s="2235" customFormat="1" ht="14.25" customHeight="1">
      <c r="A303" s="2370" t="s">
        <v>304</v>
      </c>
      <c r="B303" s="2370" t="s">
        <v>2840</v>
      </c>
      <c r="C303" s="3099">
        <v>5630</v>
      </c>
      <c r="D303" s="3099">
        <v>5590</v>
      </c>
      <c r="E303" s="3099">
        <v>6550</v>
      </c>
      <c r="F303" s="3099">
        <v>1010</v>
      </c>
      <c r="G303" s="3103">
        <v>3370</v>
      </c>
    </row>
    <row r="304" spans="1:7" s="2235" customFormat="1" ht="14.25" customHeight="1">
      <c r="A304" s="2370" t="s">
        <v>304</v>
      </c>
      <c r="B304" s="2370" t="s">
        <v>2847</v>
      </c>
      <c r="C304" s="3099">
        <v>5680</v>
      </c>
      <c r="D304" s="3099">
        <v>5620</v>
      </c>
      <c r="E304" s="3099">
        <v>6620</v>
      </c>
      <c r="F304" s="3099">
        <v>1050</v>
      </c>
      <c r="G304" s="3103">
        <v>3390</v>
      </c>
    </row>
    <row r="305" spans="1:7" s="2235" customFormat="1" ht="14.25" customHeight="1">
      <c r="A305" s="2370" t="s">
        <v>304</v>
      </c>
      <c r="B305" s="2370" t="s">
        <v>2853</v>
      </c>
      <c r="C305" s="3099">
        <v>5590</v>
      </c>
      <c r="D305" s="3099">
        <v>5530</v>
      </c>
      <c r="E305" s="3099">
        <v>6460</v>
      </c>
      <c r="F305" s="3099">
        <v>900</v>
      </c>
      <c r="G305" s="3103">
        <v>3340</v>
      </c>
    </row>
    <row r="306" spans="1:7" s="2235" customFormat="1" ht="14.25" customHeight="1">
      <c r="A306" s="2370" t="s">
        <v>304</v>
      </c>
      <c r="B306" s="2370" t="s">
        <v>3029</v>
      </c>
      <c r="C306" s="3099">
        <v>5560</v>
      </c>
      <c r="D306" s="3099">
        <v>5510</v>
      </c>
      <c r="E306" s="3099">
        <v>6440</v>
      </c>
      <c r="F306" s="3099">
        <v>900</v>
      </c>
      <c r="G306" s="3103">
        <v>3320</v>
      </c>
    </row>
    <row r="307" spans="1:7" s="2235" customFormat="1" ht="14.25" customHeight="1">
      <c r="A307" s="2370" t="s">
        <v>304</v>
      </c>
      <c r="B307" s="2370" t="s">
        <v>2865</v>
      </c>
      <c r="C307" s="3099">
        <v>5650</v>
      </c>
      <c r="D307" s="3099">
        <v>5600</v>
      </c>
      <c r="E307" s="3099">
        <v>6590</v>
      </c>
      <c r="F307" s="3099">
        <v>930</v>
      </c>
      <c r="G307" s="3103">
        <v>3380</v>
      </c>
    </row>
    <row r="308" spans="1:7" s="2235" customFormat="1" ht="14.25" customHeight="1">
      <c r="A308" s="2370" t="s">
        <v>304</v>
      </c>
      <c r="B308" s="2370" t="s">
        <v>3030</v>
      </c>
      <c r="C308" s="3099">
        <v>5620</v>
      </c>
      <c r="D308" s="3099">
        <v>5580</v>
      </c>
      <c r="E308" s="3099">
        <v>6540</v>
      </c>
      <c r="F308" s="3099">
        <v>910</v>
      </c>
      <c r="G308" s="3103">
        <v>3370</v>
      </c>
    </row>
    <row r="309" spans="1:7" s="2235" customFormat="1" ht="14.25" customHeight="1">
      <c r="A309" s="2370" t="s">
        <v>304</v>
      </c>
      <c r="B309" s="2370" t="s">
        <v>3031</v>
      </c>
      <c r="C309" s="3099">
        <v>5060</v>
      </c>
      <c r="D309" s="3099">
        <v>5020</v>
      </c>
      <c r="E309" s="3099">
        <v>6370</v>
      </c>
      <c r="F309" s="3099">
        <v>800</v>
      </c>
      <c r="G309" s="3103">
        <v>3020</v>
      </c>
    </row>
    <row r="310" spans="1:7" s="2235" customFormat="1" ht="14.25" customHeight="1">
      <c r="A310" s="2370" t="s">
        <v>304</v>
      </c>
      <c r="B310" s="2370" t="s">
        <v>2880</v>
      </c>
      <c r="C310" s="3099">
        <v>5150</v>
      </c>
      <c r="D310" s="3099">
        <v>5110</v>
      </c>
      <c r="E310" s="3099">
        <v>6500</v>
      </c>
      <c r="F310" s="3099">
        <v>880</v>
      </c>
      <c r="G310" s="3103">
        <v>3080</v>
      </c>
    </row>
    <row r="311" spans="1:7" s="2235" customFormat="1" ht="14.25" customHeight="1">
      <c r="A311" s="2370" t="s">
        <v>304</v>
      </c>
      <c r="B311" s="2370" t="s">
        <v>3032</v>
      </c>
      <c r="C311" s="3099">
        <v>4750</v>
      </c>
      <c r="D311" s="3099">
        <v>4710</v>
      </c>
      <c r="E311" s="3099">
        <v>5510</v>
      </c>
      <c r="F311" s="3099">
        <v>880</v>
      </c>
      <c r="G311" s="3103">
        <v>2840</v>
      </c>
    </row>
    <row r="312" spans="1:7" s="2235" customFormat="1" ht="14.25" customHeight="1">
      <c r="A312" s="2370" t="s">
        <v>304</v>
      </c>
      <c r="B312" s="2370" t="s">
        <v>2890</v>
      </c>
      <c r="C312" s="3099">
        <v>4690</v>
      </c>
      <c r="D312" s="3099">
        <v>4640</v>
      </c>
      <c r="E312" s="3099">
        <v>5420</v>
      </c>
      <c r="F312" s="3099">
        <v>800</v>
      </c>
      <c r="G312" s="3103">
        <v>2800</v>
      </c>
    </row>
    <row r="313" spans="1:7" s="2235" customFormat="1" ht="14.25" customHeight="1">
      <c r="A313" s="2370" t="s">
        <v>304</v>
      </c>
      <c r="B313" s="2370" t="s">
        <v>2895</v>
      </c>
      <c r="C313" s="3099">
        <v>4810</v>
      </c>
      <c r="D313" s="3099">
        <v>4760</v>
      </c>
      <c r="E313" s="3099">
        <v>5550</v>
      </c>
      <c r="F313" s="3099">
        <v>920</v>
      </c>
      <c r="G313" s="3103">
        <v>2870</v>
      </c>
    </row>
    <row r="314" spans="1:7" s="2235" customFormat="1" ht="14.25" customHeight="1">
      <c r="A314" s="2370" t="s">
        <v>304</v>
      </c>
      <c r="B314" s="2370" t="s">
        <v>3033</v>
      </c>
      <c r="C314" s="3099"/>
      <c r="D314" s="3099"/>
      <c r="E314" s="3099"/>
      <c r="F314" s="3099">
        <v>1020</v>
      </c>
      <c r="G314" s="3103"/>
    </row>
    <row r="315" spans="1:7" s="2235" customFormat="1" ht="14.25" customHeight="1">
      <c r="A315" s="2370" t="s">
        <v>304</v>
      </c>
      <c r="B315" s="2370" t="s">
        <v>3034</v>
      </c>
      <c r="C315" s="3099"/>
      <c r="D315" s="3099"/>
      <c r="E315" s="3099"/>
      <c r="F315" s="3099">
        <v>1050</v>
      </c>
      <c r="G315" s="3103"/>
    </row>
    <row r="316" spans="1:7" s="2235" customFormat="1" ht="14.25" customHeight="1">
      <c r="A316" s="2370" t="s">
        <v>304</v>
      </c>
      <c r="B316" s="2370" t="s">
        <v>2910</v>
      </c>
      <c r="C316" s="3099"/>
      <c r="D316" s="3099"/>
      <c r="E316" s="3099"/>
      <c r="F316" s="3099">
        <v>900</v>
      </c>
      <c r="G316" s="3103"/>
    </row>
    <row r="317" spans="1:7" s="2235" customFormat="1" ht="14.25" customHeight="1">
      <c r="A317" s="2370" t="s">
        <v>304</v>
      </c>
      <c r="B317" s="2370" t="s">
        <v>3035</v>
      </c>
      <c r="C317" s="3099"/>
      <c r="D317" s="3099"/>
      <c r="E317" s="3099"/>
      <c r="F317" s="3099">
        <v>920</v>
      </c>
      <c r="G317" s="3103"/>
    </row>
    <row r="318" spans="1:7" s="2235" customFormat="1" ht="14.25" customHeight="1">
      <c r="A318" s="2370" t="s">
        <v>304</v>
      </c>
      <c r="B318" s="2370" t="s">
        <v>3036</v>
      </c>
      <c r="C318" s="3099"/>
      <c r="D318" s="3099"/>
      <c r="E318" s="3099"/>
      <c r="F318" s="3099">
        <v>1080</v>
      </c>
      <c r="G318" s="3103"/>
    </row>
    <row r="319" spans="1:7" s="2235" customFormat="1" ht="14.25" customHeight="1">
      <c r="A319" s="2370" t="s">
        <v>304</v>
      </c>
      <c r="B319" s="2370" t="s">
        <v>2923</v>
      </c>
      <c r="C319" s="3099"/>
      <c r="D319" s="3099"/>
      <c r="E319" s="3099"/>
      <c r="F319" s="3099">
        <v>1020</v>
      </c>
      <c r="G319" s="3103"/>
    </row>
    <row r="320" spans="1:7" s="2235" customFormat="1" ht="14.25" customHeight="1">
      <c r="A320" s="2370" t="s">
        <v>304</v>
      </c>
      <c r="B320" s="2370" t="s">
        <v>2926</v>
      </c>
      <c r="C320" s="3099"/>
      <c r="D320" s="3099"/>
      <c r="E320" s="3099"/>
      <c r="F320" s="3099">
        <v>1050</v>
      </c>
      <c r="G320" s="3103"/>
    </row>
    <row r="321" spans="1:7" s="2235" customFormat="1" ht="14.25" customHeight="1">
      <c r="A321" s="2370" t="s">
        <v>304</v>
      </c>
      <c r="B321" s="2370" t="s">
        <v>2928</v>
      </c>
      <c r="C321" s="3099"/>
      <c r="D321" s="3099"/>
      <c r="E321" s="3099"/>
      <c r="F321" s="3099">
        <v>960</v>
      </c>
      <c r="G321" s="3103"/>
    </row>
    <row r="322" spans="1:7" s="2235" customFormat="1" ht="14.25" customHeight="1">
      <c r="A322" s="2370" t="s">
        <v>304</v>
      </c>
      <c r="B322" s="2370" t="s">
        <v>2930</v>
      </c>
      <c r="C322" s="3099"/>
      <c r="D322" s="3099"/>
      <c r="E322" s="3099"/>
      <c r="F322" s="3099">
        <v>960</v>
      </c>
      <c r="G322" s="3103"/>
    </row>
    <row r="323" spans="1:7" s="2235" customFormat="1" ht="14.25" customHeight="1">
      <c r="A323" s="2370" t="s">
        <v>304</v>
      </c>
      <c r="B323" s="2370" t="s">
        <v>2932</v>
      </c>
      <c r="C323" s="3099"/>
      <c r="D323" s="3099"/>
      <c r="E323" s="3099"/>
      <c r="F323" s="3099">
        <v>880</v>
      </c>
      <c r="G323" s="3103"/>
    </row>
    <row r="324" spans="1:7" s="2235" customFormat="1" ht="14.25" customHeight="1">
      <c r="A324" s="2370" t="s">
        <v>304</v>
      </c>
      <c r="B324" s="2370" t="s">
        <v>2934</v>
      </c>
      <c r="C324" s="3099"/>
      <c r="D324" s="3099"/>
      <c r="E324" s="3099"/>
      <c r="F324" s="3099">
        <v>930</v>
      </c>
      <c r="G324" s="3103"/>
    </row>
    <row r="325" spans="1:7" s="2235" customFormat="1" ht="14.25" customHeight="1">
      <c r="A325" s="2370" t="s">
        <v>304</v>
      </c>
      <c r="B325" s="2371" t="s">
        <v>2936</v>
      </c>
      <c r="C325" s="3099"/>
      <c r="D325" s="3099"/>
      <c r="E325" s="3099"/>
      <c r="F325" s="3099">
        <v>900</v>
      </c>
      <c r="G325" s="3103"/>
    </row>
    <row r="326" spans="1:7" s="2235" customFormat="1" ht="14.25" customHeight="1" thickBot="1">
      <c r="A326" s="2382" t="s">
        <v>304</v>
      </c>
      <c r="B326" s="2377" t="s">
        <v>2938</v>
      </c>
      <c r="C326" s="3100"/>
      <c r="D326" s="3100"/>
      <c r="E326" s="3100"/>
      <c r="F326" s="3100">
        <v>790</v>
      </c>
      <c r="G326" s="3104"/>
    </row>
    <row r="327" spans="1:7" s="2235" customFormat="1" ht="14.25" customHeight="1">
      <c r="A327" s="2375" t="s">
        <v>305</v>
      </c>
      <c r="B327" s="2366" t="s">
        <v>3037</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3038</v>
      </c>
      <c r="C329" s="3099">
        <v>2730</v>
      </c>
      <c r="D329" s="3099">
        <v>2690</v>
      </c>
      <c r="E329" s="3099">
        <v>3100</v>
      </c>
      <c r="F329" s="3099">
        <v>660</v>
      </c>
      <c r="G329" s="3099">
        <v>1610</v>
      </c>
    </row>
    <row r="330" spans="1:7" s="2235" customFormat="1" ht="14.25" customHeight="1">
      <c r="A330" s="2370" t="s">
        <v>305</v>
      </c>
      <c r="B330" s="2370" t="s">
        <v>3039</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2772</v>
      </c>
      <c r="C332" s="3099">
        <v>3520</v>
      </c>
      <c r="D332" s="3099">
        <v>3480</v>
      </c>
      <c r="E332" s="3099">
        <v>3830</v>
      </c>
      <c r="F332" s="3099">
        <v>720</v>
      </c>
      <c r="G332" s="3099">
        <v>2090</v>
      </c>
    </row>
    <row r="333" spans="1:7" s="2235" customFormat="1" ht="14.25" customHeight="1">
      <c r="A333" s="2370" t="s">
        <v>305</v>
      </c>
      <c r="B333" s="2370" t="s">
        <v>3040</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2782</v>
      </c>
      <c r="C336" s="3099">
        <v>3570</v>
      </c>
      <c r="D336" s="3099">
        <v>3530</v>
      </c>
      <c r="E336" s="3099">
        <v>3880</v>
      </c>
      <c r="F336" s="3099">
        <v>770</v>
      </c>
      <c r="G336" s="3099">
        <v>2110</v>
      </c>
    </row>
    <row r="337" spans="1:10" s="2235" customFormat="1" ht="14.25" customHeight="1">
      <c r="A337" s="2370" t="s">
        <v>305</v>
      </c>
      <c r="B337" s="2370" t="s">
        <v>3041</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3042</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3043</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2807</v>
      </c>
      <c r="C345" s="3099">
        <v>3190</v>
      </c>
      <c r="D345" s="3099">
        <v>3140</v>
      </c>
      <c r="E345" s="3099">
        <v>3450</v>
      </c>
      <c r="F345" s="3099">
        <v>720</v>
      </c>
      <c r="G345" s="3099">
        <v>1880</v>
      </c>
      <c r="J345" s="2235"/>
    </row>
    <row r="346" spans="1:10">
      <c r="A346" s="2370" t="s">
        <v>305</v>
      </c>
      <c r="B346" s="2370" t="s">
        <v>3044</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2816</v>
      </c>
      <c r="C348" s="3099">
        <v>4000</v>
      </c>
      <c r="D348" s="3099">
        <v>3950</v>
      </c>
      <c r="E348" s="3099">
        <v>4430</v>
      </c>
      <c r="F348" s="3099">
        <v>760</v>
      </c>
      <c r="G348" s="3099">
        <v>2360</v>
      </c>
      <c r="J348" s="2235"/>
    </row>
    <row r="349" spans="1:10">
      <c r="A349" s="2370" t="s">
        <v>305</v>
      </c>
      <c r="B349" s="2370" t="s">
        <v>2821</v>
      </c>
      <c r="C349" s="3099">
        <v>3820</v>
      </c>
      <c r="D349" s="3099">
        <v>3780</v>
      </c>
      <c r="E349" s="3099">
        <v>4170</v>
      </c>
      <c r="F349" s="3099">
        <v>710</v>
      </c>
      <c r="G349" s="3099">
        <v>2260</v>
      </c>
      <c r="J349" s="2235"/>
    </row>
    <row r="350" spans="1:10">
      <c r="A350" s="2370" t="s">
        <v>305</v>
      </c>
      <c r="B350" s="2370" t="s">
        <v>3045</v>
      </c>
      <c r="C350" s="3099">
        <v>3760</v>
      </c>
      <c r="D350" s="3099">
        <v>3730</v>
      </c>
      <c r="E350" s="3099">
        <v>4100</v>
      </c>
      <c r="F350" s="3099">
        <v>800</v>
      </c>
      <c r="G350" s="3099">
        <v>2230</v>
      </c>
      <c r="J350" s="2235"/>
    </row>
    <row r="351" spans="1:10">
      <c r="A351" s="2370" t="s">
        <v>305</v>
      </c>
      <c r="B351" s="2370" t="s">
        <v>2829</v>
      </c>
      <c r="C351" s="3099">
        <v>3610</v>
      </c>
      <c r="D351" s="3099">
        <v>3580</v>
      </c>
      <c r="E351" s="3099">
        <v>3930</v>
      </c>
      <c r="F351" s="3099">
        <v>700</v>
      </c>
      <c r="G351" s="3099">
        <v>2140</v>
      </c>
      <c r="J351" s="2235"/>
    </row>
    <row r="352" spans="1:10">
      <c r="A352" s="2370" t="s">
        <v>305</v>
      </c>
      <c r="B352" s="2370" t="s">
        <v>2834</v>
      </c>
      <c r="C352" s="3099">
        <v>3670</v>
      </c>
      <c r="D352" s="3099">
        <v>3630</v>
      </c>
      <c r="E352" s="3099">
        <v>4000</v>
      </c>
      <c r="F352" s="3099">
        <v>750</v>
      </c>
      <c r="G352" s="3099">
        <v>2180</v>
      </c>
    </row>
    <row r="353" spans="1:7" s="2236" customFormat="1">
      <c r="A353" s="2370" t="s">
        <v>305</v>
      </c>
      <c r="B353" s="2370" t="s">
        <v>3046</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2854</v>
      </c>
      <c r="C355" s="3099">
        <v>3650</v>
      </c>
      <c r="D355" s="3099">
        <v>3610</v>
      </c>
      <c r="E355" s="3099">
        <v>4200</v>
      </c>
      <c r="F355" s="3099">
        <v>640</v>
      </c>
      <c r="G355" s="3099">
        <v>2160</v>
      </c>
    </row>
    <row r="356" spans="1:7" s="2236" customFormat="1">
      <c r="A356" s="2370" t="s">
        <v>305</v>
      </c>
      <c r="B356" s="2370" t="s">
        <v>2861</v>
      </c>
      <c r="C356" s="3099">
        <v>3260</v>
      </c>
      <c r="D356" s="3099">
        <v>3230</v>
      </c>
      <c r="E356" s="3099">
        <v>3740</v>
      </c>
      <c r="F356" s="3099">
        <v>600</v>
      </c>
      <c r="G356" s="3099">
        <v>1930</v>
      </c>
    </row>
    <row r="357" spans="1:7" s="2236" customFormat="1" ht="11.4" thickBot="1">
      <c r="A357" s="2378" t="s">
        <v>305</v>
      </c>
      <c r="B357" s="2381" t="s">
        <v>3047</v>
      </c>
      <c r="C357" s="3101">
        <v>3690</v>
      </c>
      <c r="D357" s="3101">
        <v>3650</v>
      </c>
      <c r="E357" s="3101">
        <v>4020</v>
      </c>
      <c r="F357" s="3101">
        <v>700</v>
      </c>
      <c r="G357" s="3101">
        <v>2190</v>
      </c>
    </row>
    <row r="358" spans="1:7" s="2236" customFormat="1">
      <c r="A358" s="2375" t="s">
        <v>3048</v>
      </c>
      <c r="B358" s="2366" t="s">
        <v>3049</v>
      </c>
      <c r="C358" s="3098">
        <v>2080</v>
      </c>
      <c r="D358" s="3098">
        <v>2040</v>
      </c>
      <c r="E358" s="3098">
        <v>2010</v>
      </c>
      <c r="F358" s="3098">
        <v>530</v>
      </c>
      <c r="G358" s="3102">
        <v>1230</v>
      </c>
    </row>
    <row r="359" spans="1:7" s="2236" customFormat="1">
      <c r="A359" s="2370" t="s">
        <v>3048</v>
      </c>
      <c r="B359" s="2370" t="s">
        <v>3050</v>
      </c>
      <c r="C359" s="3099">
        <v>1850</v>
      </c>
      <c r="D359" s="3099">
        <v>1820</v>
      </c>
      <c r="E359" s="3099">
        <v>1780</v>
      </c>
      <c r="F359" s="3099">
        <v>520</v>
      </c>
      <c r="G359" s="3103">
        <v>1100</v>
      </c>
    </row>
    <row r="360" spans="1:7" s="2236" customFormat="1">
      <c r="A360" s="2370" t="s">
        <v>3048</v>
      </c>
      <c r="B360" s="2370" t="s">
        <v>3051</v>
      </c>
      <c r="C360" s="3099">
        <v>2020</v>
      </c>
      <c r="D360" s="3099">
        <v>1990</v>
      </c>
      <c r="E360" s="3099">
        <v>1950</v>
      </c>
      <c r="F360" s="3099">
        <v>500</v>
      </c>
      <c r="G360" s="3103">
        <v>1200</v>
      </c>
    </row>
    <row r="361" spans="1:7" s="2236" customFormat="1">
      <c r="A361" s="2370" t="s">
        <v>3048</v>
      </c>
      <c r="B361" s="2370" t="s">
        <v>151</v>
      </c>
      <c r="C361" s="3099">
        <v>2260</v>
      </c>
      <c r="D361" s="3099">
        <v>2220</v>
      </c>
      <c r="E361" s="3099">
        <v>2180</v>
      </c>
      <c r="F361" s="3099">
        <v>580</v>
      </c>
      <c r="G361" s="3103">
        <v>1340</v>
      </c>
    </row>
    <row r="362" spans="1:7" s="2236" customFormat="1">
      <c r="A362" s="2370" t="s">
        <v>3048</v>
      </c>
      <c r="B362" s="2370" t="s">
        <v>3052</v>
      </c>
      <c r="C362" s="3099">
        <v>2650</v>
      </c>
      <c r="D362" s="3099">
        <v>2610</v>
      </c>
      <c r="E362" s="3099">
        <v>2570</v>
      </c>
      <c r="F362" s="3099">
        <v>630</v>
      </c>
      <c r="G362" s="3103">
        <v>1570</v>
      </c>
    </row>
    <row r="363" spans="1:7" s="2236" customFormat="1">
      <c r="A363" s="2370" t="s">
        <v>3048</v>
      </c>
      <c r="B363" s="2370" t="s">
        <v>2773</v>
      </c>
      <c r="C363" s="3099">
        <v>2390</v>
      </c>
      <c r="D363" s="3099">
        <v>2360</v>
      </c>
      <c r="E363" s="3099">
        <v>2320</v>
      </c>
      <c r="F363" s="3099">
        <v>600</v>
      </c>
      <c r="G363" s="3103">
        <v>1420</v>
      </c>
    </row>
    <row r="364" spans="1:7" s="2236" customFormat="1">
      <c r="A364" s="2370" t="s">
        <v>3048</v>
      </c>
      <c r="B364" s="2370" t="s">
        <v>3053</v>
      </c>
      <c r="C364" s="3099">
        <v>2050</v>
      </c>
      <c r="D364" s="3099">
        <v>2030</v>
      </c>
      <c r="E364" s="3099">
        <v>1990</v>
      </c>
      <c r="F364" s="3099">
        <v>550</v>
      </c>
      <c r="G364" s="3103">
        <v>1220</v>
      </c>
    </row>
    <row r="365" spans="1:7" s="2236" customFormat="1">
      <c r="A365" s="2370" t="s">
        <v>3048</v>
      </c>
      <c r="B365" s="2370" t="s">
        <v>198</v>
      </c>
      <c r="C365" s="3099">
        <v>2140</v>
      </c>
      <c r="D365" s="3099">
        <v>2100</v>
      </c>
      <c r="E365" s="3099">
        <v>2060</v>
      </c>
      <c r="F365" s="3099">
        <v>540</v>
      </c>
      <c r="G365" s="3103">
        <v>1270</v>
      </c>
    </row>
    <row r="366" spans="1:7" s="2236" customFormat="1">
      <c r="A366" s="2370" t="s">
        <v>3048</v>
      </c>
      <c r="B366" s="2370" t="s">
        <v>2780</v>
      </c>
      <c r="C366" s="3099">
        <v>2410</v>
      </c>
      <c r="D366" s="3099">
        <v>2370</v>
      </c>
      <c r="E366" s="3099">
        <v>2330</v>
      </c>
      <c r="F366" s="3099">
        <v>570</v>
      </c>
      <c r="G366" s="3103">
        <v>1440</v>
      </c>
    </row>
    <row r="367" spans="1:7" s="2236" customFormat="1">
      <c r="A367" s="2370" t="s">
        <v>3048</v>
      </c>
      <c r="B367" s="2370" t="s">
        <v>3054</v>
      </c>
      <c r="C367" s="3099">
        <v>2300</v>
      </c>
      <c r="D367" s="3099">
        <v>2260</v>
      </c>
      <c r="E367" s="3099">
        <v>2220</v>
      </c>
      <c r="F367" s="3099">
        <v>560</v>
      </c>
      <c r="G367" s="3103">
        <v>1370</v>
      </c>
    </row>
    <row r="368" spans="1:7" s="2236" customFormat="1">
      <c r="A368" s="2370" t="s">
        <v>3048</v>
      </c>
      <c r="B368" s="2370" t="s">
        <v>3055</v>
      </c>
      <c r="C368" s="3099">
        <v>2430</v>
      </c>
      <c r="D368" s="3099">
        <v>2390</v>
      </c>
      <c r="E368" s="3099">
        <v>2350</v>
      </c>
      <c r="F368" s="3099">
        <v>570</v>
      </c>
      <c r="G368" s="3103">
        <v>1450</v>
      </c>
    </row>
    <row r="369" spans="1:7" s="2236" customFormat="1">
      <c r="A369" s="2370" t="s">
        <v>3048</v>
      </c>
      <c r="B369" s="2370" t="s">
        <v>212</v>
      </c>
      <c r="C369" s="3099">
        <v>2320</v>
      </c>
      <c r="D369" s="3099">
        <v>2290</v>
      </c>
      <c r="E369" s="3099">
        <v>2250</v>
      </c>
      <c r="F369" s="3099">
        <v>550</v>
      </c>
      <c r="G369" s="3103">
        <v>1380</v>
      </c>
    </row>
    <row r="370" spans="1:7" s="2236" customFormat="1">
      <c r="A370" s="2370" t="s">
        <v>3048</v>
      </c>
      <c r="B370" s="2370" t="s">
        <v>219</v>
      </c>
      <c r="C370" s="3099">
        <v>2190</v>
      </c>
      <c r="D370" s="3099">
        <v>2170</v>
      </c>
      <c r="E370" s="3099">
        <v>2130</v>
      </c>
      <c r="F370" s="3099">
        <v>530</v>
      </c>
      <c r="G370" s="3103">
        <v>1310</v>
      </c>
    </row>
    <row r="371" spans="1:7" s="2236" customFormat="1">
      <c r="A371" s="2370" t="s">
        <v>3048</v>
      </c>
      <c r="B371" s="2370" t="s">
        <v>227</v>
      </c>
      <c r="C371" s="3099">
        <v>2460</v>
      </c>
      <c r="D371" s="3099">
        <v>2420</v>
      </c>
      <c r="E371" s="3099">
        <v>2370</v>
      </c>
      <c r="F371" s="3099">
        <v>560</v>
      </c>
      <c r="G371" s="3103">
        <v>1470</v>
      </c>
    </row>
    <row r="372" spans="1:7" s="2236" customFormat="1">
      <c r="A372" s="2370" t="s">
        <v>3048</v>
      </c>
      <c r="B372" s="2370" t="s">
        <v>3056</v>
      </c>
      <c r="C372" s="3099">
        <v>2250</v>
      </c>
      <c r="D372" s="3099">
        <v>2210</v>
      </c>
      <c r="E372" s="3099">
        <v>2180</v>
      </c>
      <c r="F372" s="3099">
        <v>550</v>
      </c>
      <c r="G372" s="3103">
        <v>1340</v>
      </c>
    </row>
    <row r="373" spans="1:7" s="2236" customFormat="1">
      <c r="A373" s="2370" t="s">
        <v>3048</v>
      </c>
      <c r="B373" s="2370" t="s">
        <v>256</v>
      </c>
      <c r="C373" s="3099">
        <v>2210</v>
      </c>
      <c r="D373" s="3099">
        <v>2190</v>
      </c>
      <c r="E373" s="3099">
        <v>2150</v>
      </c>
      <c r="F373" s="3099">
        <v>530</v>
      </c>
      <c r="G373" s="3103">
        <v>1320</v>
      </c>
    </row>
    <row r="374" spans="1:7" s="2236" customFormat="1">
      <c r="A374" s="2370" t="s">
        <v>3048</v>
      </c>
      <c r="B374" s="2370" t="s">
        <v>264</v>
      </c>
      <c r="C374" s="3099">
        <v>2320</v>
      </c>
      <c r="D374" s="3099">
        <v>2280</v>
      </c>
      <c r="E374" s="3099">
        <v>2230</v>
      </c>
      <c r="F374" s="3099">
        <v>580</v>
      </c>
      <c r="G374" s="3103">
        <v>1380</v>
      </c>
    </row>
    <row r="375" spans="1:7" s="2236" customFormat="1">
      <c r="A375" s="2370" t="s">
        <v>3048</v>
      </c>
      <c r="B375" s="2370" t="s">
        <v>3057</v>
      </c>
      <c r="C375" s="3099">
        <v>2090</v>
      </c>
      <c r="D375" s="3099">
        <v>2050</v>
      </c>
      <c r="E375" s="3099">
        <v>2020</v>
      </c>
      <c r="F375" s="3099">
        <v>520</v>
      </c>
      <c r="G375" s="3103">
        <v>1240</v>
      </c>
    </row>
    <row r="376" spans="1:7" s="2236" customFormat="1">
      <c r="A376" s="2370" t="s">
        <v>3048</v>
      </c>
      <c r="B376" s="2370" t="s">
        <v>275</v>
      </c>
      <c r="C376" s="3099">
        <v>2010</v>
      </c>
      <c r="D376" s="3099">
        <v>1980</v>
      </c>
      <c r="E376" s="3099">
        <v>1940</v>
      </c>
      <c r="F376" s="3099">
        <v>540</v>
      </c>
      <c r="G376" s="3103">
        <v>1190</v>
      </c>
    </row>
    <row r="377" spans="1:7" s="2236" customFormat="1" ht="11.4" thickBot="1">
      <c r="A377" s="2378" t="s">
        <v>3048</v>
      </c>
      <c r="B377" s="2381" t="s">
        <v>2810</v>
      </c>
      <c r="C377" s="3101">
        <v>1930</v>
      </c>
      <c r="D377" s="3101">
        <v>1890</v>
      </c>
      <c r="E377" s="3101">
        <v>1860</v>
      </c>
      <c r="F377" s="3101">
        <v>530</v>
      </c>
      <c r="G377" s="3105">
        <v>1150</v>
      </c>
    </row>
    <row r="378" spans="1:7" s="2236" customFormat="1">
      <c r="A378" s="2383" t="s">
        <v>3058</v>
      </c>
      <c r="B378" s="2366" t="s">
        <v>3059</v>
      </c>
      <c r="C378" s="3098">
        <v>1520</v>
      </c>
      <c r="D378" s="3098">
        <v>1490</v>
      </c>
      <c r="E378" s="3098">
        <v>1460</v>
      </c>
      <c r="F378" s="3098">
        <v>460</v>
      </c>
      <c r="G378" s="3102">
        <v>940</v>
      </c>
    </row>
    <row r="379" spans="1:7" s="2236" customFormat="1">
      <c r="A379" s="2384" t="s">
        <v>3058</v>
      </c>
      <c r="B379" s="2370" t="s">
        <v>3060</v>
      </c>
      <c r="C379" s="3099">
        <v>1500</v>
      </c>
      <c r="D379" s="3099">
        <v>1470</v>
      </c>
      <c r="E379" s="3099">
        <v>1430</v>
      </c>
      <c r="F379" s="3099">
        <v>460</v>
      </c>
      <c r="G379" s="3103">
        <v>920</v>
      </c>
    </row>
    <row r="380" spans="1:7" s="2236" customFormat="1">
      <c r="A380" s="2384" t="s">
        <v>3058</v>
      </c>
      <c r="B380" s="2370" t="s">
        <v>3061</v>
      </c>
      <c r="C380" s="3099">
        <v>1620</v>
      </c>
      <c r="D380" s="3099">
        <v>1590</v>
      </c>
      <c r="E380" s="3099">
        <v>1560</v>
      </c>
      <c r="F380" s="3099">
        <v>480</v>
      </c>
      <c r="G380" s="3103">
        <v>1000</v>
      </c>
    </row>
    <row r="381" spans="1:7" s="2236" customFormat="1">
      <c r="A381" s="2384" t="s">
        <v>3058</v>
      </c>
      <c r="B381" s="2370" t="s">
        <v>3062</v>
      </c>
      <c r="C381" s="3099">
        <v>1460</v>
      </c>
      <c r="D381" s="3099">
        <v>1430</v>
      </c>
      <c r="E381" s="3099">
        <v>1390</v>
      </c>
      <c r="F381" s="3099">
        <v>450</v>
      </c>
      <c r="G381" s="3103">
        <v>900</v>
      </c>
    </row>
    <row r="382" spans="1:7" s="2236" customFormat="1">
      <c r="A382" s="2384" t="s">
        <v>3058</v>
      </c>
      <c r="B382" s="2370" t="s">
        <v>3063</v>
      </c>
      <c r="C382" s="3099">
        <v>1310</v>
      </c>
      <c r="D382" s="3099">
        <v>1280</v>
      </c>
      <c r="E382" s="3099">
        <v>1250</v>
      </c>
      <c r="F382" s="3099">
        <v>440</v>
      </c>
      <c r="G382" s="3103">
        <v>800</v>
      </c>
    </row>
    <row r="383" spans="1:7" s="2236" customFormat="1">
      <c r="A383" s="2384" t="s">
        <v>3058</v>
      </c>
      <c r="B383" s="2370" t="s">
        <v>3064</v>
      </c>
      <c r="C383" s="3099">
        <v>1260</v>
      </c>
      <c r="D383" s="3099">
        <v>1230</v>
      </c>
      <c r="E383" s="3099">
        <v>1200</v>
      </c>
      <c r="F383" s="3099">
        <v>420</v>
      </c>
      <c r="G383" s="3103">
        <v>770</v>
      </c>
    </row>
    <row r="384" spans="1:7" s="2236" customFormat="1" ht="11.4" thickBot="1">
      <c r="A384" s="2385" t="s">
        <v>3058</v>
      </c>
      <c r="B384" s="2377" t="s">
        <v>3065</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55" customWidth="1"/>
    <col min="2" max="2" width="13.21875" style="857" customWidth="1"/>
    <col min="3" max="3" width="15.6640625" style="857" customWidth="1"/>
    <col min="4" max="4" width="9.33203125" style="857" bestFit="1" customWidth="1"/>
    <col min="5" max="5" width="13.44140625" style="857" customWidth="1"/>
    <col min="6" max="6" width="9" style="857"/>
    <col min="7" max="7" width="9.33203125" style="857" bestFit="1" customWidth="1"/>
    <col min="8" max="8" width="12.21875" style="857" customWidth="1"/>
    <col min="9" max="9" width="9" style="857"/>
    <col min="10" max="10" width="9.33203125" style="857" bestFit="1" customWidth="1"/>
    <col min="11" max="11" width="4" style="855" customWidth="1"/>
    <col min="12" max="12" width="5.109375" style="857" customWidth="1"/>
    <col min="13" max="13" width="13.77734375" style="857" customWidth="1"/>
    <col min="14" max="256" width="9" style="857"/>
    <col min="257" max="257" width="4.88671875" style="852" customWidth="1"/>
    <col min="258" max="258" width="13.21875" style="852" customWidth="1"/>
    <col min="259" max="259" width="15.6640625" style="852" customWidth="1"/>
    <col min="260" max="260" width="9.33203125" style="852" bestFit="1" customWidth="1"/>
    <col min="261" max="261" width="13.44140625" style="852" customWidth="1"/>
    <col min="262" max="262" width="9" style="852"/>
    <col min="263" max="263" width="9.33203125" style="852" bestFit="1" customWidth="1"/>
    <col min="264" max="265" width="9" style="852"/>
    <col min="266" max="266" width="9.33203125" style="852" bestFit="1" customWidth="1"/>
    <col min="267" max="267" width="4" style="852" customWidth="1"/>
    <col min="268" max="268" width="5.109375" style="852" customWidth="1"/>
    <col min="269" max="269" width="13.77734375" style="852" customWidth="1"/>
    <col min="270" max="512" width="9" style="852"/>
    <col min="513" max="513" width="4.88671875" style="852" customWidth="1"/>
    <col min="514" max="514" width="13.21875" style="852" customWidth="1"/>
    <col min="515" max="515" width="15.6640625" style="852" customWidth="1"/>
    <col min="516" max="516" width="9.33203125" style="852" bestFit="1" customWidth="1"/>
    <col min="517" max="517" width="13.44140625" style="852" customWidth="1"/>
    <col min="518" max="518" width="9" style="852"/>
    <col min="519" max="519" width="9.33203125" style="852" bestFit="1" customWidth="1"/>
    <col min="520" max="521" width="9" style="852"/>
    <col min="522" max="522" width="9.33203125" style="852" bestFit="1" customWidth="1"/>
    <col min="523" max="523" width="4" style="852" customWidth="1"/>
    <col min="524" max="524" width="5.109375" style="852" customWidth="1"/>
    <col min="525" max="525" width="13.77734375" style="852" customWidth="1"/>
    <col min="526" max="768" width="9" style="852"/>
    <col min="769" max="769" width="4.88671875" style="852" customWidth="1"/>
    <col min="770" max="770" width="13.21875" style="852" customWidth="1"/>
    <col min="771" max="771" width="15.6640625" style="852" customWidth="1"/>
    <col min="772" max="772" width="9.33203125" style="852" bestFit="1" customWidth="1"/>
    <col min="773" max="773" width="13.44140625" style="852" customWidth="1"/>
    <col min="774" max="774" width="9" style="852"/>
    <col min="775" max="775" width="9.33203125" style="852" bestFit="1" customWidth="1"/>
    <col min="776" max="777" width="9" style="852"/>
    <col min="778" max="778" width="9.33203125" style="852" bestFit="1" customWidth="1"/>
    <col min="779" max="779" width="4" style="852" customWidth="1"/>
    <col min="780" max="780" width="5.109375" style="852" customWidth="1"/>
    <col min="781" max="781" width="13.77734375" style="852" customWidth="1"/>
    <col min="782" max="1024" width="9" style="852"/>
    <col min="1025" max="1025" width="4.88671875" style="852" customWidth="1"/>
    <col min="1026" max="1026" width="13.21875" style="852" customWidth="1"/>
    <col min="1027" max="1027" width="15.6640625" style="852" customWidth="1"/>
    <col min="1028" max="1028" width="9.33203125" style="852" bestFit="1" customWidth="1"/>
    <col min="1029" max="1029" width="13.44140625" style="852" customWidth="1"/>
    <col min="1030" max="1030" width="9" style="852"/>
    <col min="1031" max="1031" width="9.33203125" style="852" bestFit="1" customWidth="1"/>
    <col min="1032" max="1033" width="9" style="852"/>
    <col min="1034" max="1034" width="9.33203125" style="852" bestFit="1" customWidth="1"/>
    <col min="1035" max="1035" width="4" style="852" customWidth="1"/>
    <col min="1036" max="1036" width="5.109375" style="852" customWidth="1"/>
    <col min="1037" max="1037" width="13.77734375" style="852" customWidth="1"/>
    <col min="1038" max="1280" width="9" style="852"/>
    <col min="1281" max="1281" width="4.88671875" style="852" customWidth="1"/>
    <col min="1282" max="1282" width="13.21875" style="852" customWidth="1"/>
    <col min="1283" max="1283" width="15.6640625" style="852" customWidth="1"/>
    <col min="1284" max="1284" width="9.33203125" style="852" bestFit="1" customWidth="1"/>
    <col min="1285" max="1285" width="13.44140625" style="852" customWidth="1"/>
    <col min="1286" max="1286" width="9" style="852"/>
    <col min="1287" max="1287" width="9.33203125" style="852" bestFit="1" customWidth="1"/>
    <col min="1288" max="1289" width="9" style="852"/>
    <col min="1290" max="1290" width="9.33203125" style="852" bestFit="1" customWidth="1"/>
    <col min="1291" max="1291" width="4" style="852" customWidth="1"/>
    <col min="1292" max="1292" width="5.109375" style="852" customWidth="1"/>
    <col min="1293" max="1293" width="13.77734375" style="852" customWidth="1"/>
    <col min="1294" max="1536" width="9" style="852"/>
    <col min="1537" max="1537" width="4.88671875" style="852" customWidth="1"/>
    <col min="1538" max="1538" width="13.21875" style="852" customWidth="1"/>
    <col min="1539" max="1539" width="15.6640625" style="852" customWidth="1"/>
    <col min="1540" max="1540" width="9.33203125" style="852" bestFit="1" customWidth="1"/>
    <col min="1541" max="1541" width="13.44140625" style="852" customWidth="1"/>
    <col min="1542" max="1542" width="9" style="852"/>
    <col min="1543" max="1543" width="9.33203125" style="852" bestFit="1" customWidth="1"/>
    <col min="1544" max="1545" width="9" style="852"/>
    <col min="1546" max="1546" width="9.33203125" style="852" bestFit="1" customWidth="1"/>
    <col min="1547" max="1547" width="4" style="852" customWidth="1"/>
    <col min="1548" max="1548" width="5.109375" style="852" customWidth="1"/>
    <col min="1549" max="1549" width="13.77734375" style="852" customWidth="1"/>
    <col min="1550" max="1792" width="9" style="852"/>
    <col min="1793" max="1793" width="4.88671875" style="852" customWidth="1"/>
    <col min="1794" max="1794" width="13.21875" style="852" customWidth="1"/>
    <col min="1795" max="1795" width="15.6640625" style="852" customWidth="1"/>
    <col min="1796" max="1796" width="9.33203125" style="852" bestFit="1" customWidth="1"/>
    <col min="1797" max="1797" width="13.44140625" style="852" customWidth="1"/>
    <col min="1798" max="1798" width="9" style="852"/>
    <col min="1799" max="1799" width="9.33203125" style="852" bestFit="1" customWidth="1"/>
    <col min="1800" max="1801" width="9" style="852"/>
    <col min="1802" max="1802" width="9.33203125" style="852" bestFit="1" customWidth="1"/>
    <col min="1803" max="1803" width="4" style="852" customWidth="1"/>
    <col min="1804" max="1804" width="5.109375" style="852" customWidth="1"/>
    <col min="1805" max="1805" width="13.77734375" style="852" customWidth="1"/>
    <col min="1806" max="2048" width="9" style="852"/>
    <col min="2049" max="2049" width="4.88671875" style="852" customWidth="1"/>
    <col min="2050" max="2050" width="13.21875" style="852" customWidth="1"/>
    <col min="2051" max="2051" width="15.6640625" style="852" customWidth="1"/>
    <col min="2052" max="2052" width="9.33203125" style="852" bestFit="1" customWidth="1"/>
    <col min="2053" max="2053" width="13.44140625" style="852" customWidth="1"/>
    <col min="2054" max="2054" width="9" style="852"/>
    <col min="2055" max="2055" width="9.33203125" style="852" bestFit="1" customWidth="1"/>
    <col min="2056" max="2057" width="9" style="852"/>
    <col min="2058" max="2058" width="9.33203125" style="852" bestFit="1" customWidth="1"/>
    <col min="2059" max="2059" width="4" style="852" customWidth="1"/>
    <col min="2060" max="2060" width="5.109375" style="852" customWidth="1"/>
    <col min="2061" max="2061" width="13.77734375" style="852" customWidth="1"/>
    <col min="2062" max="2304" width="9" style="852"/>
    <col min="2305" max="2305" width="4.88671875" style="852" customWidth="1"/>
    <col min="2306" max="2306" width="13.21875" style="852" customWidth="1"/>
    <col min="2307" max="2307" width="15.6640625" style="852" customWidth="1"/>
    <col min="2308" max="2308" width="9.33203125" style="852" bestFit="1" customWidth="1"/>
    <col min="2309" max="2309" width="13.44140625" style="852" customWidth="1"/>
    <col min="2310" max="2310" width="9" style="852"/>
    <col min="2311" max="2311" width="9.33203125" style="852" bestFit="1" customWidth="1"/>
    <col min="2312" max="2313" width="9" style="852"/>
    <col min="2314" max="2314" width="9.33203125" style="852" bestFit="1" customWidth="1"/>
    <col min="2315" max="2315" width="4" style="852" customWidth="1"/>
    <col min="2316" max="2316" width="5.109375" style="852" customWidth="1"/>
    <col min="2317" max="2317" width="13.77734375" style="852" customWidth="1"/>
    <col min="2318" max="2560" width="9" style="852"/>
    <col min="2561" max="2561" width="4.88671875" style="852" customWidth="1"/>
    <col min="2562" max="2562" width="13.21875" style="852" customWidth="1"/>
    <col min="2563" max="2563" width="15.6640625" style="852" customWidth="1"/>
    <col min="2564" max="2564" width="9.33203125" style="852" bestFit="1" customWidth="1"/>
    <col min="2565" max="2565" width="13.44140625" style="852" customWidth="1"/>
    <col min="2566" max="2566" width="9" style="852"/>
    <col min="2567" max="2567" width="9.33203125" style="852" bestFit="1" customWidth="1"/>
    <col min="2568" max="2569" width="9" style="852"/>
    <col min="2570" max="2570" width="9.33203125" style="852" bestFit="1" customWidth="1"/>
    <col min="2571" max="2571" width="4" style="852" customWidth="1"/>
    <col min="2572" max="2572" width="5.109375" style="852" customWidth="1"/>
    <col min="2573" max="2573" width="13.77734375" style="852" customWidth="1"/>
    <col min="2574" max="2816" width="9" style="852"/>
    <col min="2817" max="2817" width="4.88671875" style="852" customWidth="1"/>
    <col min="2818" max="2818" width="13.21875" style="852" customWidth="1"/>
    <col min="2819" max="2819" width="15.6640625" style="852" customWidth="1"/>
    <col min="2820" max="2820" width="9.33203125" style="852" bestFit="1" customWidth="1"/>
    <col min="2821" max="2821" width="13.44140625" style="852" customWidth="1"/>
    <col min="2822" max="2822" width="9" style="852"/>
    <col min="2823" max="2823" width="9.33203125" style="852" bestFit="1" customWidth="1"/>
    <col min="2824" max="2825" width="9" style="852"/>
    <col min="2826" max="2826" width="9.33203125" style="852" bestFit="1" customWidth="1"/>
    <col min="2827" max="2827" width="4" style="852" customWidth="1"/>
    <col min="2828" max="2828" width="5.109375" style="852" customWidth="1"/>
    <col min="2829" max="2829" width="13.77734375" style="852" customWidth="1"/>
    <col min="2830" max="3072" width="9" style="852"/>
    <col min="3073" max="3073" width="4.88671875" style="852" customWidth="1"/>
    <col min="3074" max="3074" width="13.21875" style="852" customWidth="1"/>
    <col min="3075" max="3075" width="15.6640625" style="852" customWidth="1"/>
    <col min="3076" max="3076" width="9.33203125" style="852" bestFit="1" customWidth="1"/>
    <col min="3077" max="3077" width="13.44140625" style="852" customWidth="1"/>
    <col min="3078" max="3078" width="9" style="852"/>
    <col min="3079" max="3079" width="9.33203125" style="852" bestFit="1" customWidth="1"/>
    <col min="3080" max="3081" width="9" style="852"/>
    <col min="3082" max="3082" width="9.33203125" style="852" bestFit="1" customWidth="1"/>
    <col min="3083" max="3083" width="4" style="852" customWidth="1"/>
    <col min="3084" max="3084" width="5.109375" style="852" customWidth="1"/>
    <col min="3085" max="3085" width="13.77734375" style="852" customWidth="1"/>
    <col min="3086" max="3328" width="9" style="852"/>
    <col min="3329" max="3329" width="4.88671875" style="852" customWidth="1"/>
    <col min="3330" max="3330" width="13.21875" style="852" customWidth="1"/>
    <col min="3331" max="3331" width="15.6640625" style="852" customWidth="1"/>
    <col min="3332" max="3332" width="9.33203125" style="852" bestFit="1" customWidth="1"/>
    <col min="3333" max="3333" width="13.44140625" style="852" customWidth="1"/>
    <col min="3334" max="3334" width="9" style="852"/>
    <col min="3335" max="3335" width="9.33203125" style="852" bestFit="1" customWidth="1"/>
    <col min="3336" max="3337" width="9" style="852"/>
    <col min="3338" max="3338" width="9.33203125" style="852" bestFit="1" customWidth="1"/>
    <col min="3339" max="3339" width="4" style="852" customWidth="1"/>
    <col min="3340" max="3340" width="5.109375" style="852" customWidth="1"/>
    <col min="3341" max="3341" width="13.77734375" style="852" customWidth="1"/>
    <col min="3342" max="3584" width="9" style="852"/>
    <col min="3585" max="3585" width="4.88671875" style="852" customWidth="1"/>
    <col min="3586" max="3586" width="13.21875" style="852" customWidth="1"/>
    <col min="3587" max="3587" width="15.6640625" style="852" customWidth="1"/>
    <col min="3588" max="3588" width="9.33203125" style="852" bestFit="1" customWidth="1"/>
    <col min="3589" max="3589" width="13.44140625" style="852" customWidth="1"/>
    <col min="3590" max="3590" width="9" style="852"/>
    <col min="3591" max="3591" width="9.33203125" style="852" bestFit="1" customWidth="1"/>
    <col min="3592" max="3593" width="9" style="852"/>
    <col min="3594" max="3594" width="9.33203125" style="852" bestFit="1" customWidth="1"/>
    <col min="3595" max="3595" width="4" style="852" customWidth="1"/>
    <col min="3596" max="3596" width="5.109375" style="852" customWidth="1"/>
    <col min="3597" max="3597" width="13.77734375" style="852" customWidth="1"/>
    <col min="3598" max="3840" width="9" style="852"/>
    <col min="3841" max="3841" width="4.88671875" style="852" customWidth="1"/>
    <col min="3842" max="3842" width="13.21875" style="852" customWidth="1"/>
    <col min="3843" max="3843" width="15.6640625" style="852" customWidth="1"/>
    <col min="3844" max="3844" width="9.33203125" style="852" bestFit="1" customWidth="1"/>
    <col min="3845" max="3845" width="13.44140625" style="852" customWidth="1"/>
    <col min="3846" max="3846" width="9" style="852"/>
    <col min="3847" max="3847" width="9.33203125" style="852" bestFit="1" customWidth="1"/>
    <col min="3848" max="3849" width="9" style="852"/>
    <col min="3850" max="3850" width="9.33203125" style="852" bestFit="1" customWidth="1"/>
    <col min="3851" max="3851" width="4" style="852" customWidth="1"/>
    <col min="3852" max="3852" width="5.109375" style="852" customWidth="1"/>
    <col min="3853" max="3853" width="13.77734375" style="852" customWidth="1"/>
    <col min="3854" max="4096" width="9" style="852"/>
    <col min="4097" max="4097" width="4.88671875" style="852" customWidth="1"/>
    <col min="4098" max="4098" width="13.21875" style="852" customWidth="1"/>
    <col min="4099" max="4099" width="15.6640625" style="852" customWidth="1"/>
    <col min="4100" max="4100" width="9.33203125" style="852" bestFit="1" customWidth="1"/>
    <col min="4101" max="4101" width="13.44140625" style="852" customWidth="1"/>
    <col min="4102" max="4102" width="9" style="852"/>
    <col min="4103" max="4103" width="9.33203125" style="852" bestFit="1" customWidth="1"/>
    <col min="4104" max="4105" width="9" style="852"/>
    <col min="4106" max="4106" width="9.33203125" style="852" bestFit="1" customWidth="1"/>
    <col min="4107" max="4107" width="4" style="852" customWidth="1"/>
    <col min="4108" max="4108" width="5.109375" style="852" customWidth="1"/>
    <col min="4109" max="4109" width="13.77734375" style="852" customWidth="1"/>
    <col min="4110" max="4352" width="9" style="852"/>
    <col min="4353" max="4353" width="4.88671875" style="852" customWidth="1"/>
    <col min="4354" max="4354" width="13.21875" style="852" customWidth="1"/>
    <col min="4355" max="4355" width="15.6640625" style="852" customWidth="1"/>
    <col min="4356" max="4356" width="9.33203125" style="852" bestFit="1" customWidth="1"/>
    <col min="4357" max="4357" width="13.44140625" style="852" customWidth="1"/>
    <col min="4358" max="4358" width="9" style="852"/>
    <col min="4359" max="4359" width="9.33203125" style="852" bestFit="1" customWidth="1"/>
    <col min="4360" max="4361" width="9" style="852"/>
    <col min="4362" max="4362" width="9.33203125" style="852" bestFit="1" customWidth="1"/>
    <col min="4363" max="4363" width="4" style="852" customWidth="1"/>
    <col min="4364" max="4364" width="5.109375" style="852" customWidth="1"/>
    <col min="4365" max="4365" width="13.77734375" style="852" customWidth="1"/>
    <col min="4366" max="4608" width="9" style="852"/>
    <col min="4609" max="4609" width="4.88671875" style="852" customWidth="1"/>
    <col min="4610" max="4610" width="13.21875" style="852" customWidth="1"/>
    <col min="4611" max="4611" width="15.6640625" style="852" customWidth="1"/>
    <col min="4612" max="4612" width="9.33203125" style="852" bestFit="1" customWidth="1"/>
    <col min="4613" max="4613" width="13.44140625" style="852" customWidth="1"/>
    <col min="4614" max="4614" width="9" style="852"/>
    <col min="4615" max="4615" width="9.33203125" style="852" bestFit="1" customWidth="1"/>
    <col min="4616" max="4617" width="9" style="852"/>
    <col min="4618" max="4618" width="9.33203125" style="852" bestFit="1" customWidth="1"/>
    <col min="4619" max="4619" width="4" style="852" customWidth="1"/>
    <col min="4620" max="4620" width="5.109375" style="852" customWidth="1"/>
    <col min="4621" max="4621" width="13.77734375" style="852" customWidth="1"/>
    <col min="4622" max="4864" width="9" style="852"/>
    <col min="4865" max="4865" width="4.88671875" style="852" customWidth="1"/>
    <col min="4866" max="4866" width="13.21875" style="852" customWidth="1"/>
    <col min="4867" max="4867" width="15.6640625" style="852" customWidth="1"/>
    <col min="4868" max="4868" width="9.33203125" style="852" bestFit="1" customWidth="1"/>
    <col min="4869" max="4869" width="13.44140625" style="852" customWidth="1"/>
    <col min="4870" max="4870" width="9" style="852"/>
    <col min="4871" max="4871" width="9.33203125" style="852" bestFit="1" customWidth="1"/>
    <col min="4872" max="4873" width="9" style="852"/>
    <col min="4874" max="4874" width="9.33203125" style="852" bestFit="1" customWidth="1"/>
    <col min="4875" max="4875" width="4" style="852" customWidth="1"/>
    <col min="4876" max="4876" width="5.109375" style="852" customWidth="1"/>
    <col min="4877" max="4877" width="13.77734375" style="852" customWidth="1"/>
    <col min="4878" max="5120" width="9" style="852"/>
    <col min="5121" max="5121" width="4.88671875" style="852" customWidth="1"/>
    <col min="5122" max="5122" width="13.21875" style="852" customWidth="1"/>
    <col min="5123" max="5123" width="15.6640625" style="852" customWidth="1"/>
    <col min="5124" max="5124" width="9.33203125" style="852" bestFit="1" customWidth="1"/>
    <col min="5125" max="5125" width="13.44140625" style="852" customWidth="1"/>
    <col min="5126" max="5126" width="9" style="852"/>
    <col min="5127" max="5127" width="9.33203125" style="852" bestFit="1" customWidth="1"/>
    <col min="5128" max="5129" width="9" style="852"/>
    <col min="5130" max="5130" width="9.33203125" style="852" bestFit="1" customWidth="1"/>
    <col min="5131" max="5131" width="4" style="852" customWidth="1"/>
    <col min="5132" max="5132" width="5.109375" style="852" customWidth="1"/>
    <col min="5133" max="5133" width="13.77734375" style="852" customWidth="1"/>
    <col min="5134" max="5376" width="9" style="852"/>
    <col min="5377" max="5377" width="4.88671875" style="852" customWidth="1"/>
    <col min="5378" max="5378" width="13.21875" style="852" customWidth="1"/>
    <col min="5379" max="5379" width="15.6640625" style="852" customWidth="1"/>
    <col min="5380" max="5380" width="9.33203125" style="852" bestFit="1" customWidth="1"/>
    <col min="5381" max="5381" width="13.44140625" style="852" customWidth="1"/>
    <col min="5382" max="5382" width="9" style="852"/>
    <col min="5383" max="5383" width="9.33203125" style="852" bestFit="1" customWidth="1"/>
    <col min="5384" max="5385" width="9" style="852"/>
    <col min="5386" max="5386" width="9.33203125" style="852" bestFit="1" customWidth="1"/>
    <col min="5387" max="5387" width="4" style="852" customWidth="1"/>
    <col min="5388" max="5388" width="5.109375" style="852" customWidth="1"/>
    <col min="5389" max="5389" width="13.77734375" style="852" customWidth="1"/>
    <col min="5390" max="5632" width="9" style="852"/>
    <col min="5633" max="5633" width="4.88671875" style="852" customWidth="1"/>
    <col min="5634" max="5634" width="13.21875" style="852" customWidth="1"/>
    <col min="5635" max="5635" width="15.6640625" style="852" customWidth="1"/>
    <col min="5636" max="5636" width="9.33203125" style="852" bestFit="1" customWidth="1"/>
    <col min="5637" max="5637" width="13.44140625" style="852" customWidth="1"/>
    <col min="5638" max="5638" width="9" style="852"/>
    <col min="5639" max="5639" width="9.33203125" style="852" bestFit="1" customWidth="1"/>
    <col min="5640" max="5641" width="9" style="852"/>
    <col min="5642" max="5642" width="9.33203125" style="852" bestFit="1" customWidth="1"/>
    <col min="5643" max="5643" width="4" style="852" customWidth="1"/>
    <col min="5644" max="5644" width="5.109375" style="852" customWidth="1"/>
    <col min="5645" max="5645" width="13.77734375" style="852" customWidth="1"/>
    <col min="5646" max="5888" width="9" style="852"/>
    <col min="5889" max="5889" width="4.88671875" style="852" customWidth="1"/>
    <col min="5890" max="5890" width="13.21875" style="852" customWidth="1"/>
    <col min="5891" max="5891" width="15.6640625" style="852" customWidth="1"/>
    <col min="5892" max="5892" width="9.33203125" style="852" bestFit="1" customWidth="1"/>
    <col min="5893" max="5893" width="13.44140625" style="852" customWidth="1"/>
    <col min="5894" max="5894" width="9" style="852"/>
    <col min="5895" max="5895" width="9.33203125" style="852" bestFit="1" customWidth="1"/>
    <col min="5896" max="5897" width="9" style="852"/>
    <col min="5898" max="5898" width="9.33203125" style="852" bestFit="1" customWidth="1"/>
    <col min="5899" max="5899" width="4" style="852" customWidth="1"/>
    <col min="5900" max="5900" width="5.109375" style="852" customWidth="1"/>
    <col min="5901" max="5901" width="13.77734375" style="852" customWidth="1"/>
    <col min="5902" max="6144" width="9" style="852"/>
    <col min="6145" max="6145" width="4.88671875" style="852" customWidth="1"/>
    <col min="6146" max="6146" width="13.21875" style="852" customWidth="1"/>
    <col min="6147" max="6147" width="15.6640625" style="852" customWidth="1"/>
    <col min="6148" max="6148" width="9.33203125" style="852" bestFit="1" customWidth="1"/>
    <col min="6149" max="6149" width="13.44140625" style="852" customWidth="1"/>
    <col min="6150" max="6150" width="9" style="852"/>
    <col min="6151" max="6151" width="9.33203125" style="852" bestFit="1" customWidth="1"/>
    <col min="6152" max="6153" width="9" style="852"/>
    <col min="6154" max="6154" width="9.33203125" style="852" bestFit="1" customWidth="1"/>
    <col min="6155" max="6155" width="4" style="852" customWidth="1"/>
    <col min="6156" max="6156" width="5.109375" style="852" customWidth="1"/>
    <col min="6157" max="6157" width="13.77734375" style="852" customWidth="1"/>
    <col min="6158" max="6400" width="9" style="852"/>
    <col min="6401" max="6401" width="4.88671875" style="852" customWidth="1"/>
    <col min="6402" max="6402" width="13.21875" style="852" customWidth="1"/>
    <col min="6403" max="6403" width="15.6640625" style="852" customWidth="1"/>
    <col min="6404" max="6404" width="9.33203125" style="852" bestFit="1" customWidth="1"/>
    <col min="6405" max="6405" width="13.44140625" style="852" customWidth="1"/>
    <col min="6406" max="6406" width="9" style="852"/>
    <col min="6407" max="6407" width="9.33203125" style="852" bestFit="1" customWidth="1"/>
    <col min="6408" max="6409" width="9" style="852"/>
    <col min="6410" max="6410" width="9.33203125" style="852" bestFit="1" customWidth="1"/>
    <col min="6411" max="6411" width="4" style="852" customWidth="1"/>
    <col min="6412" max="6412" width="5.109375" style="852" customWidth="1"/>
    <col min="6413" max="6413" width="13.77734375" style="852" customWidth="1"/>
    <col min="6414" max="6656" width="9" style="852"/>
    <col min="6657" max="6657" width="4.88671875" style="852" customWidth="1"/>
    <col min="6658" max="6658" width="13.21875" style="852" customWidth="1"/>
    <col min="6659" max="6659" width="15.6640625" style="852" customWidth="1"/>
    <col min="6660" max="6660" width="9.33203125" style="852" bestFit="1" customWidth="1"/>
    <col min="6661" max="6661" width="13.44140625" style="852" customWidth="1"/>
    <col min="6662" max="6662" width="9" style="852"/>
    <col min="6663" max="6663" width="9.33203125" style="852" bestFit="1" customWidth="1"/>
    <col min="6664" max="6665" width="9" style="852"/>
    <col min="6666" max="6666" width="9.33203125" style="852" bestFit="1" customWidth="1"/>
    <col min="6667" max="6667" width="4" style="852" customWidth="1"/>
    <col min="6668" max="6668" width="5.109375" style="852" customWidth="1"/>
    <col min="6669" max="6669" width="13.77734375" style="852" customWidth="1"/>
    <col min="6670" max="6912" width="9" style="852"/>
    <col min="6913" max="6913" width="4.88671875" style="852" customWidth="1"/>
    <col min="6914" max="6914" width="13.21875" style="852" customWidth="1"/>
    <col min="6915" max="6915" width="15.6640625" style="852" customWidth="1"/>
    <col min="6916" max="6916" width="9.33203125" style="852" bestFit="1" customWidth="1"/>
    <col min="6917" max="6917" width="13.44140625" style="852" customWidth="1"/>
    <col min="6918" max="6918" width="9" style="852"/>
    <col min="6919" max="6919" width="9.33203125" style="852" bestFit="1" customWidth="1"/>
    <col min="6920" max="6921" width="9" style="852"/>
    <col min="6922" max="6922" width="9.33203125" style="852" bestFit="1" customWidth="1"/>
    <col min="6923" max="6923" width="4" style="852" customWidth="1"/>
    <col min="6924" max="6924" width="5.109375" style="852" customWidth="1"/>
    <col min="6925" max="6925" width="13.77734375" style="852" customWidth="1"/>
    <col min="6926" max="7168" width="9" style="852"/>
    <col min="7169" max="7169" width="4.88671875" style="852" customWidth="1"/>
    <col min="7170" max="7170" width="13.21875" style="852" customWidth="1"/>
    <col min="7171" max="7171" width="15.6640625" style="852" customWidth="1"/>
    <col min="7172" max="7172" width="9.33203125" style="852" bestFit="1" customWidth="1"/>
    <col min="7173" max="7173" width="13.44140625" style="852" customWidth="1"/>
    <col min="7174" max="7174" width="9" style="852"/>
    <col min="7175" max="7175" width="9.33203125" style="852" bestFit="1" customWidth="1"/>
    <col min="7176" max="7177" width="9" style="852"/>
    <col min="7178" max="7178" width="9.33203125" style="852" bestFit="1" customWidth="1"/>
    <col min="7179" max="7179" width="4" style="852" customWidth="1"/>
    <col min="7180" max="7180" width="5.109375" style="852" customWidth="1"/>
    <col min="7181" max="7181" width="13.77734375" style="852" customWidth="1"/>
    <col min="7182" max="7424" width="9" style="852"/>
    <col min="7425" max="7425" width="4.88671875" style="852" customWidth="1"/>
    <col min="7426" max="7426" width="13.21875" style="852" customWidth="1"/>
    <col min="7427" max="7427" width="15.6640625" style="852" customWidth="1"/>
    <col min="7428" max="7428" width="9.33203125" style="852" bestFit="1" customWidth="1"/>
    <col min="7429" max="7429" width="13.44140625" style="852" customWidth="1"/>
    <col min="7430" max="7430" width="9" style="852"/>
    <col min="7431" max="7431" width="9.33203125" style="852" bestFit="1" customWidth="1"/>
    <col min="7432" max="7433" width="9" style="852"/>
    <col min="7434" max="7434" width="9.33203125" style="852" bestFit="1" customWidth="1"/>
    <col min="7435" max="7435" width="4" style="852" customWidth="1"/>
    <col min="7436" max="7436" width="5.109375" style="852" customWidth="1"/>
    <col min="7437" max="7437" width="13.77734375" style="852" customWidth="1"/>
    <col min="7438" max="7680" width="9" style="852"/>
    <col min="7681" max="7681" width="4.88671875" style="852" customWidth="1"/>
    <col min="7682" max="7682" width="13.21875" style="852" customWidth="1"/>
    <col min="7683" max="7683" width="15.6640625" style="852" customWidth="1"/>
    <col min="7684" max="7684" width="9.33203125" style="852" bestFit="1" customWidth="1"/>
    <col min="7685" max="7685" width="13.44140625" style="852" customWidth="1"/>
    <col min="7686" max="7686" width="9" style="852"/>
    <col min="7687" max="7687" width="9.33203125" style="852" bestFit="1" customWidth="1"/>
    <col min="7688" max="7689" width="9" style="852"/>
    <col min="7690" max="7690" width="9.33203125" style="852" bestFit="1" customWidth="1"/>
    <col min="7691" max="7691" width="4" style="852" customWidth="1"/>
    <col min="7692" max="7692" width="5.109375" style="852" customWidth="1"/>
    <col min="7693" max="7693" width="13.77734375" style="852" customWidth="1"/>
    <col min="7694" max="7936" width="9" style="852"/>
    <col min="7937" max="7937" width="4.88671875" style="852" customWidth="1"/>
    <col min="7938" max="7938" width="13.21875" style="852" customWidth="1"/>
    <col min="7939" max="7939" width="15.6640625" style="852" customWidth="1"/>
    <col min="7940" max="7940" width="9.33203125" style="852" bestFit="1" customWidth="1"/>
    <col min="7941" max="7941" width="13.44140625" style="852" customWidth="1"/>
    <col min="7942" max="7942" width="9" style="852"/>
    <col min="7943" max="7943" width="9.33203125" style="852" bestFit="1" customWidth="1"/>
    <col min="7944" max="7945" width="9" style="852"/>
    <col min="7946" max="7946" width="9.33203125" style="852" bestFit="1" customWidth="1"/>
    <col min="7947" max="7947" width="4" style="852" customWidth="1"/>
    <col min="7948" max="7948" width="5.109375" style="852" customWidth="1"/>
    <col min="7949" max="7949" width="13.77734375" style="852" customWidth="1"/>
    <col min="7950" max="8192" width="9" style="852"/>
    <col min="8193" max="8193" width="4.88671875" style="852" customWidth="1"/>
    <col min="8194" max="8194" width="13.21875" style="852" customWidth="1"/>
    <col min="8195" max="8195" width="15.6640625" style="852" customWidth="1"/>
    <col min="8196" max="8196" width="9.33203125" style="852" bestFit="1" customWidth="1"/>
    <col min="8197" max="8197" width="13.44140625" style="852" customWidth="1"/>
    <col min="8198" max="8198" width="9" style="852"/>
    <col min="8199" max="8199" width="9.33203125" style="852" bestFit="1" customWidth="1"/>
    <col min="8200" max="8201" width="9" style="852"/>
    <col min="8202" max="8202" width="9.33203125" style="852" bestFit="1" customWidth="1"/>
    <col min="8203" max="8203" width="4" style="852" customWidth="1"/>
    <col min="8204" max="8204" width="5.109375" style="852" customWidth="1"/>
    <col min="8205" max="8205" width="13.77734375" style="852" customWidth="1"/>
    <col min="8206" max="8448" width="9" style="852"/>
    <col min="8449" max="8449" width="4.88671875" style="852" customWidth="1"/>
    <col min="8450" max="8450" width="13.21875" style="852" customWidth="1"/>
    <col min="8451" max="8451" width="15.6640625" style="852" customWidth="1"/>
    <col min="8452" max="8452" width="9.33203125" style="852" bestFit="1" customWidth="1"/>
    <col min="8453" max="8453" width="13.44140625" style="852" customWidth="1"/>
    <col min="8454" max="8454" width="9" style="852"/>
    <col min="8455" max="8455" width="9.33203125" style="852" bestFit="1" customWidth="1"/>
    <col min="8456" max="8457" width="9" style="852"/>
    <col min="8458" max="8458" width="9.33203125" style="852" bestFit="1" customWidth="1"/>
    <col min="8459" max="8459" width="4" style="852" customWidth="1"/>
    <col min="8460" max="8460" width="5.109375" style="852" customWidth="1"/>
    <col min="8461" max="8461" width="13.77734375" style="852" customWidth="1"/>
    <col min="8462" max="8704" width="9" style="852"/>
    <col min="8705" max="8705" width="4.88671875" style="852" customWidth="1"/>
    <col min="8706" max="8706" width="13.21875" style="852" customWidth="1"/>
    <col min="8707" max="8707" width="15.6640625" style="852" customWidth="1"/>
    <col min="8708" max="8708" width="9.33203125" style="852" bestFit="1" customWidth="1"/>
    <col min="8709" max="8709" width="13.44140625" style="852" customWidth="1"/>
    <col min="8710" max="8710" width="9" style="852"/>
    <col min="8711" max="8711" width="9.33203125" style="852" bestFit="1" customWidth="1"/>
    <col min="8712" max="8713" width="9" style="852"/>
    <col min="8714" max="8714" width="9.33203125" style="852" bestFit="1" customWidth="1"/>
    <col min="8715" max="8715" width="4" style="852" customWidth="1"/>
    <col min="8716" max="8716" width="5.109375" style="852" customWidth="1"/>
    <col min="8717" max="8717" width="13.77734375" style="852" customWidth="1"/>
    <col min="8718" max="8960" width="9" style="852"/>
    <col min="8961" max="8961" width="4.88671875" style="852" customWidth="1"/>
    <col min="8962" max="8962" width="13.21875" style="852" customWidth="1"/>
    <col min="8963" max="8963" width="15.6640625" style="852" customWidth="1"/>
    <col min="8964" max="8964" width="9.33203125" style="852" bestFit="1" customWidth="1"/>
    <col min="8965" max="8965" width="13.44140625" style="852" customWidth="1"/>
    <col min="8966" max="8966" width="9" style="852"/>
    <col min="8967" max="8967" width="9.33203125" style="852" bestFit="1" customWidth="1"/>
    <col min="8968" max="8969" width="9" style="852"/>
    <col min="8970" max="8970" width="9.33203125" style="852" bestFit="1" customWidth="1"/>
    <col min="8971" max="8971" width="4" style="852" customWidth="1"/>
    <col min="8972" max="8972" width="5.109375" style="852" customWidth="1"/>
    <col min="8973" max="8973" width="13.77734375" style="852" customWidth="1"/>
    <col min="8974" max="9216" width="9" style="852"/>
    <col min="9217" max="9217" width="4.88671875" style="852" customWidth="1"/>
    <col min="9218" max="9218" width="13.21875" style="852" customWidth="1"/>
    <col min="9219" max="9219" width="15.6640625" style="852" customWidth="1"/>
    <col min="9220" max="9220" width="9.33203125" style="852" bestFit="1" customWidth="1"/>
    <col min="9221" max="9221" width="13.44140625" style="852" customWidth="1"/>
    <col min="9222" max="9222" width="9" style="852"/>
    <col min="9223" max="9223" width="9.33203125" style="852" bestFit="1" customWidth="1"/>
    <col min="9224" max="9225" width="9" style="852"/>
    <col min="9226" max="9226" width="9.33203125" style="852" bestFit="1" customWidth="1"/>
    <col min="9227" max="9227" width="4" style="852" customWidth="1"/>
    <col min="9228" max="9228" width="5.109375" style="852" customWidth="1"/>
    <col min="9229" max="9229" width="13.77734375" style="852" customWidth="1"/>
    <col min="9230" max="9472" width="9" style="852"/>
    <col min="9473" max="9473" width="4.88671875" style="852" customWidth="1"/>
    <col min="9474" max="9474" width="13.21875" style="852" customWidth="1"/>
    <col min="9475" max="9475" width="15.6640625" style="852" customWidth="1"/>
    <col min="9476" max="9476" width="9.33203125" style="852" bestFit="1" customWidth="1"/>
    <col min="9477" max="9477" width="13.44140625" style="852" customWidth="1"/>
    <col min="9478" max="9478" width="9" style="852"/>
    <col min="9479" max="9479" width="9.33203125" style="852" bestFit="1" customWidth="1"/>
    <col min="9480" max="9481" width="9" style="852"/>
    <col min="9482" max="9482" width="9.33203125" style="852" bestFit="1" customWidth="1"/>
    <col min="9483" max="9483" width="4" style="852" customWidth="1"/>
    <col min="9484" max="9484" width="5.109375" style="852" customWidth="1"/>
    <col min="9485" max="9485" width="13.77734375" style="852" customWidth="1"/>
    <col min="9486" max="9728" width="9" style="852"/>
    <col min="9729" max="9729" width="4.88671875" style="852" customWidth="1"/>
    <col min="9730" max="9730" width="13.21875" style="852" customWidth="1"/>
    <col min="9731" max="9731" width="15.6640625" style="852" customWidth="1"/>
    <col min="9732" max="9732" width="9.33203125" style="852" bestFit="1" customWidth="1"/>
    <col min="9733" max="9733" width="13.44140625" style="852" customWidth="1"/>
    <col min="9734" max="9734" width="9" style="852"/>
    <col min="9735" max="9735" width="9.33203125" style="852" bestFit="1" customWidth="1"/>
    <col min="9736" max="9737" width="9" style="852"/>
    <col min="9738" max="9738" width="9.33203125" style="852" bestFit="1" customWidth="1"/>
    <col min="9739" max="9739" width="4" style="852" customWidth="1"/>
    <col min="9740" max="9740" width="5.109375" style="852" customWidth="1"/>
    <col min="9741" max="9741" width="13.77734375" style="852" customWidth="1"/>
    <col min="9742" max="9984" width="9" style="852"/>
    <col min="9985" max="9985" width="4.88671875" style="852" customWidth="1"/>
    <col min="9986" max="9986" width="13.21875" style="852" customWidth="1"/>
    <col min="9987" max="9987" width="15.6640625" style="852" customWidth="1"/>
    <col min="9988" max="9988" width="9.33203125" style="852" bestFit="1" customWidth="1"/>
    <col min="9989" max="9989" width="13.44140625" style="852" customWidth="1"/>
    <col min="9990" max="9990" width="9" style="852"/>
    <col min="9991" max="9991" width="9.33203125" style="852" bestFit="1" customWidth="1"/>
    <col min="9992" max="9993" width="9" style="852"/>
    <col min="9994" max="9994" width="9.33203125" style="852" bestFit="1" customWidth="1"/>
    <col min="9995" max="9995" width="4" style="852" customWidth="1"/>
    <col min="9996" max="9996" width="5.109375" style="852" customWidth="1"/>
    <col min="9997" max="9997" width="13.77734375" style="852" customWidth="1"/>
    <col min="9998" max="10240" width="9" style="852"/>
    <col min="10241" max="10241" width="4.88671875" style="852" customWidth="1"/>
    <col min="10242" max="10242" width="13.21875" style="852" customWidth="1"/>
    <col min="10243" max="10243" width="15.6640625" style="852" customWidth="1"/>
    <col min="10244" max="10244" width="9.33203125" style="852" bestFit="1" customWidth="1"/>
    <col min="10245" max="10245" width="13.44140625" style="852" customWidth="1"/>
    <col min="10246" max="10246" width="9" style="852"/>
    <col min="10247" max="10247" width="9.33203125" style="852" bestFit="1" customWidth="1"/>
    <col min="10248" max="10249" width="9" style="852"/>
    <col min="10250" max="10250" width="9.33203125" style="852" bestFit="1" customWidth="1"/>
    <col min="10251" max="10251" width="4" style="852" customWidth="1"/>
    <col min="10252" max="10252" width="5.109375" style="852" customWidth="1"/>
    <col min="10253" max="10253" width="13.77734375" style="852" customWidth="1"/>
    <col min="10254" max="10496" width="9" style="852"/>
    <col min="10497" max="10497" width="4.88671875" style="852" customWidth="1"/>
    <col min="10498" max="10498" width="13.21875" style="852" customWidth="1"/>
    <col min="10499" max="10499" width="15.6640625" style="852" customWidth="1"/>
    <col min="10500" max="10500" width="9.33203125" style="852" bestFit="1" customWidth="1"/>
    <col min="10501" max="10501" width="13.44140625" style="852" customWidth="1"/>
    <col min="10502" max="10502" width="9" style="852"/>
    <col min="10503" max="10503" width="9.33203125" style="852" bestFit="1" customWidth="1"/>
    <col min="10504" max="10505" width="9" style="852"/>
    <col min="10506" max="10506" width="9.33203125" style="852" bestFit="1" customWidth="1"/>
    <col min="10507" max="10507" width="4" style="852" customWidth="1"/>
    <col min="10508" max="10508" width="5.109375" style="852" customWidth="1"/>
    <col min="10509" max="10509" width="13.77734375" style="852" customWidth="1"/>
    <col min="10510" max="10752" width="9" style="852"/>
    <col min="10753" max="10753" width="4.88671875" style="852" customWidth="1"/>
    <col min="10754" max="10754" width="13.21875" style="852" customWidth="1"/>
    <col min="10755" max="10755" width="15.6640625" style="852" customWidth="1"/>
    <col min="10756" max="10756" width="9.33203125" style="852" bestFit="1" customWidth="1"/>
    <col min="10757" max="10757" width="13.44140625" style="852" customWidth="1"/>
    <col min="10758" max="10758" width="9" style="852"/>
    <col min="10759" max="10759" width="9.33203125" style="852" bestFit="1" customWidth="1"/>
    <col min="10760" max="10761" width="9" style="852"/>
    <col min="10762" max="10762" width="9.33203125" style="852" bestFit="1" customWidth="1"/>
    <col min="10763" max="10763" width="4" style="852" customWidth="1"/>
    <col min="10764" max="10764" width="5.109375" style="852" customWidth="1"/>
    <col min="10765" max="10765" width="13.77734375" style="852" customWidth="1"/>
    <col min="10766" max="11008" width="9" style="852"/>
    <col min="11009" max="11009" width="4.88671875" style="852" customWidth="1"/>
    <col min="11010" max="11010" width="13.21875" style="852" customWidth="1"/>
    <col min="11011" max="11011" width="15.6640625" style="852" customWidth="1"/>
    <col min="11012" max="11012" width="9.33203125" style="852" bestFit="1" customWidth="1"/>
    <col min="11013" max="11013" width="13.44140625" style="852" customWidth="1"/>
    <col min="11014" max="11014" width="9" style="852"/>
    <col min="11015" max="11015" width="9.33203125" style="852" bestFit="1" customWidth="1"/>
    <col min="11016" max="11017" width="9" style="852"/>
    <col min="11018" max="11018" width="9.33203125" style="852" bestFit="1" customWidth="1"/>
    <col min="11019" max="11019" width="4" style="852" customWidth="1"/>
    <col min="11020" max="11020" width="5.109375" style="852" customWidth="1"/>
    <col min="11021" max="11021" width="13.77734375" style="852" customWidth="1"/>
    <col min="11022" max="11264" width="9" style="852"/>
    <col min="11265" max="11265" width="4.88671875" style="852" customWidth="1"/>
    <col min="11266" max="11266" width="13.21875" style="852" customWidth="1"/>
    <col min="11267" max="11267" width="15.6640625" style="852" customWidth="1"/>
    <col min="11268" max="11268" width="9.33203125" style="852" bestFit="1" customWidth="1"/>
    <col min="11269" max="11269" width="13.44140625" style="852" customWidth="1"/>
    <col min="11270" max="11270" width="9" style="852"/>
    <col min="11271" max="11271" width="9.33203125" style="852" bestFit="1" customWidth="1"/>
    <col min="11272" max="11273" width="9" style="852"/>
    <col min="11274" max="11274" width="9.33203125" style="852" bestFit="1" customWidth="1"/>
    <col min="11275" max="11275" width="4" style="852" customWidth="1"/>
    <col min="11276" max="11276" width="5.109375" style="852" customWidth="1"/>
    <col min="11277" max="11277" width="13.77734375" style="852" customWidth="1"/>
    <col min="11278" max="11520" width="9" style="852"/>
    <col min="11521" max="11521" width="4.88671875" style="852" customWidth="1"/>
    <col min="11522" max="11522" width="13.21875" style="852" customWidth="1"/>
    <col min="11523" max="11523" width="15.6640625" style="852" customWidth="1"/>
    <col min="11524" max="11524" width="9.33203125" style="852" bestFit="1" customWidth="1"/>
    <col min="11525" max="11525" width="13.44140625" style="852" customWidth="1"/>
    <col min="11526" max="11526" width="9" style="852"/>
    <col min="11527" max="11527" width="9.33203125" style="852" bestFit="1" customWidth="1"/>
    <col min="11528" max="11529" width="9" style="852"/>
    <col min="11530" max="11530" width="9.33203125" style="852" bestFit="1" customWidth="1"/>
    <col min="11531" max="11531" width="4" style="852" customWidth="1"/>
    <col min="11532" max="11532" width="5.109375" style="852" customWidth="1"/>
    <col min="11533" max="11533" width="13.77734375" style="852" customWidth="1"/>
    <col min="11534" max="11776" width="9" style="852"/>
    <col min="11777" max="11777" width="4.88671875" style="852" customWidth="1"/>
    <col min="11778" max="11778" width="13.21875" style="852" customWidth="1"/>
    <col min="11779" max="11779" width="15.6640625" style="852" customWidth="1"/>
    <col min="11780" max="11780" width="9.33203125" style="852" bestFit="1" customWidth="1"/>
    <col min="11781" max="11781" width="13.44140625" style="852" customWidth="1"/>
    <col min="11782" max="11782" width="9" style="852"/>
    <col min="11783" max="11783" width="9.33203125" style="852" bestFit="1" customWidth="1"/>
    <col min="11784" max="11785" width="9" style="852"/>
    <col min="11786" max="11786" width="9.33203125" style="852" bestFit="1" customWidth="1"/>
    <col min="11787" max="11787" width="4" style="852" customWidth="1"/>
    <col min="11788" max="11788" width="5.109375" style="852" customWidth="1"/>
    <col min="11789" max="11789" width="13.77734375" style="852" customWidth="1"/>
    <col min="11790" max="12032" width="9" style="852"/>
    <col min="12033" max="12033" width="4.88671875" style="852" customWidth="1"/>
    <col min="12034" max="12034" width="13.21875" style="852" customWidth="1"/>
    <col min="12035" max="12035" width="15.6640625" style="852" customWidth="1"/>
    <col min="12036" max="12036" width="9.33203125" style="852" bestFit="1" customWidth="1"/>
    <col min="12037" max="12037" width="13.44140625" style="852" customWidth="1"/>
    <col min="12038" max="12038" width="9" style="852"/>
    <col min="12039" max="12039" width="9.33203125" style="852" bestFit="1" customWidth="1"/>
    <col min="12040" max="12041" width="9" style="852"/>
    <col min="12042" max="12042" width="9.33203125" style="852" bestFit="1" customWidth="1"/>
    <col min="12043" max="12043" width="4" style="852" customWidth="1"/>
    <col min="12044" max="12044" width="5.109375" style="852" customWidth="1"/>
    <col min="12045" max="12045" width="13.77734375" style="852" customWidth="1"/>
    <col min="12046" max="12288" width="9" style="852"/>
    <col min="12289" max="12289" width="4.88671875" style="852" customWidth="1"/>
    <col min="12290" max="12290" width="13.21875" style="852" customWidth="1"/>
    <col min="12291" max="12291" width="15.6640625" style="852" customWidth="1"/>
    <col min="12292" max="12292" width="9.33203125" style="852" bestFit="1" customWidth="1"/>
    <col min="12293" max="12293" width="13.44140625" style="852" customWidth="1"/>
    <col min="12294" max="12294" width="9" style="852"/>
    <col min="12295" max="12295" width="9.33203125" style="852" bestFit="1" customWidth="1"/>
    <col min="12296" max="12297" width="9" style="852"/>
    <col min="12298" max="12298" width="9.33203125" style="852" bestFit="1" customWidth="1"/>
    <col min="12299" max="12299" width="4" style="852" customWidth="1"/>
    <col min="12300" max="12300" width="5.109375" style="852" customWidth="1"/>
    <col min="12301" max="12301" width="13.77734375" style="852" customWidth="1"/>
    <col min="12302" max="12544" width="9" style="852"/>
    <col min="12545" max="12545" width="4.88671875" style="852" customWidth="1"/>
    <col min="12546" max="12546" width="13.21875" style="852" customWidth="1"/>
    <col min="12547" max="12547" width="15.6640625" style="852" customWidth="1"/>
    <col min="12548" max="12548" width="9.33203125" style="852" bestFit="1" customWidth="1"/>
    <col min="12549" max="12549" width="13.44140625" style="852" customWidth="1"/>
    <col min="12550" max="12550" width="9" style="852"/>
    <col min="12551" max="12551" width="9.33203125" style="852" bestFit="1" customWidth="1"/>
    <col min="12552" max="12553" width="9" style="852"/>
    <col min="12554" max="12554" width="9.33203125" style="852" bestFit="1" customWidth="1"/>
    <col min="12555" max="12555" width="4" style="852" customWidth="1"/>
    <col min="12556" max="12556" width="5.109375" style="852" customWidth="1"/>
    <col min="12557" max="12557" width="13.77734375" style="852" customWidth="1"/>
    <col min="12558" max="12800" width="9" style="852"/>
    <col min="12801" max="12801" width="4.88671875" style="852" customWidth="1"/>
    <col min="12802" max="12802" width="13.21875" style="852" customWidth="1"/>
    <col min="12803" max="12803" width="15.6640625" style="852" customWidth="1"/>
    <col min="12804" max="12804" width="9.33203125" style="852" bestFit="1" customWidth="1"/>
    <col min="12805" max="12805" width="13.44140625" style="852" customWidth="1"/>
    <col min="12806" max="12806" width="9" style="852"/>
    <col min="12807" max="12807" width="9.33203125" style="852" bestFit="1" customWidth="1"/>
    <col min="12808" max="12809" width="9" style="852"/>
    <col min="12810" max="12810" width="9.33203125" style="852" bestFit="1" customWidth="1"/>
    <col min="12811" max="12811" width="4" style="852" customWidth="1"/>
    <col min="12812" max="12812" width="5.109375" style="852" customWidth="1"/>
    <col min="12813" max="12813" width="13.77734375" style="852" customWidth="1"/>
    <col min="12814" max="13056" width="9" style="852"/>
    <col min="13057" max="13057" width="4.88671875" style="852" customWidth="1"/>
    <col min="13058" max="13058" width="13.21875" style="852" customWidth="1"/>
    <col min="13059" max="13059" width="15.6640625" style="852" customWidth="1"/>
    <col min="13060" max="13060" width="9.33203125" style="852" bestFit="1" customWidth="1"/>
    <col min="13061" max="13061" width="13.44140625" style="852" customWidth="1"/>
    <col min="13062" max="13062" width="9" style="852"/>
    <col min="13063" max="13063" width="9.33203125" style="852" bestFit="1" customWidth="1"/>
    <col min="13064" max="13065" width="9" style="852"/>
    <col min="13066" max="13066" width="9.33203125" style="852" bestFit="1" customWidth="1"/>
    <col min="13067" max="13067" width="4" style="852" customWidth="1"/>
    <col min="13068" max="13068" width="5.109375" style="852" customWidth="1"/>
    <col min="13069" max="13069" width="13.77734375" style="852" customWidth="1"/>
    <col min="13070" max="13312" width="9" style="852"/>
    <col min="13313" max="13313" width="4.88671875" style="852" customWidth="1"/>
    <col min="13314" max="13314" width="13.21875" style="852" customWidth="1"/>
    <col min="13315" max="13315" width="15.6640625" style="852" customWidth="1"/>
    <col min="13316" max="13316" width="9.33203125" style="852" bestFit="1" customWidth="1"/>
    <col min="13317" max="13317" width="13.44140625" style="852" customWidth="1"/>
    <col min="13318" max="13318" width="9" style="852"/>
    <col min="13319" max="13319" width="9.33203125" style="852" bestFit="1" customWidth="1"/>
    <col min="13320" max="13321" width="9" style="852"/>
    <col min="13322" max="13322" width="9.33203125" style="852" bestFit="1" customWidth="1"/>
    <col min="13323" max="13323" width="4" style="852" customWidth="1"/>
    <col min="13324" max="13324" width="5.109375" style="852" customWidth="1"/>
    <col min="13325" max="13325" width="13.77734375" style="852" customWidth="1"/>
    <col min="13326" max="13568" width="9" style="852"/>
    <col min="13569" max="13569" width="4.88671875" style="852" customWidth="1"/>
    <col min="13570" max="13570" width="13.21875" style="852" customWidth="1"/>
    <col min="13571" max="13571" width="15.6640625" style="852" customWidth="1"/>
    <col min="13572" max="13572" width="9.33203125" style="852" bestFit="1" customWidth="1"/>
    <col min="13573" max="13573" width="13.44140625" style="852" customWidth="1"/>
    <col min="13574" max="13574" width="9" style="852"/>
    <col min="13575" max="13575" width="9.33203125" style="852" bestFit="1" customWidth="1"/>
    <col min="13576" max="13577" width="9" style="852"/>
    <col min="13578" max="13578" width="9.33203125" style="852" bestFit="1" customWidth="1"/>
    <col min="13579" max="13579" width="4" style="852" customWidth="1"/>
    <col min="13580" max="13580" width="5.109375" style="852" customWidth="1"/>
    <col min="13581" max="13581" width="13.77734375" style="852" customWidth="1"/>
    <col min="13582" max="13824" width="9" style="852"/>
    <col min="13825" max="13825" width="4.88671875" style="852" customWidth="1"/>
    <col min="13826" max="13826" width="13.21875" style="852" customWidth="1"/>
    <col min="13827" max="13827" width="15.6640625" style="852" customWidth="1"/>
    <col min="13828" max="13828" width="9.33203125" style="852" bestFit="1" customWidth="1"/>
    <col min="13829" max="13829" width="13.44140625" style="852" customWidth="1"/>
    <col min="13830" max="13830" width="9" style="852"/>
    <col min="13831" max="13831" width="9.33203125" style="852" bestFit="1" customWidth="1"/>
    <col min="13832" max="13833" width="9" style="852"/>
    <col min="13834" max="13834" width="9.33203125" style="852" bestFit="1" customWidth="1"/>
    <col min="13835" max="13835" width="4" style="852" customWidth="1"/>
    <col min="13836" max="13836" width="5.109375" style="852" customWidth="1"/>
    <col min="13837" max="13837" width="13.77734375" style="852" customWidth="1"/>
    <col min="13838" max="14080" width="9" style="852"/>
    <col min="14081" max="14081" width="4.88671875" style="852" customWidth="1"/>
    <col min="14082" max="14082" width="13.21875" style="852" customWidth="1"/>
    <col min="14083" max="14083" width="15.6640625" style="852" customWidth="1"/>
    <col min="14084" max="14084" width="9.33203125" style="852" bestFit="1" customWidth="1"/>
    <col min="14085" max="14085" width="13.44140625" style="852" customWidth="1"/>
    <col min="14086" max="14086" width="9" style="852"/>
    <col min="14087" max="14087" width="9.33203125" style="852" bestFit="1" customWidth="1"/>
    <col min="14088" max="14089" width="9" style="852"/>
    <col min="14090" max="14090" width="9.33203125" style="852" bestFit="1" customWidth="1"/>
    <col min="14091" max="14091" width="4" style="852" customWidth="1"/>
    <col min="14092" max="14092" width="5.109375" style="852" customWidth="1"/>
    <col min="14093" max="14093" width="13.77734375" style="852" customWidth="1"/>
    <col min="14094" max="14336" width="9" style="852"/>
    <col min="14337" max="14337" width="4.88671875" style="852" customWidth="1"/>
    <col min="14338" max="14338" width="13.21875" style="852" customWidth="1"/>
    <col min="14339" max="14339" width="15.6640625" style="852" customWidth="1"/>
    <col min="14340" max="14340" width="9.33203125" style="852" bestFit="1" customWidth="1"/>
    <col min="14341" max="14341" width="13.44140625" style="852" customWidth="1"/>
    <col min="14342" max="14342" width="9" style="852"/>
    <col min="14343" max="14343" width="9.33203125" style="852" bestFit="1" customWidth="1"/>
    <col min="14344" max="14345" width="9" style="852"/>
    <col min="14346" max="14346" width="9.33203125" style="852" bestFit="1" customWidth="1"/>
    <col min="14347" max="14347" width="4" style="852" customWidth="1"/>
    <col min="14348" max="14348" width="5.109375" style="852" customWidth="1"/>
    <col min="14349" max="14349" width="13.77734375" style="852" customWidth="1"/>
    <col min="14350" max="14592" width="9" style="852"/>
    <col min="14593" max="14593" width="4.88671875" style="852" customWidth="1"/>
    <col min="14594" max="14594" width="13.21875" style="852" customWidth="1"/>
    <col min="14595" max="14595" width="15.6640625" style="852" customWidth="1"/>
    <col min="14596" max="14596" width="9.33203125" style="852" bestFit="1" customWidth="1"/>
    <col min="14597" max="14597" width="13.44140625" style="852" customWidth="1"/>
    <col min="14598" max="14598" width="9" style="852"/>
    <col min="14599" max="14599" width="9.33203125" style="852" bestFit="1" customWidth="1"/>
    <col min="14600" max="14601" width="9" style="852"/>
    <col min="14602" max="14602" width="9.33203125" style="852" bestFit="1" customWidth="1"/>
    <col min="14603" max="14603" width="4" style="852" customWidth="1"/>
    <col min="14604" max="14604" width="5.109375" style="852" customWidth="1"/>
    <col min="14605" max="14605" width="13.77734375" style="852" customWidth="1"/>
    <col min="14606" max="14848" width="9" style="852"/>
    <col min="14849" max="14849" width="4.88671875" style="852" customWidth="1"/>
    <col min="14850" max="14850" width="13.21875" style="852" customWidth="1"/>
    <col min="14851" max="14851" width="15.6640625" style="852" customWidth="1"/>
    <col min="14852" max="14852" width="9.33203125" style="852" bestFit="1" customWidth="1"/>
    <col min="14853" max="14853" width="13.44140625" style="852" customWidth="1"/>
    <col min="14854" max="14854" width="9" style="852"/>
    <col min="14855" max="14855" width="9.33203125" style="852" bestFit="1" customWidth="1"/>
    <col min="14856" max="14857" width="9" style="852"/>
    <col min="14858" max="14858" width="9.33203125" style="852" bestFit="1" customWidth="1"/>
    <col min="14859" max="14859" width="4" style="852" customWidth="1"/>
    <col min="14860" max="14860" width="5.109375" style="852" customWidth="1"/>
    <col min="14861" max="14861" width="13.77734375" style="852" customWidth="1"/>
    <col min="14862" max="15104" width="9" style="852"/>
    <col min="15105" max="15105" width="4.88671875" style="852" customWidth="1"/>
    <col min="15106" max="15106" width="13.21875" style="852" customWidth="1"/>
    <col min="15107" max="15107" width="15.6640625" style="852" customWidth="1"/>
    <col min="15108" max="15108" width="9.33203125" style="852" bestFit="1" customWidth="1"/>
    <col min="15109" max="15109" width="13.44140625" style="852" customWidth="1"/>
    <col min="15110" max="15110" width="9" style="852"/>
    <col min="15111" max="15111" width="9.33203125" style="852" bestFit="1" customWidth="1"/>
    <col min="15112" max="15113" width="9" style="852"/>
    <col min="15114" max="15114" width="9.33203125" style="852" bestFit="1" customWidth="1"/>
    <col min="15115" max="15115" width="4" style="852" customWidth="1"/>
    <col min="15116" max="15116" width="5.109375" style="852" customWidth="1"/>
    <col min="15117" max="15117" width="13.77734375" style="852" customWidth="1"/>
    <col min="15118" max="15360" width="9" style="852"/>
    <col min="15361" max="15361" width="4.88671875" style="852" customWidth="1"/>
    <col min="15362" max="15362" width="13.21875" style="852" customWidth="1"/>
    <col min="15363" max="15363" width="15.6640625" style="852" customWidth="1"/>
    <col min="15364" max="15364" width="9.33203125" style="852" bestFit="1" customWidth="1"/>
    <col min="15365" max="15365" width="13.44140625" style="852" customWidth="1"/>
    <col min="15366" max="15366" width="9" style="852"/>
    <col min="15367" max="15367" width="9.33203125" style="852" bestFit="1" customWidth="1"/>
    <col min="15368" max="15369" width="9" style="852"/>
    <col min="15370" max="15370" width="9.33203125" style="852" bestFit="1" customWidth="1"/>
    <col min="15371" max="15371" width="4" style="852" customWidth="1"/>
    <col min="15372" max="15372" width="5.109375" style="852" customWidth="1"/>
    <col min="15373" max="15373" width="13.77734375" style="852" customWidth="1"/>
    <col min="15374" max="15616" width="9" style="852"/>
    <col min="15617" max="15617" width="4.88671875" style="852" customWidth="1"/>
    <col min="15618" max="15618" width="13.21875" style="852" customWidth="1"/>
    <col min="15619" max="15619" width="15.6640625" style="852" customWidth="1"/>
    <col min="15620" max="15620" width="9.33203125" style="852" bestFit="1" customWidth="1"/>
    <col min="15621" max="15621" width="13.44140625" style="852" customWidth="1"/>
    <col min="15622" max="15622" width="9" style="852"/>
    <col min="15623" max="15623" width="9.33203125" style="852" bestFit="1" customWidth="1"/>
    <col min="15624" max="15625" width="9" style="852"/>
    <col min="15626" max="15626" width="9.33203125" style="852" bestFit="1" customWidth="1"/>
    <col min="15627" max="15627" width="4" style="852" customWidth="1"/>
    <col min="15628" max="15628" width="5.109375" style="852" customWidth="1"/>
    <col min="15629" max="15629" width="13.77734375" style="852" customWidth="1"/>
    <col min="15630" max="15872" width="9" style="852"/>
    <col min="15873" max="15873" width="4.88671875" style="852" customWidth="1"/>
    <col min="15874" max="15874" width="13.21875" style="852" customWidth="1"/>
    <col min="15875" max="15875" width="15.6640625" style="852" customWidth="1"/>
    <col min="15876" max="15876" width="9.33203125" style="852" bestFit="1" customWidth="1"/>
    <col min="15877" max="15877" width="13.44140625" style="852" customWidth="1"/>
    <col min="15878" max="15878" width="9" style="852"/>
    <col min="15879" max="15879" width="9.33203125" style="852" bestFit="1" customWidth="1"/>
    <col min="15880" max="15881" width="9" style="852"/>
    <col min="15882" max="15882" width="9.33203125" style="852" bestFit="1" customWidth="1"/>
    <col min="15883" max="15883" width="4" style="852" customWidth="1"/>
    <col min="15884" max="15884" width="5.109375" style="852" customWidth="1"/>
    <col min="15885" max="15885" width="13.77734375" style="852" customWidth="1"/>
    <col min="15886" max="16128" width="9" style="852"/>
    <col min="16129" max="16129" width="4.88671875" style="852" customWidth="1"/>
    <col min="16130" max="16130" width="13.21875" style="852" customWidth="1"/>
    <col min="16131" max="16131" width="15.6640625" style="852" customWidth="1"/>
    <col min="16132" max="16132" width="9.33203125" style="852" bestFit="1" customWidth="1"/>
    <col min="16133" max="16133" width="13.44140625" style="852" customWidth="1"/>
    <col min="16134" max="16134" width="9" style="852"/>
    <col min="16135" max="16135" width="9.33203125" style="852" bestFit="1" customWidth="1"/>
    <col min="16136" max="16137" width="9" style="852"/>
    <col min="16138" max="16138" width="9.33203125" style="852" bestFit="1" customWidth="1"/>
    <col min="16139" max="16139" width="4" style="852" customWidth="1"/>
    <col min="16140" max="16140" width="5.109375" style="852" customWidth="1"/>
    <col min="16141" max="16141" width="13.77734375" style="852" customWidth="1"/>
    <col min="16142" max="16384" width="9" style="852"/>
  </cols>
  <sheetData>
    <row r="1" spans="1:257" s="898" customFormat="1" ht="15" thickBot="1">
      <c r="A1" s="893"/>
      <c r="B1" s="899" t="s">
        <v>596</v>
      </c>
      <c r="C1" s="894">
        <f>项目基本情况!D3</f>
        <v>46049</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6"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399999999999999">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2">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31.2">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5.6">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5.6">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5.6">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5.6">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6.8">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5.6">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5.6">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5.6">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5.6">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5.6">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5.6">
      <c r="B27" s="884" t="s">
        <v>2200</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5.6">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361" t="s">
        <v>934</v>
      </c>
      <c r="B1" s="4361"/>
      <c r="C1" s="4361"/>
      <c r="D1" s="4361"/>
    </row>
    <row r="2" spans="1:4" ht="17.399999999999999">
      <c r="A2" s="4362" t="s">
        <v>918</v>
      </c>
      <c r="B2" s="4362"/>
      <c r="C2" s="4362"/>
      <c r="D2" s="4362"/>
    </row>
    <row r="3" spans="1:4" ht="17.399999999999999">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7.399999999999999">
      <c r="A6" s="4362" t="s">
        <v>924</v>
      </c>
      <c r="B6" s="4362"/>
      <c r="C6" s="4362"/>
      <c r="D6" s="4362"/>
    </row>
    <row r="7" spans="1:4" ht="17.399999999999999">
      <c r="A7" s="1077" t="s">
        <v>919</v>
      </c>
      <c r="B7" s="1079" t="s">
        <v>925</v>
      </c>
      <c r="C7" s="1077" t="s">
        <v>921</v>
      </c>
      <c r="D7" s="1077" t="s">
        <v>922</v>
      </c>
    </row>
    <row r="8" spans="1:4" ht="56.25" customHeight="1">
      <c r="A8" s="1083" t="s">
        <v>384</v>
      </c>
      <c r="B8" s="1083" t="s">
        <v>0</v>
      </c>
      <c r="C8" s="1080"/>
      <c r="D8" s="1081" t="s">
        <v>923</v>
      </c>
    </row>
    <row r="10" spans="1:4" ht="17.399999999999999">
      <c r="A10" s="1084" t="s">
        <v>926</v>
      </c>
    </row>
    <row r="11" spans="1:4" ht="30" customHeight="1">
      <c r="A11" s="4363" t="s">
        <v>927</v>
      </c>
      <c r="B11" s="4355"/>
      <c r="C11" s="4355"/>
      <c r="D11" s="4355"/>
    </row>
    <row r="12" spans="1:4" ht="15.6">
      <c r="A12" s="4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0"/>
      <c r="C12" s="4360"/>
      <c r="D12" s="4360"/>
    </row>
    <row r="13" spans="1:4" ht="30" customHeight="1">
      <c r="A13" s="4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0"/>
      <c r="C13" s="4360"/>
      <c r="D13" s="4360"/>
    </row>
    <row r="14" spans="1:4" ht="15.75" customHeight="1">
      <c r="A14" s="4355" t="str">
        <f>IF(项目基本情况!B8="抵押","4.本次评估估价师所知悉的法定优先受偿款情况说明如下：","——")</f>
        <v>4.本次评估估价师所知悉的法定优先受偿款情况说明如下：</v>
      </c>
      <c r="B14" s="4360"/>
      <c r="C14" s="4360"/>
      <c r="D14" s="4360"/>
    </row>
    <row r="15" spans="1:4" ht="42" customHeight="1">
      <c r="A15" s="4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5"/>
      <c r="C15" s="4355"/>
      <c r="D15" s="4355"/>
    </row>
    <row r="16" spans="1:4" ht="30" customHeight="1">
      <c r="A16" s="4357" t="s">
        <v>928</v>
      </c>
      <c r="B16" s="4357"/>
      <c r="C16" s="4357"/>
      <c r="D16" s="4357"/>
    </row>
    <row r="17" spans="1:4" ht="144" customHeight="1">
      <c r="A17" s="4357" t="s">
        <v>929</v>
      </c>
      <c r="B17" s="4357"/>
      <c r="C17" s="4357"/>
      <c r="D17" s="4357"/>
    </row>
    <row r="18" spans="1:4" ht="15.75" customHeight="1">
      <c r="A18" s="4355" t="str">
        <f>IF(项目基本情况!B8="抵押",结果表!K120,"——")</f>
        <v>故，本次评估不存在估价师知悉的法定优先受偿款</v>
      </c>
      <c r="B18" s="4355"/>
      <c r="C18" s="4355"/>
      <c r="D18" s="4355"/>
    </row>
    <row r="19" spans="1:4" ht="46.5" customHeight="1">
      <c r="A19" s="4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5"/>
      <c r="C19" s="4355"/>
      <c r="D19" s="4355"/>
    </row>
    <row r="20" spans="1:4" ht="57.75" customHeight="1">
      <c r="A20" s="4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55"/>
      <c r="C20" s="4355"/>
      <c r="D20" s="4355"/>
    </row>
    <row r="21" spans="1:4" ht="57.75" customHeight="1">
      <c r="A21" s="4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58"/>
      <c r="C21" s="4358"/>
      <c r="D21" s="4358"/>
    </row>
    <row r="22" spans="1:4" ht="18.75" customHeight="1">
      <c r="A22" s="4359" t="s">
        <v>930</v>
      </c>
      <c r="B22" s="4359"/>
      <c r="C22" s="4359"/>
      <c r="D22" s="4359"/>
    </row>
    <row r="23" spans="1:4">
      <c r="A23" s="1085"/>
      <c r="B23" s="1058"/>
      <c r="C23" s="1058"/>
      <c r="D23" s="1058"/>
    </row>
    <row r="24" spans="1:4">
      <c r="A24" s="1085"/>
      <c r="B24" s="1058"/>
      <c r="C24" s="1058"/>
      <c r="D24" s="1058"/>
    </row>
    <row r="25" spans="1:4" ht="17.399999999999999">
      <c r="A25" s="1086" t="s">
        <v>931</v>
      </c>
    </row>
    <row r="26" spans="1:4" ht="17.399999999999999">
      <c r="A26" s="1056"/>
    </row>
    <row r="27" spans="1:4" ht="17.399999999999999">
      <c r="A27" s="1056" t="s">
        <v>932</v>
      </c>
    </row>
    <row r="30" spans="1:4" ht="17.399999999999999">
      <c r="D30" s="1086" t="s">
        <v>933</v>
      </c>
    </row>
    <row r="31" spans="1:4" ht="13.5" customHeight="1">
      <c r="C31" s="4356">
        <v>42551</v>
      </c>
      <c r="D31" s="435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48" customWidth="1"/>
    <col min="3" max="10" width="12.44140625" style="1048" customWidth="1"/>
    <col min="11" max="16384" width="9" style="1048"/>
  </cols>
  <sheetData>
    <row r="1" spans="1:1" ht="17.399999999999999">
      <c r="A1" s="1076" t="s">
        <v>385</v>
      </c>
    </row>
    <row r="2" spans="1:1" ht="17.399999999999999">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2" customWidth="1"/>
    <col min="2" max="16384" width="14.44140625" style="1075"/>
  </cols>
  <sheetData>
    <row r="1" spans="1:7" s="1089" customFormat="1" ht="17.399999999999999">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4.4">
      <c r="A15" s="4369" t="s">
        <v>941</v>
      </c>
      <c r="B15" s="4364" t="s">
        <v>107</v>
      </c>
      <c r="C15" s="4365"/>
    </row>
    <row r="16" spans="1:7" ht="14.4">
      <c r="A16" s="4370"/>
      <c r="B16" s="4364" t="s">
        <v>40</v>
      </c>
      <c r="C16" s="4365"/>
    </row>
    <row r="17" spans="1:3" ht="14.4">
      <c r="A17" s="4370"/>
      <c r="B17" s="4367" t="s">
        <v>942</v>
      </c>
      <c r="C17" s="1099" t="s">
        <v>941</v>
      </c>
    </row>
    <row r="18" spans="1:3" ht="14.4">
      <c r="A18" s="4370"/>
      <c r="B18" s="4367"/>
      <c r="C18" s="1099" t="s">
        <v>943</v>
      </c>
    </row>
    <row r="19" spans="1:3" ht="14.4">
      <c r="A19" s="4370"/>
      <c r="B19" s="4367"/>
      <c r="C19" s="1099" t="s">
        <v>944</v>
      </c>
    </row>
    <row r="20" spans="1:3" ht="14.4">
      <c r="A20" s="4371"/>
      <c r="B20" s="4366" t="s">
        <v>945</v>
      </c>
      <c r="C20" s="4365"/>
    </row>
    <row r="21" spans="1:3" ht="14.4">
      <c r="A21" s="1100" t="s">
        <v>946</v>
      </c>
      <c r="B21" s="1101"/>
      <c r="C21" s="1102"/>
    </row>
    <row r="22" spans="1:3" ht="14.4">
      <c r="A22" s="4368" t="s">
        <v>947</v>
      </c>
      <c r="B22" s="4366" t="s">
        <v>948</v>
      </c>
      <c r="C22" s="4365"/>
    </row>
    <row r="23" spans="1:3" ht="14.4">
      <c r="A23" s="4368"/>
      <c r="B23" s="4366" t="s">
        <v>949</v>
      </c>
      <c r="C23" s="4365"/>
    </row>
    <row r="24" spans="1:3" ht="14.4">
      <c r="A24" s="4368"/>
      <c r="B24" s="4366" t="s">
        <v>950</v>
      </c>
      <c r="C24" s="4365"/>
    </row>
    <row r="25" spans="1:3" ht="14.4">
      <c r="A25" s="4368"/>
      <c r="B25" s="4367" t="s">
        <v>951</v>
      </c>
      <c r="C25" s="1099" t="s">
        <v>952</v>
      </c>
    </row>
    <row r="26" spans="1:3" ht="14.4">
      <c r="A26" s="4368"/>
      <c r="B26" s="4367"/>
      <c r="C26" s="1099" t="s">
        <v>953</v>
      </c>
    </row>
    <row r="27" spans="1:3" ht="14.4">
      <c r="A27" s="4368"/>
      <c r="B27" s="4367"/>
      <c r="C27" s="1099" t="s">
        <v>954</v>
      </c>
    </row>
    <row r="28" spans="1:3" ht="14.4">
      <c r="A28" s="4368"/>
      <c r="B28" s="4367"/>
      <c r="C28" s="1099" t="s">
        <v>955</v>
      </c>
    </row>
    <row r="29" spans="1:3" ht="14.4">
      <c r="A29" s="4368"/>
      <c r="B29" s="4367"/>
      <c r="C29" s="1099" t="s">
        <v>956</v>
      </c>
    </row>
    <row r="30" spans="1:3" ht="14.4">
      <c r="A30" s="4368"/>
      <c r="B30" s="4367"/>
      <c r="C30" s="1099" t="s">
        <v>957</v>
      </c>
    </row>
    <row r="31" spans="1:3" ht="14.4">
      <c r="A31" s="4368"/>
      <c r="B31" s="4367"/>
      <c r="C31" s="1099" t="s">
        <v>958</v>
      </c>
    </row>
    <row r="32" spans="1:3" ht="14.4">
      <c r="A32" s="4368"/>
      <c r="B32" s="4367"/>
      <c r="C32" s="1099" t="s">
        <v>959</v>
      </c>
    </row>
    <row r="33" spans="1:3" ht="14.4">
      <c r="A33" s="4368"/>
      <c r="B33" s="4367"/>
      <c r="C33" s="1099" t="s">
        <v>960</v>
      </c>
    </row>
    <row r="34" spans="1:3">
      <c r="A34" s="1103" t="s">
        <v>47</v>
      </c>
    </row>
    <row r="37" spans="1:3">
      <c r="A37" s="1103" t="s">
        <v>961</v>
      </c>
    </row>
    <row r="38" spans="1:3" ht="14.4">
      <c r="A38" s="1104" t="s">
        <v>48</v>
      </c>
    </row>
    <row r="39" spans="1:3" ht="14.4">
      <c r="A39" s="1104" t="s">
        <v>49</v>
      </c>
    </row>
    <row r="40" spans="1:3" ht="14.4">
      <c r="A40" s="1104" t="s">
        <v>50</v>
      </c>
    </row>
    <row r="41" spans="1:3" ht="14.4">
      <c r="A41" s="1105" t="s">
        <v>51</v>
      </c>
    </row>
    <row r="42" spans="1:3" ht="14.4">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35" customWidth="1"/>
    <col min="2" max="2" width="38.6640625" style="1735" customWidth="1"/>
    <col min="3" max="3" width="26" style="1735" customWidth="1"/>
    <col min="4" max="4" width="35" style="1735" hidden="1" customWidth="1"/>
    <col min="5" max="5" width="30.109375" style="1735" customWidth="1"/>
    <col min="6" max="6" width="35.44140625" style="1735" customWidth="1"/>
    <col min="7" max="7" width="31" style="1735" customWidth="1"/>
    <col min="8" max="8" width="37.44140625" style="1735" hidden="1" customWidth="1"/>
    <col min="9" max="16384" width="22.6640625" style="1735"/>
  </cols>
  <sheetData>
    <row r="1" spans="1:8" ht="24" customHeight="1">
      <c r="A1" s="1734"/>
      <c r="B1" s="1734"/>
      <c r="C1" s="1734"/>
      <c r="D1" s="1734"/>
      <c r="E1" s="1734"/>
      <c r="F1" s="1734"/>
      <c r="G1" s="1734"/>
      <c r="H1" s="1734"/>
    </row>
    <row r="2" spans="1:8" ht="24" customHeight="1">
      <c r="A2" s="1736" t="s">
        <v>2048</v>
      </c>
      <c r="B2" s="1737">
        <f ca="1">TODAY()</f>
        <v>46052</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2322</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372" t="s">
        <v>2069</v>
      </c>
      <c r="B17" s="4372"/>
      <c r="C17" s="4372"/>
      <c r="D17" s="4372"/>
      <c r="E17" s="4372"/>
      <c r="F17" s="4372"/>
      <c r="G17" s="4372"/>
      <c r="H17" s="4372"/>
    </row>
    <row r="18" spans="1:8" ht="24" customHeight="1">
      <c r="A18" s="4373" t="s">
        <v>2070</v>
      </c>
      <c r="B18" s="4373"/>
      <c r="C18" s="4373"/>
      <c r="D18" s="1740"/>
      <c r="E18" s="4374" t="s">
        <v>2071</v>
      </c>
      <c r="F18" s="4373"/>
      <c r="G18" s="4373"/>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2323</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悦荣中心</vt:lpstr>
      <vt:lpstr>华樾北京</vt:lpstr>
      <vt:lpstr>华樾北京2</vt:lpstr>
      <vt:lpstr>收益法-办公</vt:lpstr>
      <vt:lpstr>收益法-商业</vt:lpstr>
      <vt:lpstr>收益法-车库</vt:lpstr>
      <vt:lpstr>收益法-仓储</vt:lpstr>
      <vt:lpstr>收益法 (元)fei</vt:lpstr>
      <vt:lpstr>收益法-酒店模型</vt:lpstr>
      <vt:lpstr>收益法（汇总）</vt:lpstr>
      <vt:lpstr>1号楼</vt:lpstr>
      <vt:lpstr>2号楼</vt:lpstr>
      <vt:lpstr>31号楼</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(元)fei'!Print_Area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2026-01-30T01:46:24Z</dcterms:modified>
</cp:coreProperties>
</file>